
<file path=[Content_Types].xml><?xml version="1.0" encoding="utf-8"?>
<Types xmlns="http://schemas.openxmlformats.org/package/2006/content-types">
  <Default ContentType="application/vnd.openxmlformats-officedocument.vmlDrawing" Extension="vml"/>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1.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Home" sheetId="1" r:id="rId4"/>
    <sheet state="hidden" name="old home" sheetId="2" r:id="rId5"/>
    <sheet state="visible" name="Stats" sheetId="3" r:id="rId6"/>
    <sheet state="visible" name="Advancements" sheetId="4" r:id="rId7"/>
    <sheet state="visible" name="ItemsBlocks" sheetId="5" r:id="rId8"/>
    <sheet state="visible" name="Mobs" sheetId="6" r:id="rId9"/>
    <sheet state="visible" name="Challenges" sheetId="7" r:id="rId10"/>
    <sheet state="visible" name="Rewards" sheetId="8" r:id="rId11"/>
    <sheet state="hidden" name="Misc" sheetId="9" r:id="rId12"/>
    <sheet state="hidden" name="Test" sheetId="10" r:id="rId13"/>
    <sheet state="hidden" name="mobs_raw" sheetId="11" r:id="rId14"/>
    <sheet state="visible" name="Planning" sheetId="12" r:id="rId15"/>
    <sheet state="visible" name="Categories" sheetId="13" r:id="rId16"/>
  </sheets>
  <definedNames>
    <definedName hidden="1" localSheetId="3" name="_xlnm._FilterDatabase">Advancements!$A$1:$S$1143</definedName>
    <definedName hidden="1" localSheetId="4" name="_xlnm._FilterDatabase">ItemsBlocks!$A$1:$H$1222</definedName>
    <definedName hidden="1" localSheetId="11" name="_xlnm._FilterDatabase">Planning!$C$2:$E$82</definedName>
    <definedName name="STAT_LOOKUP">LAMBDA(stat, XLOOKUP(stat,Stats!$A$3:$A,Stats!$D$3:$D))</definedName>
    <definedName name="LIST_GROUP">LAMBDA(cell, IF(ISBLANK(cell), {"","","", ""}, {{cell, "", "Adv/Item", "Description"}; IFERROR(FILTER({Advancements!$G$2:$G,Advancements!$H$2:$J}, Advancements!$S$2:$S=cell), {"", "", "", ""});IFERROR({FILTER({ItemsBlocks!$C$2:$F}, ItemsBlocks!$B$2:$B=cell);{"","","", ""}}, {"", "", "", ""})}))</definedName>
    <definedName name="GET_ADV_ICON">LAMBDA(advancement, XLOOKUP(advancement,Advancements!$I$2:$I,Advancements!$H$2:$H))</definedName>
    <definedName name="GET_MOB_HEAD">LAMBDA(mob, XLOOKUP(mob,mobs_raw!$B$21:$B,mobs_raw!$A$21:$A))</definedName>
    <definedName name="IFALLTRUE">LAMBDA(range, if(countif(range,"TRUE")=counta(range),TRUE))</definedName>
    <definedName name="GET_PLAYER">LAMBDA(advancement, XLOOKUP(advancement,Advancements!$I$2:$I,Advancements!$C$2:$C))</definedName>
    <definedName name="CHECK_MOB">LAMBDA(advancement, mob, if(XLOOKUP(advancement,mobs_raw!$B:$B,mobs_raw!$A:$A),true,if(ISBLANK(xlookup(advancement,mobs_raw!$B:$B,mobs_raw!$C:$C)),false,if(countif(XLOOKUP(advancement,mobs_raw!$B:$B,mobs_raw!$D:$ZZ),mob),false,true))))</definedName>
  </definedNames>
  <calcPr/>
</workbook>
</file>

<file path=xl/comments1.xml><?xml version="1.0" encoding="utf-8"?>
<comments xmlns:r="http://schemas.openxmlformats.org/officeDocument/2006/relationships" xmlns="http://schemas.openxmlformats.org/spreadsheetml/2006/main" xmlns:xr="http://schemas.microsoft.com/office/spreadsheetml/2014/revision">
  <authors>
    <author/>
  </authors>
  <commentList>
    <comment authorId="0" ref="B7">
      <text>
        <t xml:space="preserve">Tons of advancements are completed by doing one bigger advancement. This is the count of all the big advancements that aren't implicitly completed by another advancement.</t>
      </text>
    </comment>
    <comment authorId="0" ref="H23">
      <text>
        <t xml:space="preserve">Only need 1 of: Dragon Egg, Netherite Block, Deepslate Emerald Ore, Tall Grass and Large Fern, Heavy Core</t>
      </text>
    </comment>
    <comment authorId="0" ref="H24">
      <text>
        <t xml:space="preserve">Only need 1 of: Recovery Compass, Pottery Sherds. 
Only one kind of Smithing Template needs to be a stack
</t>
      </text>
    </comment>
  </commentList>
</comments>
</file>

<file path=xl/comments2.xml><?xml version="1.0" encoding="utf-8"?>
<comments xmlns:r="http://schemas.openxmlformats.org/officeDocument/2006/relationships" xmlns="http://schemas.openxmlformats.org/spreadsheetml/2006/main" xmlns:xr="http://schemas.microsoft.com/office/spreadsheetml/2014/revision">
  <authors>
    <author/>
  </authors>
  <commentList>
    <comment authorId="0" ref="B7">
      <text>
        <t xml:space="preserve">Tons of advancements are completed by doing one bigger advancement. This is the count of all the big advancements that aren't implicitly completed by another advancement.</t>
      </text>
    </comment>
    <comment authorId="0" ref="H23">
      <text>
        <t xml:space="preserve">Only need 1 of: Dragon Egg, Netherite Block, Deepslate Emerald Ore, Tall Grass and Large Fern, Heavy Core</t>
      </text>
    </comment>
    <comment authorId="0" ref="H24">
      <text>
        <t xml:space="preserve">Only need 1 of: Recovery Compass, Pottery Sherds. 
Only one kind of Smithing Template needs to be a stack
</t>
      </text>
    </comment>
  </commentList>
</comments>
</file>

<file path=xl/comments3.xml><?xml version="1.0" encoding="utf-8"?>
<comments xmlns:r="http://schemas.openxmlformats.org/officeDocument/2006/relationships" xmlns="http://schemas.openxmlformats.org/spreadsheetml/2006/main" xmlns:xr="http://schemas.microsoft.com/office/spreadsheetml/2014/revision">
  <authors>
    <author/>
  </authors>
  <commentList>
    <comment authorId="0" ref="E1">
      <text>
        <t xml:space="preserve">Hide col for solos</t>
      </text>
    </comment>
    <comment authorId="0" ref="J1">
      <text>
        <t xml:space="preserve">Hide col for solos</t>
      </text>
    </comment>
    <comment authorId="0" ref="O1">
      <text>
        <t xml:space="preserve">Hide col for solos</t>
      </text>
    </comment>
    <comment authorId="0" ref="T1">
      <text>
        <t xml:space="preserve">Hide col for solos</t>
      </text>
    </comment>
    <comment authorId="0" ref="Y1">
      <text>
        <t xml:space="preserve">Hide col for solos</t>
      </text>
    </comment>
    <comment authorId="0" ref="AD1">
      <text>
        <t xml:space="preserve">Hide col for solos</t>
      </text>
    </comment>
    <comment authorId="0" ref="AL1">
      <text>
        <t xml:space="preserve">Hide col for solos</t>
      </text>
    </comment>
    <comment authorId="0" ref="AQ1">
      <text>
        <t xml:space="preserve">Hide col for solos</t>
      </text>
    </comment>
    <comment authorId="0" ref="AV1">
      <text>
        <t xml:space="preserve">Hide col for solos</t>
      </text>
    </comment>
    <comment authorId="0" ref="BA1">
      <text>
        <t xml:space="preserve">Hide col for solos</t>
      </text>
    </comment>
    <comment authorId="0" ref="BF1">
      <text>
        <t xml:space="preserve">Hide col for solos</t>
      </text>
    </comment>
    <comment authorId="0" ref="BK1">
      <text>
        <t xml:space="preserve">Hide col for solos</t>
      </text>
    </comment>
    <comment authorId="0" ref="BP1">
      <text>
        <t xml:space="preserve">Hide col for solos</t>
      </text>
    </comment>
    <comment authorId="0" ref="BU1">
      <text>
        <t xml:space="preserve">Hide col for solos</t>
      </text>
    </comment>
    <comment authorId="0" ref="BZ1">
      <text>
        <t xml:space="preserve">Hide col for solos</t>
      </text>
    </comment>
    <comment authorId="0" ref="CE1">
      <text>
        <t xml:space="preserve">Hide col for solos</t>
      </text>
    </comment>
    <comment authorId="0" ref="CJ1">
      <text>
        <t xml:space="preserve">Hide col for solos</t>
      </text>
    </comment>
    <comment authorId="0" ref="CO1">
      <text>
        <t xml:space="preserve">Hide col for solos</t>
      </text>
    </comment>
    <comment authorId="0" ref="CT1">
      <text>
        <t xml:space="preserve">Hide col for solos</t>
      </text>
    </comment>
    <comment authorId="0" ref="CY1">
      <text>
        <t xml:space="preserve">Hide col for solos</t>
      </text>
    </comment>
    <comment authorId="0" ref="AJ21">
      <text>
        <t xml:space="preserve">Time Sensitive Mob</t>
      </text>
    </comment>
    <comment authorId="0" ref="AJ39">
      <text>
        <t xml:space="preserve">Time Sensitive Mob</t>
      </text>
    </comment>
    <comment authorId="0" ref="G106">
      <text>
        <t xml:space="preserve">may have false negatives with piglin_brute, zombified_piglin
</t>
      </text>
    </comment>
  </commentList>
</comments>
</file>

<file path=xl/comments4.xml><?xml version="1.0" encoding="utf-8"?>
<comments xmlns:r="http://schemas.openxmlformats.org/officeDocument/2006/relationships" xmlns="http://schemas.openxmlformats.org/spreadsheetml/2006/main" xmlns:xr="http://schemas.microsoft.com/office/spreadsheetml/2014/revision">
  <authors>
    <author/>
  </authors>
  <commentList>
    <comment authorId="0" ref="B1">
      <text>
        <t xml:space="preserve">Hide col for solos</t>
      </text>
    </comment>
    <comment authorId="0" ref="M1">
      <text>
        <t xml:space="preserve">Hide col for solos</t>
      </text>
    </comment>
    <comment authorId="0" ref="U36">
      <text>
        <t xml:space="preserve">Trail_Chambers_Intersection_Barrel</t>
      </text>
    </comment>
  </commentList>
</comments>
</file>

<file path=xl/comments5.xml><?xml version="1.0" encoding="utf-8"?>
<comments xmlns:r="http://schemas.openxmlformats.org/officeDocument/2006/relationships" xmlns="http://schemas.openxmlformats.org/spreadsheetml/2006/main" xmlns:xr="http://schemas.microsoft.com/office/spreadsheetml/2014/revision">
  <authors>
    <author/>
  </authors>
  <commentList>
    <comment authorId="0" ref="J47">
      <text>
        <t xml:space="preserve">Incorrect Documentation</t>
      </text>
    </comment>
  </commentList>
</comments>
</file>

<file path=xl/comments6.xml><?xml version="1.0" encoding="utf-8"?>
<comments xmlns:r="http://schemas.openxmlformats.org/officeDocument/2006/relationships" xmlns="http://schemas.openxmlformats.org/spreadsheetml/2006/main" xmlns:xr="http://schemas.microsoft.com/office/spreadsheetml/2014/revision">
  <authors>
    <author/>
  </authors>
  <commentList>
    <comment authorId="0" ref="D1">
      <text>
        <t xml:space="preserve">Hide col for solos</t>
      </text>
    </comment>
  </commentList>
</comments>
</file>

<file path=xl/comments7.xml><?xml version="1.0" encoding="utf-8"?>
<comments xmlns:r="http://schemas.openxmlformats.org/officeDocument/2006/relationships" xmlns="http://schemas.openxmlformats.org/spreadsheetml/2006/main" xmlns:xr="http://schemas.microsoft.com/office/spreadsheetml/2014/revision">
  <authors>
    <author/>
  </authors>
  <commentList>
    <comment authorId="0" ref="B10">
      <text>
        <t xml:space="preserve">minecraft:mob instead of just mob, hidden row above makes it consistent with the rest of the mobs
</t>
      </text>
    </comment>
    <comment authorId="0" ref="B12">
      <text>
        <t xml:space="preserve">minecraft:mob instead of just mob, hidden row above makes it consistent with the rest of the mobs
</t>
      </text>
    </comment>
  </commentList>
</comments>
</file>

<file path=xl/sharedStrings.xml><?xml version="1.0" encoding="utf-8"?>
<sst xmlns="http://schemas.openxmlformats.org/spreadsheetml/2006/main" count="16737" uniqueCount="7840">
  <si>
    <t xml:space="preserve">Name: </t>
  </si>
  <si>
    <t>Player</t>
  </si>
  <si>
    <t>Co-op?</t>
  </si>
  <si>
    <t xml:space="preserve">Version: </t>
  </si>
  <si>
    <t>Date:</t>
  </si>
  <si>
    <t>Total Progress</t>
  </si>
  <si>
    <t>Links</t>
  </si>
  <si>
    <r>
      <rPr>
        <rFont val="Arial"/>
        <color rgb="FF1155CC"/>
        <sz val="12.0"/>
        <u/>
      </rPr>
      <t xml:space="preserve">Full Advancement </t>
    </r>
    <r>
      <rPr>
        <rFont val="Arial"/>
        <b/>
        <color rgb="FF1155CC"/>
        <sz val="12.0"/>
        <u/>
      </rPr>
      <t>Documentation</t>
    </r>
  </si>
  <si>
    <t>BAC Speedrun Discord</t>
  </si>
  <si>
    <r>
      <rPr>
        <rFont val="Arial"/>
        <b/>
        <color rgb="FF1155CC"/>
        <sz val="12.0"/>
        <u/>
      </rPr>
      <t>How to Install</t>
    </r>
    <r>
      <rPr>
        <rFont val="Arial"/>
        <color rgb="FF1155CC"/>
        <sz val="12.0"/>
        <u/>
      </rPr>
      <t xml:space="preserve"> Blaze and Caves</t>
    </r>
  </si>
  <si>
    <t>BAC-tracker GitHub</t>
  </si>
  <si>
    <t>Unique* Advs Done</t>
  </si>
  <si>
    <r>
      <rPr>
        <rFont val="Arial"/>
        <color rgb="FF1155CC"/>
        <sz val="12.0"/>
        <u/>
      </rPr>
      <t xml:space="preserve">BAC </t>
    </r>
    <r>
      <rPr>
        <rFont val="Arial"/>
        <b/>
        <color rgb="FF1155CC"/>
        <sz val="12.0"/>
        <u/>
      </rPr>
      <t>Co-op</t>
    </r>
    <r>
      <rPr>
        <rFont val="Arial"/>
        <color rgb="FF1155CC"/>
        <sz val="12.0"/>
        <u/>
      </rPr>
      <t xml:space="preserve"> Leaderboard by tjthings</t>
    </r>
  </si>
  <si>
    <t>Blaze and Caves Official Discord</t>
  </si>
  <si>
    <r>
      <rPr>
        <rFont val="Arial"/>
        <color rgb="FF1155CC"/>
        <sz val="12.0"/>
        <u/>
      </rPr>
      <t xml:space="preserve">BAC </t>
    </r>
    <r>
      <rPr>
        <rFont val="Arial"/>
        <b/>
        <color rgb="FF1155CC"/>
        <sz val="12.0"/>
        <u/>
      </rPr>
      <t>Solo Leaderboard</t>
    </r>
    <r>
      <rPr>
        <rFont val="Arial"/>
        <color rgb="FF1155CC"/>
        <sz val="12.0"/>
        <u/>
      </rPr>
      <t xml:space="preserve"> by Orangenox</t>
    </r>
  </si>
  <si>
    <t>im going to shill my bac yt videos -TJ :]</t>
  </si>
  <si>
    <t>All Items Progress</t>
  </si>
  <si>
    <t>Credits</t>
  </si>
  <si>
    <t>TalkingMime</t>
  </si>
  <si>
    <t>Original tracker and spreadsheet</t>
  </si>
  <si>
    <t>tjthings</t>
  </si>
  <si>
    <t>Spreadsheet overhaul, tracker, statistics datapack</t>
  </si>
  <si>
    <t>Mob Advs Progress</t>
  </si>
  <si>
    <t>nerothe.com</t>
  </si>
  <si>
    <t>Image hosting for items and blocks</t>
  </si>
  <si>
    <t>Spreadsheet last updated 8/29/24</t>
  </si>
  <si>
    <t>cod &amp; salmon fix</t>
  </si>
  <si>
    <t>Crazy Advancements</t>
  </si>
  <si>
    <t>Pacelocks</t>
  </si>
  <si>
    <t>Global Vaccination</t>
  </si>
  <si>
    <t>Cure every zombie villager of every biome and profession.</t>
  </si>
  <si>
    <t>Thunder</t>
  </si>
  <si>
    <t>Wandering Trader</t>
  </si>
  <si>
    <t>Ultimate Enchanter</t>
  </si>
  <si>
    <t>Obtain every level of every enchantment in the game</t>
  </si>
  <si>
    <t>Skeleton Horse</t>
  </si>
  <si>
    <t>Death From All</t>
  </si>
  <si>
    <t>Die to every mob in the game
(Take damage in Hardcore)</t>
  </si>
  <si>
    <t>Bone-to-party</t>
  </si>
  <si>
    <t>Trader Llama</t>
  </si>
  <si>
    <t>I am Loot!</t>
  </si>
  <si>
    <t>Open every loot table in the game</t>
  </si>
  <si>
    <t>Surge Protector</t>
  </si>
  <si>
    <t>Shady Deals</t>
  </si>
  <si>
    <t>The Perfect Run</t>
  </si>
  <si>
    <t>Summon the wither, dragon, and raid within 15s and defeat them all damageless</t>
  </si>
  <si>
    <t>Called Shot</t>
  </si>
  <si>
    <t>Florist</t>
  </si>
  <si>
    <t>Stack All the Blocks!</t>
  </si>
  <si>
    <t>Stack of every block*</t>
  </si>
  <si>
    <t>Electrifying Alliance</t>
  </si>
  <si>
    <t>Rebuilding the Oceans</t>
  </si>
  <si>
    <t>Stack All the Items!</t>
  </si>
  <si>
    <t>Stack of every item*</t>
  </si>
  <si>
    <t>Nuclear Fusion</t>
  </si>
  <si>
    <t>Highway to Hell</t>
  </si>
  <si>
    <t>Kill every mob in the nether</t>
  </si>
  <si>
    <t>Creeper Head</t>
  </si>
  <si>
    <t>Key:</t>
  </si>
  <si>
    <t>Endergeddon</t>
  </si>
  <si>
    <t>Kill every mob in the end</t>
  </si>
  <si>
    <t>Piglin Head</t>
  </si>
  <si>
    <t>Mob</t>
  </si>
  <si>
    <t>Potion Master</t>
  </si>
  <si>
    <t>Kill every mob with splash potion</t>
  </si>
  <si>
    <t>Skeleton Skull</t>
  </si>
  <si>
    <t>Advancement</t>
  </si>
  <si>
    <t>Biological Warfare</t>
  </si>
  <si>
    <t>Kill every mob with lingering potion</t>
  </si>
  <si>
    <t>Zombie Head</t>
  </si>
  <si>
    <t>Item Stack</t>
  </si>
  <si>
    <t>Statistics and Progress</t>
  </si>
  <si>
    <t>Statistics Tab Advancements</t>
  </si>
  <si>
    <t>Blue Axolotl</t>
  </si>
  <si>
    <t>Strength 5 Llama</t>
  </si>
  <si>
    <t>custom.aviate_one_cm</t>
  </si>
  <si>
    <t>Frequent Flyer</t>
  </si>
  <si>
    <t>custom.walk_one_cm</t>
  </si>
  <si>
    <t>I enjoy long walks &amp; playing MC</t>
  </si>
  <si>
    <t>Average</t>
  </si>
  <si>
    <t>Axolotls Bred</t>
  </si>
  <si>
    <t>Llamas Tamed</t>
  </si>
  <si>
    <t>custom.sprint_one_cm</t>
  </si>
  <si>
    <t>Your legs must be tired</t>
  </si>
  <si>
    <t>custom.jump</t>
  </si>
  <si>
    <t>Jumping Jacks</t>
  </si>
  <si>
    <t>Swamp Nitwit</t>
  </si>
  <si>
    <t>Brown Panda</t>
  </si>
  <si>
    <t>custom.crouch_one_cm</t>
  </si>
  <si>
    <t>Ancient Kung Fu Master</t>
  </si>
  <si>
    <t>custom.swim_one_cm</t>
  </si>
  <si>
    <t>Olympic Gold Medallist</t>
  </si>
  <si>
    <t>Jungle Nitwit</t>
  </si>
  <si>
    <t>Screaming Goat</t>
  </si>
  <si>
    <t>custom.minecart_one_cm</t>
  </si>
  <si>
    <t>Global Railway Network</t>
  </si>
  <si>
    <t>custom.pig_one_cm</t>
  </si>
  <si>
    <t>Lightning McPig</t>
  </si>
  <si>
    <t>Deepslate Emerald Ore</t>
  </si>
  <si>
    <r>
      <rPr>
        <rFont val="Arial"/>
        <i/>
        <color theme="1"/>
        <sz val="9.0"/>
      </rPr>
      <t xml:space="preserve">Note: If you are playing with trophies, DEO is an </t>
    </r>
    <r>
      <rPr>
        <rFont val="Arial"/>
        <b/>
        <i/>
        <color theme="1"/>
        <sz val="9.0"/>
      </rPr>
      <t xml:space="preserve">advancement reward </t>
    </r>
    <r>
      <rPr>
        <rFont val="Arial"/>
        <i/>
        <color theme="1"/>
        <sz val="9.0"/>
      </rPr>
      <t>for Oresome</t>
    </r>
  </si>
  <si>
    <t>custom.horse_one_cm</t>
  </si>
  <si>
    <t>Scourge of the West</t>
  </si>
  <si>
    <t>custom.boat_one_cm</t>
  </si>
  <si>
    <t>Sailor of the Seven Seas</t>
  </si>
  <si>
    <t>Wind Burst III</t>
  </si>
  <si>
    <t>Requires 4 Wind Charge I books from vaults</t>
  </si>
  <si>
    <t>custom.strider_one_cm</t>
  </si>
  <si>
    <t>This Ride Is Lit, Yo!</t>
  </si>
  <si>
    <t>custom.mob_kills</t>
  </si>
  <si>
    <t>Kill or be Killed</t>
  </si>
  <si>
    <t>Times Used</t>
  </si>
  <si>
    <t>Chests Looted</t>
  </si>
  <si>
    <t>custom.animals_bred</t>
  </si>
  <si>
    <t>Two by Two</t>
  </si>
  <si>
    <t>custom.enchant_item</t>
  </si>
  <si>
    <t>Elderly Enchanter</t>
  </si>
  <si>
    <t>Buried Treasure</t>
  </si>
  <si>
    <t>Ancient City</t>
  </si>
  <si>
    <t>custom.traded_with_villager</t>
  </si>
  <si>
    <t>STONKS!</t>
  </si>
  <si>
    <t>bac_stat_food</t>
  </si>
  <si>
    <t>Food, Glorious Food!</t>
  </si>
  <si>
    <t>bac_stat_loot_chest</t>
  </si>
  <si>
    <t>I &lt;3 Chests</t>
  </si>
  <si>
    <t>bac_day_count</t>
  </si>
  <si>
    <t>Happy New Year!</t>
  </si>
  <si>
    <t>Ores and Hives</t>
  </si>
  <si>
    <t>Amethyst</t>
  </si>
  <si>
    <t>Deaths</t>
  </si>
  <si>
    <r>
      <rPr>
        <color rgb="FFFF0000"/>
      </rPr>
      <t xml:space="preserve">Note: </t>
    </r>
    <r>
      <rPr>
        <color rgb="FF000000"/>
      </rPr>
      <t xml:space="preserve">Some Statistics are tracked via the </t>
    </r>
    <r>
      <rPr>
        <b/>
        <color rgb="FF1155CC"/>
        <u/>
      </rPr>
      <t>BAC-Extra Datapack</t>
    </r>
  </si>
  <si>
    <t>Unique Advancements Left</t>
  </si>
  <si>
    <t>Items Left</t>
  </si>
  <si>
    <r>
      <rPr>
        <rFont val="Arial"/>
        <color rgb="FF1155CC"/>
        <sz val="12.0"/>
        <u/>
      </rPr>
      <t xml:space="preserve">Full Advancement </t>
    </r>
    <r>
      <rPr>
        <rFont val="Arial"/>
        <b/>
        <color rgb="FF1155CC"/>
        <sz val="12.0"/>
        <u/>
      </rPr>
      <t>Documentation</t>
    </r>
  </si>
  <si>
    <r>
      <rPr>
        <rFont val="Arial"/>
        <b/>
        <color rgb="FF1155CC"/>
        <sz val="12.0"/>
        <u/>
      </rPr>
      <t>How to Install</t>
    </r>
    <r>
      <rPr>
        <rFont val="Arial"/>
        <color rgb="FF1155CC"/>
        <sz val="12.0"/>
        <u/>
      </rPr>
      <t xml:space="preserve"> Blaze and Caves</t>
    </r>
  </si>
  <si>
    <r>
      <rPr>
        <rFont val="Arial"/>
        <color rgb="FF1155CC"/>
        <sz val="12.0"/>
        <u/>
      </rPr>
      <t xml:space="preserve">BAC </t>
    </r>
    <r>
      <rPr>
        <rFont val="Arial"/>
        <b/>
        <color rgb="FF1155CC"/>
        <sz val="12.0"/>
        <u/>
      </rPr>
      <t>Co-op</t>
    </r>
    <r>
      <rPr>
        <rFont val="Arial"/>
        <color rgb="FF1155CC"/>
        <sz val="12.0"/>
        <u/>
      </rPr>
      <t xml:space="preserve"> Leaderboard by tjthings</t>
    </r>
  </si>
  <si>
    <r>
      <rPr>
        <rFont val="Arial"/>
        <color rgb="FF1155CC"/>
        <sz val="12.0"/>
        <u/>
      </rPr>
      <t xml:space="preserve">BAC </t>
    </r>
    <r>
      <rPr>
        <rFont val="Arial"/>
        <b/>
        <color rgb="FF1155CC"/>
        <sz val="12.0"/>
        <u/>
      </rPr>
      <t>Solo Leaderboard</t>
    </r>
    <r>
      <rPr>
        <rFont val="Arial"/>
        <color rgb="FF1155CC"/>
        <sz val="12.0"/>
        <u/>
      </rPr>
      <t xml:space="preserve"> by Orangenox</t>
    </r>
  </si>
  <si>
    <t>im going to shill my bac yt videos -tj :]</t>
  </si>
  <si>
    <t>Spreadsheet last updated 8/14/24</t>
  </si>
  <si>
    <r>
      <rPr>
        <rFont val="Arial"/>
        <i/>
        <color rgb="FFFF0000"/>
        <sz val="9.0"/>
      </rPr>
      <t xml:space="preserve">Note: If you are playing with trophies, DEO is an </t>
    </r>
    <r>
      <rPr>
        <rFont val="Arial"/>
        <b/>
        <i/>
        <color rgb="FFFF0000"/>
        <sz val="9.0"/>
      </rPr>
      <t xml:space="preserve">advancement reward </t>
    </r>
    <r>
      <rPr>
        <rFont val="Arial"/>
        <i/>
        <color rgb="FFFF0000"/>
        <sz val="9.0"/>
      </rPr>
      <t>for Oresome</t>
    </r>
  </si>
  <si>
    <t>Rare Ores Mined</t>
  </si>
  <si>
    <r>
      <rPr>
        <color rgb="FFFF0000"/>
      </rPr>
      <t xml:space="preserve">Note: </t>
    </r>
    <r>
      <rPr>
        <color rgb="FF000000"/>
      </rPr>
      <t xml:space="preserve">Some Statistics are tracked via the </t>
    </r>
    <r>
      <rPr>
        <b/>
        <color rgb="FF1155CC"/>
        <u/>
      </rPr>
      <t>BAC-Extra Datapack</t>
    </r>
  </si>
  <si>
    <t>raw stats page, hide this sheet once tracker is hooked up to this page</t>
  </si>
  <si>
    <t>Statistic</t>
  </si>
  <si>
    <t>Minimum</t>
  </si>
  <si>
    <t>Value</t>
  </si>
  <si>
    <t>Notes</t>
  </si>
  <si>
    <t>stats_axolotls_bred</t>
  </si>
  <si>
    <t>Custom scoreboards</t>
  </si>
  <si>
    <t>stats_llamas_tamed</t>
  </si>
  <si>
    <t>stats_buried_treasures</t>
  </si>
  <si>
    <t>stats_ancient_city_chests</t>
  </si>
  <si>
    <t>stats_pandas_bred</t>
  </si>
  <si>
    <t>used.firework_rocket</t>
  </si>
  <si>
    <t>For fun extra stats</t>
  </si>
  <si>
    <t>used.totem_of_undying</t>
  </si>
  <si>
    <t>used.spider_eye</t>
  </si>
  <si>
    <t>used.golden_apple</t>
  </si>
  <si>
    <t>used.ominous_trial_key</t>
  </si>
  <si>
    <t>custom.deaths</t>
  </si>
  <si>
    <t>mined.diamond_ore</t>
  </si>
  <si>
    <t>Estimated stack progress</t>
  </si>
  <si>
    <t>mined.deepslate_coal_ore</t>
  </si>
  <si>
    <t>mined.emerald_ore</t>
  </si>
  <si>
    <t>mined.bee_nest</t>
  </si>
  <si>
    <t>mined.small_amethyst_bud</t>
  </si>
  <si>
    <t>mined.medium_amethyst_bud</t>
  </si>
  <si>
    <t>mined.large_amethyst_bud</t>
  </si>
  <si>
    <t>mined.amethyst_cluster</t>
  </si>
  <si>
    <t>Stats that BAC uses</t>
  </si>
  <si>
    <t>BAC Scoreboards</t>
  </si>
  <si>
    <t>#</t>
  </si>
  <si>
    <t>Class</t>
  </si>
  <si>
    <t>Who</t>
  </si>
  <si>
    <t>Progress</t>
  </si>
  <si>
    <t>Num</t>
  </si>
  <si>
    <t>Denom</t>
  </si>
  <si>
    <t>✓</t>
  </si>
  <si>
    <t>Name</t>
  </si>
  <si>
    <t>Requirements</t>
  </si>
  <si>
    <t>Rewards</t>
  </si>
  <si>
    <t>Incomplete</t>
  </si>
  <si>
    <t>Actual Requirements (if different)</t>
  </si>
  <si>
    <t>Description</t>
  </si>
  <si>
    <t>Icon Name</t>
  </si>
  <si>
    <t>Tab</t>
  </si>
  <si>
    <t>Actual Name</t>
  </si>
  <si>
    <t>Time</t>
  </si>
  <si>
    <t>Responsibility</t>
  </si>
  <si>
    <t>Subset</t>
  </si>
  <si>
    <t>Mining</t>
  </si>
  <si>
    <t>Obtain a pickaxe</t>
  </si>
  <si>
    <t>Dig deep down, mine up ore</t>
  </si>
  <si>
    <t>cobblestone</t>
  </si>
  <si>
    <t>blazeandcave:mining/root</t>
  </si>
  <si>
    <t/>
  </si>
  <si>
    <t>Stone Age</t>
  </si>
  <si>
    <t>3 of the stone block you picked up</t>
  </si>
  <si>
    <t>Obtain a block of cobblestone, stone, cobbled deepslate, deepslate, or blackstone</t>
  </si>
  <si>
    <t>Mine stone with your new pickaxe</t>
  </si>
  <si>
    <t>wooden_pickaxe</t>
  </si>
  <si>
    <t>minecraft:story/mine_stone</t>
  </si>
  <si>
    <t>Spelunker</t>
  </si>
  <si>
    <t>Enter the following biomes: Lush Caves, Dripstone Caves and Deep Dark</t>
  </si>
  <si>
    <t>Discover every cave biome</t>
  </si>
  <si>
    <t>chainmail_helmet</t>
  </si>
  <si>
    <t>blazeandcave:mining/spelunker</t>
  </si>
  <si>
    <t>Incidental</t>
  </si>
  <si>
    <t>This Dirt is Dirtier</t>
  </si>
  <si>
    <t>Dig through some Rooted Dirt beneath an Azalea Tree so you can find a Lush Cave</t>
  </si>
  <si>
    <t>rooted_dirt</t>
  </si>
  <si>
    <t>blazeandcave:mining/this_dirt_is_dirtier</t>
  </si>
  <si>
    <t>Leaflet Drop</t>
  </si>
  <si>
    <t>2 Big Dripleaves</t>
  </si>
  <si>
    <t>Enter a big dripleaf block while its tilt is fully down</t>
  </si>
  <si>
    <t>Fall through a Big Dripleaf</t>
  </si>
  <si>
    <t>big_dripleaf</t>
  </si>
  <si>
    <t>blazeandcave:mining/leaflet_drop</t>
  </si>
  <si>
    <t>A Shiny Treat</t>
  </si>
  <si>
    <t>4 Glow Berries</t>
  </si>
  <si>
    <t>Eat some Glow Berries</t>
  </si>
  <si>
    <t>glow_berries</t>
  </si>
  <si>
    <t>blazeandcave:mining/a_shiny_treat</t>
  </si>
  <si>
    <t>Particle Fan</t>
  </si>
  <si>
    <t>Obtain a Spore Blossom</t>
  </si>
  <si>
    <t>spore_blossom</t>
  </si>
  <si>
    <t>blazeandcave:mining/particle_fan</t>
  </si>
  <si>
    <t>Moss Maker</t>
  </si>
  <si>
    <t>8 Bone Meal</t>
  </si>
  <si>
    <t>Use Bone Meal on a Moss Block</t>
  </si>
  <si>
    <t>Use Bone Meal on Moss to spread its wonderful lushness across hard blocks of stone</t>
  </si>
  <si>
    <t>moss_carpet</t>
  </si>
  <si>
    <t>blazeandcave:mining/moss_maker</t>
  </si>
  <si>
    <t>Iggy</t>
  </si>
  <si>
    <t>Obtain either an Azalea or a Flowering Azalea</t>
  </si>
  <si>
    <t>Obtain an Azalea</t>
  </si>
  <si>
    <t>flowering_azalea</t>
  </si>
  <si>
    <t>blazeandcave:mining/iggy</t>
  </si>
  <si>
    <t>Lush Hour</t>
  </si>
  <si>
    <t>See requirement notes below</t>
  </si>
  <si>
    <t>Obtain a stack of all lush-related blocks</t>
  </si>
  <si>
    <t>moss_block</t>
  </si>
  <si>
    <t>blazeandcave:mining/lush_hour</t>
  </si>
  <si>
    <t>Heart of Darkness</t>
  </si>
  <si>
    <t>Enter a block where the light level is 0</t>
  </si>
  <si>
    <t>Submerge yourself in complete darkness</t>
  </si>
  <si>
    <t>black_concrete_powder</t>
  </si>
  <si>
    <t>blazeandcave:mining/heart_of_darkness</t>
  </si>
  <si>
    <t>My work here is done</t>
  </si>
  <si>
    <t>Enter a block of gravel</t>
  </si>
  <si>
    <t>Get caught in a cave-in of gravel</t>
  </si>
  <si>
    <t>gravel</t>
  </si>
  <si>
    <t>blazeandcave:mining/my_work_here_is_done</t>
  </si>
  <si>
    <t>Nananananananana...</t>
  </si>
  <si>
    <t>16 Torches</t>
  </si>
  <si>
    <t>Accidentally hit a bat underground</t>
  </si>
  <si>
    <t>bat_spawn_egg</t>
  </si>
  <si>
    <t>blazeandcave:mining/nananananananana</t>
  </si>
  <si>
    <t>Unique</t>
  </si>
  <si>
    <t>Blind as a Bat</t>
  </si>
  <si>
    <t>Kill a Bat while under the blindness or darkness effect</t>
  </si>
  <si>
    <t>black_wool</t>
  </si>
  <si>
    <t>blazeandcave:mining/blind_as_a_bat</t>
  </si>
  <si>
    <t>Misc</t>
  </si>
  <si>
    <t>Pixel Perfect</t>
  </si>
  <si>
    <t>Use a Spyglass to stare at a bat from at least 50 blocks away</t>
  </si>
  <si>
    <t>structure_void</t>
  </si>
  <si>
    <t>blazeandcave:mining/pixel_perfect</t>
  </si>
  <si>
    <t>All Mobs</t>
  </si>
  <si>
    <t>Meet the Flintstones</t>
  </si>
  <si>
    <t>2 Flint</t>
  </si>
  <si>
    <t>Obtain flint</t>
  </si>
  <si>
    <t>Dig up some flint from a patch of gravel</t>
  </si>
  <si>
    <t>flint</t>
  </si>
  <si>
    <t>blazeandcave:mining/meet_the_flintstones</t>
  </si>
  <si>
    <t>Strike a Light</t>
  </si>
  <si>
    <t>2 Flint, 2 Iron Ingots</t>
  </si>
  <si>
    <t>Craft Flint and Steel and use it to light the ground on fire</t>
  </si>
  <si>
    <t>flint_and_steel</t>
  </si>
  <si>
    <t>blazeandcave:mining/strike_a_light</t>
  </si>
  <si>
    <t>Flint Miner</t>
  </si>
  <si>
    <t>8 Flint</t>
  </si>
  <si>
    <t>Dig up 64 pieces of flint</t>
  </si>
  <si>
    <t>blazeandcave:mining/flint_miner</t>
  </si>
  <si>
    <t>Child</t>
  </si>
  <si>
    <t>Bonfire Night</t>
  </si>
  <si>
    <t>16 Flint, 16 Iron Ingots</t>
  </si>
  <si>
    <r>
      <rPr>
        <rFont val="Arial"/>
      </rPr>
      <t xml:space="preserve">A list of blocks can be found at: </t>
    </r>
    <r>
      <rPr>
        <rFont val="Arial"/>
        <color rgb="FF1155CC"/>
        <u/>
      </rPr>
      <t>https://minecraft.wiki/w/Fire#Burning_blocks</t>
    </r>
  </si>
  <si>
    <t>Light every flammable block on fire</t>
  </si>
  <si>
    <t>stripped_spruce_log</t>
  </si>
  <si>
    <t>blazeandcave:mining/bonfire_night</t>
  </si>
  <si>
    <t>All Items</t>
  </si>
  <si>
    <t>Dungeons and Spawners</t>
  </si>
  <si>
    <t>Open a Dungeon loot chest that has not been opened before</t>
  </si>
  <si>
    <t>Open a chest in a dungeon deep underground</t>
  </si>
  <si>
    <t>mossy_cobblestone</t>
  </si>
  <si>
    <t>blazeandcave:mining/dungeons_and_spawners</t>
  </si>
  <si>
    <t>This is Mine Now!</t>
  </si>
  <si>
    <t>Enter an abandoned mineshaft</t>
  </si>
  <si>
    <t>Find an abandoned mineshaft that was not dug out by you</t>
  </si>
  <si>
    <t>oak_fence</t>
  </si>
  <si>
    <t>blazeandcave:mining/this_is_mine_now</t>
  </si>
  <si>
    <t>Gold Mine!</t>
  </si>
  <si>
    <t>4 Raw Gold</t>
  </si>
  <si>
    <t>Enter an abandoned mineshaft above y=64 in any badlands biome</t>
  </si>
  <si>
    <t>Find a mineshaft on the surface in a mesa biome</t>
  </si>
  <si>
    <t>gold_ore</t>
  </si>
  <si>
    <t>blazeandcave:mining/gold_mine</t>
  </si>
  <si>
    <t>Eeuuwww!</t>
  </si>
  <si>
    <t>3 Cobwebs</t>
  </si>
  <si>
    <t>Enter a cobweb</t>
  </si>
  <si>
    <t>Get stuck in a spider web</t>
  </si>
  <si>
    <t>cobweb</t>
  </si>
  <si>
    <t>blazeandcave:mining/eeuuwww</t>
  </si>
  <si>
    <t>Steals on Wheels</t>
  </si>
  <si>
    <t>4 Iron Ingots</t>
  </si>
  <si>
    <t>Open a Mineshaft loot chest that has not been opened before</t>
  </si>
  <si>
    <t>Loot a minecart chest from an Abandoned Mineshaft</t>
  </si>
  <si>
    <t>chest_minecart</t>
  </si>
  <si>
    <t>blazeandcave:mining/steals_on_wheels</t>
  </si>
  <si>
    <t>Lichen Subscribe</t>
  </si>
  <si>
    <t>4 Glow Lichen</t>
  </si>
  <si>
    <t>Use shears to obtain Glow Lichen from an underground cave</t>
  </si>
  <si>
    <t>glow_lichen</t>
  </si>
  <si>
    <t>blazeandcave:mining/lichen_subscribe</t>
  </si>
  <si>
    <t>That's the point!</t>
  </si>
  <si>
    <t>8 Pointed Dripstone</t>
  </si>
  <si>
    <t>Obtain some Pointed Dripstone from a Dripstone Cave</t>
  </si>
  <si>
    <t>pointed_dripstone</t>
  </si>
  <si>
    <t>blazeandcave:mining/thats_the_point</t>
  </si>
  <si>
    <t>Dripstone Drop</t>
  </si>
  <si>
    <t>16 Pointed Dripstone</t>
  </si>
  <si>
    <t>The pointed dripstone cannot be waterlogged</t>
  </si>
  <si>
    <t>Survive a fall of at least 10 blocks onto some Pointed Dripstone</t>
  </si>
  <si>
    <t>dripstone_block</t>
  </si>
  <si>
    <t>blazeandcave:mining/dripstone_drop</t>
  </si>
  <si>
    <t>Lucky Break</t>
  </si>
  <si>
    <t>1 Feather Falling II Enchanted Book</t>
  </si>
  <si>
    <t>Fall at least 15 blocks and have 1 or 2 health remaining upon landing</t>
  </si>
  <si>
    <t>Survive a long fall with just a sliver of health remaining</t>
  </si>
  <si>
    <t>chainmail_boots</t>
  </si>
  <si>
    <t>blazeandcave:mining/lucky_break</t>
  </si>
  <si>
    <t>Caves &amp; Cliffs</t>
  </si>
  <si>
    <t>1 Feather Falling III Enchanted Book</t>
  </si>
  <si>
    <t>Drop from a point above y-level 319 and land below y-level -59</t>
  </si>
  <si>
    <t>Free fall from the top of the world (build limit) to the bottom of the world and survive‌</t>
  </si>
  <si>
    <t>water_bucket</t>
  </si>
  <si>
    <t>minecraft:adventure/fall_from_world_height</t>
  </si>
  <si>
    <t>World Height</t>
  </si>
  <si>
    <t>Deep Slate Nine</t>
  </si>
  <si>
    <t>Go below y-level 5.5 in the Overworld</t>
  </si>
  <si>
    <t>Mine deep enough that the stone darkens</t>
  </si>
  <si>
    <t>deepslate</t>
  </si>
  <si>
    <t>blazeandcave:mining/deep_slate_nine</t>
  </si>
  <si>
    <t>Rock Bottom</t>
  </si>
  <si>
    <t>5 Iron Ingots</t>
  </si>
  <si>
    <t>Go below y-level -59.5 in the Overworld</t>
  </si>
  <si>
    <t>Dig down to the bottom of the world</t>
  </si>
  <si>
    <t>bedrock</t>
  </si>
  <si>
    <t>blazeandcave:mining/rock_bottom</t>
  </si>
  <si>
    <t>Bottom to Top</t>
  </si>
  <si>
    <t>1 Efficiency III Enchanted Book</t>
  </si>
  <si>
    <t>Place every cave block at the very top of the world</t>
  </si>
  <si>
    <t>diorite</t>
  </si>
  <si>
    <t>blazeandcave:mining/bottom_to_top</t>
  </si>
  <si>
    <t>Sneak 100</t>
  </si>
  <si>
    <t>Sneak in a way that you avoid making a vibration near a Sculk Sensor, Shrieker, or Warden</t>
  </si>
  <si>
    <t>Sneak near something in the Deep Dark to prevent being heard</t>
  </si>
  <si>
    <t>sculk</t>
  </si>
  <si>
    <t>minecraft:adventure/avoid_vibration</t>
  </si>
  <si>
    <t>It spreads!</t>
  </si>
  <si>
    <t>Kill a mob near a Sculk Catalyst</t>
  </si>
  <si>
    <t>sculk_catalyst</t>
  </si>
  <si>
    <t>minecraft:adventure/kill_mob_near_sculk_catalyst</t>
  </si>
  <si>
    <t>Shriek Forever After</t>
  </si>
  <si>
    <t>Receive the Darkness effect</t>
  </si>
  <si>
    <t>Trigger a Sculk Shrieker in the Deep Dark. Might not want to do that too many more times…</t>
  </si>
  <si>
    <t>sculk_shrieker</t>
  </si>
  <si>
    <t>blazeandcave:mining/shriek_forever_after</t>
  </si>
  <si>
    <t>Fallen Kingdom</t>
  </si>
  <si>
    <t>Find and enter an Ancient City deep underground</t>
  </si>
  <si>
    <t>reinforced_deepslate</t>
  </si>
  <si>
    <t>blazeandcave:mining/fallen_kingdom</t>
  </si>
  <si>
    <t>Frigid Diversions</t>
  </si>
  <si>
    <t>Generate the loot of an ancient city ice box chest (i.e. you must be the first to open it)</t>
  </si>
  <si>
    <t>Loot a chest inside an ice box in an Ancient City</t>
  </si>
  <si>
    <t>packed_ice</t>
  </si>
  <si>
    <t>blazeandcave:mining/frigid_diversions</t>
  </si>
  <si>
    <t>Death Pointer</t>
  </si>
  <si>
    <t>4 Echo Shards</t>
  </si>
  <si>
    <t>Obtain a Recovery Compass</t>
  </si>
  <si>
    <t>Using Echo Shards found in Ancient Cities, craft a Recovery Compass</t>
  </si>
  <si>
    <t>recovery_compass</t>
  </si>
  <si>
    <t>blazeandcave:mining/death_pointer</t>
  </si>
  <si>
    <t>9 to 5</t>
  </si>
  <si>
    <t>5 Disc Fragment 5's</t>
  </si>
  <si>
    <t>Obtain Music Disc 5</t>
  </si>
  <si>
    <t>Collect enough Disc Fragments to craft another producer of mysterious sounds</t>
  </si>
  <si>
    <t>music_disc_5</t>
  </si>
  <si>
    <t>blazeandcave:mining/9_to_5</t>
  </si>
  <si>
    <t>Echonomy</t>
  </si>
  <si>
    <t>8 Echo Shards</t>
  </si>
  <si>
    <t>Collect a stack of Echo Shards</t>
  </si>
  <si>
    <t>echo_shard</t>
  </si>
  <si>
    <t>blazeandcave:mining/echonomy</t>
  </si>
  <si>
    <t>Getting an Upgrade</t>
  </si>
  <si>
    <t>Obtain a stone pickaxe</t>
  </si>
  <si>
    <t>Construct a better pickaxe</t>
  </si>
  <si>
    <t>stone_pickaxe</t>
  </si>
  <si>
    <t>minecraft:story/upgrade_tools</t>
  </si>
  <si>
    <t>MOAR Tools</t>
  </si>
  <si>
    <t>12 Cobblestone</t>
  </si>
  <si>
    <t>Craft a stone pickaxe, axe, shovel and hoe</t>
  </si>
  <si>
    <t>stone_shovel</t>
  </si>
  <si>
    <t>blazeandcave:mining/moar_tools</t>
  </si>
  <si>
    <t>Aww it broke!</t>
  </si>
  <si>
    <t>Break your first tool</t>
  </si>
  <si>
    <t>stick</t>
  </si>
  <si>
    <t>blazeandcave:mining/aww_it_broke</t>
  </si>
  <si>
    <t>Chestful of Cobblestone</t>
  </si>
  <si>
    <t>1 Efficiency II Enchanted Book</t>
  </si>
  <si>
    <t>27 stacks of 64 cobblestone in a single chest. You must stand on top of the chest</t>
  </si>
  <si>
    <t>Mine 1728 cobblestone, place it in a chest, then stand on it in victory</t>
  </si>
  <si>
    <t>blazeandcave:mining/chestful_of_cobblestone</t>
  </si>
  <si>
    <t>Crafting</t>
  </si>
  <si>
    <t>Bulldozer</t>
  </si>
  <si>
    <t>Mine a total of 10,000 blocks of stone</t>
  </si>
  <si>
    <t>Destroy a total of 10,000 blocks of stone</t>
  </si>
  <si>
    <t>stone</t>
  </si>
  <si>
    <t>blazeandcave:mining/bulldozer</t>
  </si>
  <si>
    <t>Fossil Fuel</t>
  </si>
  <si>
    <t>4 Coal</t>
  </si>
  <si>
    <t>Obtain coal</t>
  </si>
  <si>
    <t>Coal! As in dead dinosaurs!</t>
  </si>
  <si>
    <t>coal</t>
  </si>
  <si>
    <t>blazeandcave:mining/fossil_fuel</t>
  </si>
  <si>
    <t>Coal Miner</t>
  </si>
  <si>
    <t>8 Coal</t>
  </si>
  <si>
    <t>Mine a stack of coal</t>
  </si>
  <si>
    <t>coal_block</t>
  </si>
  <si>
    <t>blazeandcave:mining/coal_miner</t>
  </si>
  <si>
    <t>Master Coal Miner</t>
  </si>
  <si>
    <t>8 Coal Blocks</t>
  </si>
  <si>
    <t>Mine enough coal to make a stack of coal blocks</t>
  </si>
  <si>
    <t>blazeandcave:mining/master_coal_miner</t>
  </si>
  <si>
    <t>Hot Topic</t>
  </si>
  <si>
    <t>Construct a furnace out of eight stone blocks</t>
  </si>
  <si>
    <t>furnace</t>
  </si>
  <si>
    <t>blazeandcave:mining/hot_topic</t>
  </si>
  <si>
    <t>Renewable Energy</t>
  </si>
  <si>
    <t>4 Charcoal</t>
  </si>
  <si>
    <t>Smelt charcoal</t>
  </si>
  <si>
    <t>Smelt wood trunks using charcoal to make more charcoal</t>
  </si>
  <si>
    <t>charcoal</t>
  </si>
  <si>
    <t>blazeandcave:mining/renewable_energy</t>
  </si>
  <si>
    <t>Smokin' Hot</t>
  </si>
  <si>
    <t>Upgrade your furnace to a smoker using some logs</t>
  </si>
  <si>
    <t>smoker</t>
  </si>
  <si>
    <t>blazeandcave:mining/smokin_hot</t>
  </si>
  <si>
    <t>Coppers and Robbers</t>
  </si>
  <si>
    <t>2 Copper Ingots</t>
  </si>
  <si>
    <t>Obtain a copper ingot</t>
  </si>
  <si>
    <t>Smelt a Copper Ingot</t>
  </si>
  <si>
    <t>copper_ingot</t>
  </si>
  <si>
    <t>blazeandcave:mining/youll_never_take_me_alive_copper</t>
  </si>
  <si>
    <t>Copper Miner</t>
  </si>
  <si>
    <t>8 Raw Copper</t>
  </si>
  <si>
    <t>Mine a stack of Raw Copper</t>
  </si>
  <si>
    <t>raw_copper</t>
  </si>
  <si>
    <t>blazeandcave:mining/copper_miner</t>
  </si>
  <si>
    <t>Master Copper Miner</t>
  </si>
  <si>
    <t>8 Copper Blocks</t>
  </si>
  <si>
    <t>Obtain 64 unoxidized, unwaxed Blocks of Copper</t>
  </si>
  <si>
    <t>Mine enough copper to make a stack of Copper Blocks</t>
  </si>
  <si>
    <t>copper_block</t>
  </si>
  <si>
    <t>blazeandcave:mining/master_copper_miner</t>
  </si>
  <si>
    <t>Budget Channeling</t>
  </si>
  <si>
    <t>Obtain a lightning rod</t>
  </si>
  <si>
    <t>Craft a Lightning Rod using Copper Ingots</t>
  </si>
  <si>
    <t>lightning_rod</t>
  </si>
  <si>
    <t>blazeandcave:mining/budget_channeling</t>
  </si>
  <si>
    <t>8 Emeralds</t>
  </si>
  <si>
    <t>Have lightning strike a lightning rod with a villager standing at a safe distance away</t>
  </si>
  <si>
    <t>Protect a villager from an undesired shock without starting a fire</t>
  </si>
  <si>
    <t>villager_spawn_egg</t>
  </si>
  <si>
    <t>minecraft:adventure/lightning_rod_with_villager_no_fire</t>
  </si>
  <si>
    <t>Get struck by lightning while standing on a Lightning Rod</t>
  </si>
  <si>
    <t>exposed_cut_copper</t>
  </si>
  <si>
    <t>blazeandcave:mining/called_shot</t>
  </si>
  <si>
    <t>Don’t Come a Copper!</t>
  </si>
  <si>
    <t>Obtain any block with the word "Cut Copper" in it (so it can be any oxidisation state, can be waxed, and can be a slab or stairs)</t>
  </si>
  <si>
    <t>Craft some Cut Copper</t>
  </si>
  <si>
    <t>cut_copper</t>
  </si>
  <si>
    <t>blazeandcave:mining/dont_come_a_copper</t>
  </si>
  <si>
    <t>Grate Expectations</t>
  </si>
  <si>
    <t>Craft or obtain a Copper Grate</t>
  </si>
  <si>
    <t>copper_grate</t>
  </si>
  <si>
    <t>blazeandcave:mining/grate_expectations</t>
  </si>
  <si>
    <t>Wax On</t>
  </si>
  <si>
    <t>4 Honeycombs</t>
  </si>
  <si>
    <t>Use a honeycomb on any unwaxed copper block OR craft any waxed copper block by adding honeycomb to an unwaxed copper block in the crafting table</t>
  </si>
  <si>
    <t>Use Honeycombs to wax a Copper Block, preventing it from oxidising</t>
  </si>
  <si>
    <t>honeycomb</t>
  </si>
  <si>
    <t>minecraft:husbandry/wax_on</t>
  </si>
  <si>
    <t>Wax Off</t>
  </si>
  <si>
    <t>Use an axe on any waxed copper block</t>
  </si>
  <si>
    <t>Use an axe to scrape wax off of a Copper Block</t>
  </si>
  <si>
    <t>stone_axe</t>
  </si>
  <si>
    <t>minecraft:husbandry/wax_off</t>
  </si>
  <si>
    <t>The Statue of Liberty</t>
  </si>
  <si>
    <t>Obtain any type of copper block that is fully oxidized</t>
  </si>
  <si>
    <t>Obtain a fully oxidized Block of Copper</t>
  </si>
  <si>
    <t>oxidized_copper</t>
  </si>
  <si>
    <t>blazeandcave:mining/the_statue_of_liberty</t>
  </si>
  <si>
    <t>Sly Copper: The Copper Heist</t>
  </si>
  <si>
    <t>Collect a stack of every oxidizing stage of Copper Block, Cut Copper, Cut Copper Slabs and Stairs, and the waxed variants of them all</t>
  </si>
  <si>
    <t>waxed_weathered_cut_copper_stairs</t>
  </si>
  <si>
    <t>blazeandcave:mining/sly_copper_the_copper_heist</t>
  </si>
  <si>
    <t>Acquire Hardware</t>
  </si>
  <si>
    <t>2 Iron Ingots</t>
  </si>
  <si>
    <t>Obtain an iron ingot</t>
  </si>
  <si>
    <t>Smelt an iron ingot</t>
  </si>
  <si>
    <t>iron_ingot</t>
  </si>
  <si>
    <t>minecraft:story/smelt_iron</t>
  </si>
  <si>
    <t>Not Chicken McNuggets?</t>
  </si>
  <si>
    <t>Craft or find iron nuggets</t>
  </si>
  <si>
    <t>iron_nugget</t>
  </si>
  <si>
    <t>blazeandcave:mining/not_chicken_mcnuggets</t>
  </si>
  <si>
    <t>Isn't It Iron Pick</t>
  </si>
  <si>
    <t>Obtain an iron pickaxe</t>
  </si>
  <si>
    <t>Upgrade your pickaxe</t>
  </si>
  <si>
    <t>iron_pickaxe</t>
  </si>
  <si>
    <t>minecraft:story/iron_tools</t>
  </si>
  <si>
    <t>Suit Up</t>
  </si>
  <si>
    <t>Wear either an iron helmet, chestplate, leggings, or boots</t>
  </si>
  <si>
    <t>Protect yourself with a piece of iron armor</t>
  </si>
  <si>
    <t>iron_chestplate</t>
  </si>
  <si>
    <t>minecraft:story/obtain_armor</t>
  </si>
  <si>
    <t>Iron Man</t>
  </si>
  <si>
    <t>3 Iron Ingots</t>
  </si>
  <si>
    <t>Wear an iron helmet, chestplate, leggings, and boots at the same time</t>
  </si>
  <si>
    <t>Wear a full suit of iron armor</t>
  </si>
  <si>
    <t>iron_helmet</t>
  </si>
  <si>
    <t>blazeandcave:mining/iron_man</t>
  </si>
  <si>
    <t>Iron Miner</t>
  </si>
  <si>
    <t>8 Raw Iron</t>
  </si>
  <si>
    <t>Mine a stack of Raw Iron</t>
  </si>
  <si>
    <t>raw_iron</t>
  </si>
  <si>
    <t>blazeandcave:mining/iron_miner</t>
  </si>
  <si>
    <t>Master Iron Miner</t>
  </si>
  <si>
    <t>8 Iron Blocks</t>
  </si>
  <si>
    <t>Mine enough iron to make a stack of iron blocks</t>
  </si>
  <si>
    <t>iron_block</t>
  </si>
  <si>
    <t>blazeandcave:mining/master_iron_miner</t>
  </si>
  <si>
    <t>Gold Rush</t>
  </si>
  <si>
    <t>2 Gold Ingots</t>
  </si>
  <si>
    <t>Obtain a gold ingot</t>
  </si>
  <si>
    <t>Smelt a gold ingot</t>
  </si>
  <si>
    <t>gold_ingot</t>
  </si>
  <si>
    <t>blazeandcave:mining/gold_rush</t>
  </si>
  <si>
    <t>Living Like Kings</t>
  </si>
  <si>
    <t>Wear either a golden helmet, chestplate, leggings or boots</t>
  </si>
  <si>
    <t>Make yourself shiny with golden armor</t>
  </si>
  <si>
    <t>golden_chestplate</t>
  </si>
  <si>
    <t>blazeandcave:mining/living_like_kings</t>
  </si>
  <si>
    <t>The Mistake!</t>
  </si>
  <si>
    <t>Obtain a golden helmet, chestplate, leggings or boots enchanted with Mending</t>
  </si>
  <si>
    <t>Put Mending on a piece of golden armor and realise what you are doing in life</t>
  </si>
  <si>
    <t>golden_leggings</t>
  </si>
  <si>
    <t>blazeandcave:mining/the_mistake</t>
  </si>
  <si>
    <t>Gold Miner</t>
  </si>
  <si>
    <t>8 Raw Gold</t>
  </si>
  <si>
    <t>Mine a stack of Raw Gold</t>
  </si>
  <si>
    <t>raw_gold</t>
  </si>
  <si>
    <t>blazeandcave:mining/gold_miner</t>
  </si>
  <si>
    <t>Master Gold Miner</t>
  </si>
  <si>
    <t>8 Gold Blocks</t>
  </si>
  <si>
    <t>Mine enough gold to make a stack of gold blocks</t>
  </si>
  <si>
    <t>gold_block</t>
  </si>
  <si>
    <t>blazeandcave:mining/master_gold_miner</t>
  </si>
  <si>
    <t>Bling Bling Gone</t>
  </si>
  <si>
    <t>Break a golden pickaxe</t>
  </si>
  <si>
    <t>Completely use up a golden pickaxe and then seriously reevaluate your life choices</t>
  </si>
  <si>
    <t>golden_pickaxe</t>
  </si>
  <si>
    <t>blazeandcave:mining/bling_bling_gone</t>
  </si>
  <si>
    <t>We've broken our last shovel</t>
  </si>
  <si>
    <t>Break a wooden, stone, iron, golden, diamond and netherite shovel</t>
  </si>
  <si>
    <t>Break all six types of shovels</t>
  </si>
  <si>
    <t>golden_shovel</t>
  </si>
  <si>
    <t>blazeandcave:mining/weve_broken_our_last_shovel</t>
  </si>
  <si>
    <t>MOAR Broken Tools</t>
  </si>
  <si>
    <t>4 Diamonds, 2 Netherite Ingots</t>
  </si>
  <si>
    <t>Break every single tool in the game</t>
  </si>
  <si>
    <t>shears</t>
  </si>
  <si>
    <t>blazeandcave:mining/moar_broken_tools</t>
  </si>
  <si>
    <t>Breaking</t>
  </si>
  <si>
    <t>Where are all your clothes?</t>
  </si>
  <si>
    <t>Break every type of armor piece in the game</t>
  </si>
  <si>
    <t>chainmail_leggings</t>
  </si>
  <si>
    <t>blazeandcave:mining/where_are_all_your_clothes</t>
  </si>
  <si>
    <t>DIAM- oh, wait, no</t>
  </si>
  <si>
    <t>8 Lapis Lazuli</t>
  </si>
  <si>
    <t>Obtain lapis lazuli</t>
  </si>
  <si>
    <t>It's still useful for enchanting</t>
  </si>
  <si>
    <t>lapis_lazuli</t>
  </si>
  <si>
    <t>blazeandcave:mining/diam_oh_wait_no</t>
  </si>
  <si>
    <t>Lapis Lazuli Miner</t>
  </si>
  <si>
    <t>8 Lapis Lazuli Blocks</t>
  </si>
  <si>
    <t>Mine enough lapis lazuli to craft a stack of lapis lazuli blocks</t>
  </si>
  <si>
    <t>lapis_block</t>
  </si>
  <si>
    <t>blazeandcave:mining/lapis_lazuli_miner</t>
  </si>
  <si>
    <t>Seeing Red</t>
  </si>
  <si>
    <t>4 Redstone Dust</t>
  </si>
  <si>
    <t>Obtain redstone dust</t>
  </si>
  <si>
    <t>Mine some redstone from the deepest caves</t>
  </si>
  <si>
    <t>redstone</t>
  </si>
  <si>
    <t>blazeandcave:mining/seeing_red</t>
  </si>
  <si>
    <t>The way to spawn</t>
  </si>
  <si>
    <t>Obtain a compass</t>
  </si>
  <si>
    <t>Craft a compass in case you forgot where spawn is</t>
  </si>
  <si>
    <t>compass</t>
  </si>
  <si>
    <t>blazeandcave:mining/the_way_to_spawn</t>
  </si>
  <si>
    <t>What's the time, Mr Wolf?</t>
  </si>
  <si>
    <t>Obtain a clock</t>
  </si>
  <si>
    <t>Time to clean your clocks! (Or, craft them)</t>
  </si>
  <si>
    <t>clock</t>
  </si>
  <si>
    <t>blazeandcave:mining/whats_the_time_mr_wolf</t>
  </si>
  <si>
    <t>Redstone Miner</t>
  </si>
  <si>
    <t>8 Redstone Blocks</t>
  </si>
  <si>
    <t>Mine enough redstone to craft a stack of redstone blocks</t>
  </si>
  <si>
    <t>redstone_block</t>
  </si>
  <si>
    <t>blazeandcave:mining/redstone_miner</t>
  </si>
  <si>
    <t>G.I. Geode</t>
  </si>
  <si>
    <t>4 Amethyst Shards</t>
  </si>
  <si>
    <t>Obtain an amethyst shard</t>
  </si>
  <si>
    <t>Find an Amethyst Geode and mine an Amethyst Cluster</t>
  </si>
  <si>
    <t>amethyst_cluster</t>
  </si>
  <si>
    <t>blazeandcave:mining/gi_geode</t>
  </si>
  <si>
    <t>Good For Your Bones</t>
  </si>
  <si>
    <t>Obtain calcite</t>
  </si>
  <si>
    <t>Mine some Calcite encasing an Amethyst Geode</t>
  </si>
  <si>
    <t>calcite</t>
  </si>
  <si>
    <t>blazeandcave:mining/good_for_your_bones</t>
  </si>
  <si>
    <t>Galileo Figaro</t>
  </si>
  <si>
    <t>Zoom in using a spyglass</t>
  </si>
  <si>
    <t>Zoom in on something using a Spyglass</t>
  </si>
  <si>
    <t>spyglass</t>
  </si>
  <si>
    <t>blazeandcave:mining/galileo_figaro</t>
  </si>
  <si>
    <t>Blackout</t>
  </si>
  <si>
    <t>4 Tinted Glass</t>
  </si>
  <si>
    <t>Place tinted glass</t>
  </si>
  <si>
    <t>Craft Tinted Glass using Glass and Amethyst Shards and use it to block out light</t>
  </si>
  <si>
    <t>tinted_glass</t>
  </si>
  <si>
    <t>blazeandcave:mining/blackout</t>
  </si>
  <si>
    <t>Amethyst Miner</t>
  </si>
  <si>
    <t>8 Amethyst Blocks</t>
  </si>
  <si>
    <t>Obtain 64 Amethyst Blocks, Clusters, and Small, Medium and Large Amethyst Buds</t>
  </si>
  <si>
    <t>Mine a stack of Amethyst Blocks, Amethyst Clusters, and every size of Amethyst Bud</t>
  </si>
  <si>
    <t>amethyst_block</t>
  </si>
  <si>
    <t>blazeandcave:mining/amethyst_miner</t>
  </si>
  <si>
    <t>Diamonds!</t>
  </si>
  <si>
    <t>1 Diamond</t>
  </si>
  <si>
    <t>Obtain diamonds</t>
  </si>
  <si>
    <t>diamond_ore</t>
  </si>
  <si>
    <t>minecraft:story/mine_diamond</t>
  </si>
  <si>
    <t>Iconic Merchandising Prop</t>
  </si>
  <si>
    <t>Obtain a diamond pickaxe</t>
  </si>
  <si>
    <t>Create a pickaxe of the highest calibre</t>
  </si>
  <si>
    <t>diamond_pickaxe</t>
  </si>
  <si>
    <t>blazeandcave:mining/iconic_merchandising_prop</t>
  </si>
  <si>
    <t>Stabcraft</t>
  </si>
  <si>
    <t>Obtain a diamond sword</t>
  </si>
  <si>
    <t>Do you like my sword sword?</t>
  </si>
  <si>
    <t>diamond_sword</t>
  </si>
  <si>
    <t>blazeandcave:mining/stabcraft</t>
  </si>
  <si>
    <t>Even MOAR tools</t>
  </si>
  <si>
    <t>2 Diamonds</t>
  </si>
  <si>
    <t>Craft a diamond pickaxe, shovel, axe and hoe</t>
  </si>
  <si>
    <t>Craft a full diamond tools set</t>
  </si>
  <si>
    <t>diamond_shovel</t>
  </si>
  <si>
    <t>blazeandcave:mining/even_moar_tools</t>
  </si>
  <si>
    <t>Rest in Pickaxes</t>
  </si>
  <si>
    <t>Break your first diamond pickaxe</t>
  </si>
  <si>
    <t>blazeandcave:mining/rest_in_pickaxes</t>
  </si>
  <si>
    <t>Cover Me With Diamonds</t>
  </si>
  <si>
    <t>Wear either a diamond helmet, chestplate, leggings, or boots</t>
  </si>
  <si>
    <t>Diamond armor saves lives</t>
  </si>
  <si>
    <t>diamond_chestplate</t>
  </si>
  <si>
    <t>minecraft:story/shiny_gear</t>
  </si>
  <si>
    <t>Diamond Clad</t>
  </si>
  <si>
    <t>3 Diamonds</t>
  </si>
  <si>
    <t>Wear a diamond helmet, chestplate, leggings, and boots at the same time</t>
  </si>
  <si>
    <t>A full suit of diamond armor saves even more lives</t>
  </si>
  <si>
    <t>diamond_helmet</t>
  </si>
  <si>
    <t>blazeandcave:mining/diamond_clad</t>
  </si>
  <si>
    <t>Diamond Miner</t>
  </si>
  <si>
    <t>8 Diamonds</t>
  </si>
  <si>
    <t>Mine a stack of diamonds. Good luck!</t>
  </si>
  <si>
    <t>deepslate_diamond_ore</t>
  </si>
  <si>
    <t>blazeandcave:mining/diamond_miner</t>
  </si>
  <si>
    <t>Diamonds to you!</t>
  </si>
  <si>
    <t>Throw a diamond and have any other entity pick it up</t>
  </si>
  <si>
    <t>Throw diamonds at another player or mob</t>
  </si>
  <si>
    <t>diamond</t>
  </si>
  <si>
    <t>blazeandcave:mining/diamonds_to_you</t>
  </si>
  <si>
    <t>Mineral Collection</t>
  </si>
  <si>
    <t>Craft every type of mineral block</t>
  </si>
  <si>
    <t>raw_gold_block</t>
  </si>
  <si>
    <t>blazeandcave:mining/mineral_collection</t>
  </si>
  <si>
    <t>Master Diamond Miner</t>
  </si>
  <si>
    <t>8 Diamond Blocks</t>
  </si>
  <si>
    <t>Mine enough diamond to make a stack of diamond blocks</t>
  </si>
  <si>
    <t>diamond_block</t>
  </si>
  <si>
    <t>blazeandcave:mining/master_diamond_miner</t>
  </si>
  <si>
    <t>Mr. Bean</t>
  </si>
  <si>
    <t>3 Raw Iron Blocks, 3 Raw Copper Blocks, 3 Raw Gold Blocks</t>
  </si>
  <si>
    <t>Craft a stack of Raw Iron, Copper and Gold Blocks</t>
  </si>
  <si>
    <t>raw_copper_block</t>
  </si>
  <si>
    <t>blazeandcave:mining/mr_bean</t>
  </si>
  <si>
    <t>Emerald Miner</t>
  </si>
  <si>
    <t>Obtain 64 Emerald Ore or 64 Deepslate Emerald Ore</t>
  </si>
  <si>
    <t>Mine a stack of raw emerald ore</t>
  </si>
  <si>
    <t>emerald_ore</t>
  </si>
  <si>
    <t>blazeandcave:mining/emerald_miner</t>
  </si>
  <si>
    <t>Oresome!</t>
  </si>
  <si>
    <t>Mine a stack of every ore block</t>
  </si>
  <si>
    <t>deepslate_redstone_ore</t>
  </si>
  <si>
    <t>blazeandcave:mining/oresome</t>
  </si>
  <si>
    <t>Hot Stuff</t>
  </si>
  <si>
    <t>Obtain a lava bucket</t>
  </si>
  <si>
    <t>Fill a bucket with lava</t>
  </si>
  <si>
    <t>lava_bucket</t>
  </si>
  <si>
    <t>minecraft:story/lava_bucket</t>
  </si>
  <si>
    <t>Ice Bucket Challenge</t>
  </si>
  <si>
    <t>2 Obsidian</t>
  </si>
  <si>
    <t>Obtain a block of obsidian</t>
  </si>
  <si>
    <t>Form and mine a block of obsidian</t>
  </si>
  <si>
    <t>obsidian</t>
  </si>
  <si>
    <t>minecraft:story/form_obsidian</t>
  </si>
  <si>
    <t>Enchanter</t>
  </si>
  <si>
    <t>3 Lapis Lazuli</t>
  </si>
  <si>
    <t>Craft an enchanting table</t>
  </si>
  <si>
    <t>enchanting_table</t>
  </si>
  <si>
    <t>minecraft:story/enchant_item</t>
  </si>
  <si>
    <t>We Need to Go Deeper</t>
  </si>
  <si>
    <t>Enter a nether portal block</t>
  </si>
  <si>
    <t>Build, light and enter a Nether Portal</t>
  </si>
  <si>
    <t>minecraft:story/enter_the_nether</t>
  </si>
  <si>
    <t>Obsidian Miner</t>
  </si>
  <si>
    <t>8 Obsidian</t>
  </si>
  <si>
    <t>Mine a stack of obsidian. (This might take a while...)</t>
  </si>
  <si>
    <t>blazeandcave:mining/obsidian_miner</t>
  </si>
  <si>
    <t>Building</t>
  </si>
  <si>
    <t>Place any block</t>
  </si>
  <si>
    <t>Your only limit is your imagination... and resources</t>
  </si>
  <si>
    <t>oak_planks</t>
  </si>
  <si>
    <t>blazeandcave:building/root</t>
  </si>
  <si>
    <t>Your Door Was Locked</t>
  </si>
  <si>
    <t>Obtain any type of door (can be an iron door)</t>
  </si>
  <si>
    <t>Craft a door to stop monsters from entering your house</t>
  </si>
  <si>
    <t>oak_door</t>
  </si>
  <si>
    <t>blazeandcave:building/your_door_was_locked</t>
  </si>
  <si>
    <t>Cut In Half</t>
  </si>
  <si>
    <t>Obtain any kind of slab</t>
  </si>
  <si>
    <t>Craft some slabs</t>
  </si>
  <si>
    <t>oak_slab</t>
  </si>
  <si>
    <t>blazeandcave:building/cut_in_half</t>
  </si>
  <si>
    <t>Stairs? NOOOOO!</t>
  </si>
  <si>
    <t>Obtain any kind of stairs</t>
  </si>
  <si>
    <t>Craft some stairs</t>
  </si>
  <si>
    <t>spruce_stairs</t>
  </si>
  <si>
    <t>blazeandcave:building/stairs_no</t>
  </si>
  <si>
    <t>Slabs For Days</t>
  </si>
  <si>
    <t>Craft every type of slab</t>
  </si>
  <si>
    <t>smooth_stone_slab</t>
  </si>
  <si>
    <t>blazeandcave:building/slabs_for_days</t>
  </si>
  <si>
    <t>Ah, My Old Enemy...</t>
  </si>
  <si>
    <t>Craft every type of stair</t>
  </si>
  <si>
    <t>stone_brick_stairs</t>
  </si>
  <si>
    <t>blazeandcave:building/ah_my_old_enemy</t>
  </si>
  <si>
    <t>Sweet Dreams</t>
  </si>
  <si>
    <t>Sleep in a bed. You do not have to pass the night</t>
  </si>
  <si>
    <t>Sleep in a bed to change your respawn point</t>
  </si>
  <si>
    <t>red_bed</t>
  </si>
  <si>
    <t>minecraft:adventure/sleep_in_bed</t>
  </si>
  <si>
    <t>Change of Sheets</t>
  </si>
  <si>
    <t>Obtain a bed of any color other than white</t>
  </si>
  <si>
    <t>Dye your bed a different color</t>
  </si>
  <si>
    <t>light_blue_bed</t>
  </si>
  <si>
    <t>blazeandcave:building/change_of_sheets</t>
  </si>
  <si>
    <t>Rainbow Dreams</t>
  </si>
  <si>
    <t>32 White Wool</t>
  </si>
  <si>
    <t>Craft every color of bed</t>
  </si>
  <si>
    <t>magenta_bed</t>
  </si>
  <si>
    <t>blazeandcave:building/rainbow_dreams</t>
  </si>
  <si>
    <t>Insomniac</t>
  </si>
  <si>
    <t>8 Phantom Membrane, 1 Pink Bed</t>
  </si>
  <si>
    <t>Go 30 days without sleep</t>
  </si>
  <si>
    <t>phantom_spawn_egg</t>
  </si>
  <si>
    <t>blazeandcave:building/insomniac</t>
  </si>
  <si>
    <t>Ladder Climbers Inc.</t>
  </si>
  <si>
    <t>Enter a ladder block</t>
  </si>
  <si>
    <t>Climb the ladder!</t>
  </si>
  <si>
    <t>ladder</t>
  </si>
  <si>
    <t>blazeandcave:building/ladder_climbers_inc</t>
  </si>
  <si>
    <t>It's a Trap!</t>
  </si>
  <si>
    <t>Place any type of trapdoor (can be an iron trapdoor)</t>
  </si>
  <si>
    <t>Craft and place down a trapdoor</t>
  </si>
  <si>
    <t>oak_trapdoor</t>
  </si>
  <si>
    <t>blazeandcave:building/its_a_trap</t>
  </si>
  <si>
    <t>Aaaaaand... OPEN!</t>
  </si>
  <si>
    <t>Place an iron door</t>
  </si>
  <si>
    <t>Craft and place an iron door</t>
  </si>
  <si>
    <t>iron_door</t>
  </si>
  <si>
    <t>blazeandcave:building/and_open</t>
  </si>
  <si>
    <t>En Garde</t>
  </si>
  <si>
    <t>Place any type of fence (can be nether brick fence)</t>
  </si>
  <si>
    <t>Erect some fencing</t>
  </si>
  <si>
    <t>blazeandcave:building/en_garde</t>
  </si>
  <si>
    <t>The Walls</t>
  </si>
  <si>
    <t>8 Cobblestone</t>
  </si>
  <si>
    <t>Place a cobblestone wall</t>
  </si>
  <si>
    <t>Put up some cobblestone walls</t>
  </si>
  <si>
    <t>cobblestone_wall</t>
  </si>
  <si>
    <t>blazeandcave:building/the_walls</t>
  </si>
  <si>
    <t>Crazy Walls</t>
  </si>
  <si>
    <t>Craft every type of wall</t>
  </si>
  <si>
    <t>sandstone_wall</t>
  </si>
  <si>
    <t>blazeandcave:building/crazy_walls</t>
  </si>
  <si>
    <t>Stationary Storage</t>
  </si>
  <si>
    <t>2 Chests</t>
  </si>
  <si>
    <t>Place a chest</t>
  </si>
  <si>
    <t>Craft and place a chest for storing your items</t>
  </si>
  <si>
    <t>chest</t>
  </si>
  <si>
    <t>blazeandcave:building/stationary_storage</t>
  </si>
  <si>
    <t>Barrel Rider</t>
  </si>
  <si>
    <t>2 Barrels</t>
  </si>
  <si>
    <t>Place a barrel</t>
  </si>
  <si>
    <t>Craft and place a barrel. Totally not for riding in</t>
  </si>
  <si>
    <t>barrel</t>
  </si>
  <si>
    <t>blazeandcave:building/barrel_rider</t>
  </si>
  <si>
    <t>Writer's Block</t>
  </si>
  <si>
    <t>Place a lectern</t>
  </si>
  <si>
    <t>Craft a lectern using wooden slabs and a bookshelf then place it</t>
  </si>
  <si>
    <t>lectern</t>
  </si>
  <si>
    <t>blazeandcave:building/writers_block</t>
  </si>
  <si>
    <t>Shelf Expression</t>
  </si>
  <si>
    <t>Place a book inside a Chiseled Bookshelf such that all slots become occupied</t>
  </si>
  <si>
    <t>Fill a Chiseled Bookshelf with books</t>
  </si>
  <si>
    <t>chiseled_bookshelf</t>
  </si>
  <si>
    <t>blazeandcave:building/shelf_expression</t>
  </si>
  <si>
    <t>It's a Sign!</t>
  </si>
  <si>
    <t>Place any type of sign</t>
  </si>
  <si>
    <t>Craft and place a sign</t>
  </si>
  <si>
    <t>oak_sign</t>
  </si>
  <si>
    <t>blazeandcave:building/its_a_sign</t>
  </si>
  <si>
    <t>Hanging Around</t>
  </si>
  <si>
    <t>Place any type of hanging sign</t>
  </si>
  <si>
    <t>Put up a Hanging Sign</t>
  </si>
  <si>
    <t>oak_hanging_sign</t>
  </si>
  <si>
    <t>blazeandcave:building/hanging_around</t>
  </si>
  <si>
    <t>Sign Off</t>
  </si>
  <si>
    <t>4 Honeycomb</t>
  </si>
  <si>
    <t>Use honeycomb on any sign</t>
  </si>
  <si>
    <t>Use honeycomb to wax a sign, setting its ink for eternity</t>
  </si>
  <si>
    <t>blazeandcave:building/sign_off</t>
  </si>
  <si>
    <t>Colors of the Wind</t>
  </si>
  <si>
    <t>Use all 16 dyes on any sign</t>
  </si>
  <si>
    <t>Dye a sign with each color of dye</t>
  </si>
  <si>
    <t>yellow_dye</t>
  </si>
  <si>
    <t>blazeandcave:building/colors_of_the_wind</t>
  </si>
  <si>
    <t>Help! I've been framed!</t>
  </si>
  <si>
    <t>Obtain an item frame</t>
  </si>
  <si>
    <t>Craft an item frame for displaying your items</t>
  </si>
  <si>
    <t>item_frame</t>
  </si>
  <si>
    <t>blazeandcave:building/help_ive_been_framed</t>
  </si>
  <si>
    <t>A Masterpiece!</t>
  </si>
  <si>
    <t>Place a painting</t>
  </si>
  <si>
    <t>Put up a painting</t>
  </si>
  <si>
    <t>painting</t>
  </si>
  <si>
    <t>blazeandcave:building/a_masterpiece</t>
  </si>
  <si>
    <t>Art Gallery</t>
  </si>
  <si>
    <r>
      <rPr>
        <rFont val="Arial"/>
      </rPr>
      <t xml:space="preserve">Every painting is listed on Minecraft wiki at </t>
    </r>
    <r>
      <rPr>
        <rFont val="Arial"/>
        <color rgb="FF4582C1"/>
        <u/>
      </rPr>
      <t>https://minecraft.wiki/w/Painting</t>
    </r>
    <r>
      <rPr>
        <rFont val="Arial"/>
      </rPr>
      <t xml:space="preserve"> </t>
    </r>
  </si>
  <si>
    <t>Place every type of painting</t>
  </si>
  <si>
    <t>green_stained_glass_pane</t>
  </si>
  <si>
    <t>blazeandcave:building/art_gallery</t>
  </si>
  <si>
    <t>Raise the flag!</t>
  </si>
  <si>
    <t>Craft and place a banner</t>
  </si>
  <si>
    <t>cyan_banner</t>
  </si>
  <si>
    <t>blazeandcave:building/raise_the_flag</t>
  </si>
  <si>
    <t>Prepare to Meet Your Loom!</t>
  </si>
  <si>
    <t>Obtain a loom</t>
  </si>
  <si>
    <t>Craft a loom with string and planks for creating your own banners</t>
  </si>
  <si>
    <t>loom</t>
  </si>
  <si>
    <t>blazeandcave:building/prepare_to_meet_your_loom</t>
  </si>
  <si>
    <t>No Banner, only Color!</t>
  </si>
  <si>
    <t>Craft all 16 banner colors</t>
  </si>
  <si>
    <t>magenta_banner</t>
  </si>
  <si>
    <t>blazeandcave:building/no_banner_only_color</t>
  </si>
  <si>
    <t>Fruit of the Looms</t>
  </si>
  <si>
    <t>1 Enchanted Golden Apple</t>
  </si>
  <si>
    <t>Craft all the special banner patterns</t>
  </si>
  <si>
    <t>creeper_banner_pattern</t>
  </si>
  <si>
    <t>blazeandcave:building/fruit_of_the_looms</t>
  </si>
  <si>
    <t>Torched!</t>
  </si>
  <si>
    <t>8 Torches</t>
  </si>
  <si>
    <t>Place a torch</t>
  </si>
  <si>
    <t>Light up the area with some torches</t>
  </si>
  <si>
    <t>torch</t>
  </si>
  <si>
    <t>blazeandcave:building/torched</t>
  </si>
  <si>
    <t>Camping Out</t>
  </si>
  <si>
    <t>Craft and place a campfire using some logs, sticks and coal</t>
  </si>
  <si>
    <t>campfire</t>
  </si>
  <si>
    <t>blazeandcave:building/camping_out</t>
  </si>
  <si>
    <t>Delicious, Hot Schmoes!</t>
  </si>
  <si>
    <t>8 Steak</t>
  </si>
  <si>
    <t>Place every type of cookable food on a campfire</t>
  </si>
  <si>
    <t>rabbit</t>
  </si>
  <si>
    <t>blazeandcave:building/delicious_hot_schmoes</t>
  </si>
  <si>
    <t>Spawn Camping</t>
  </si>
  <si>
    <t>16 Porkchops</t>
  </si>
  <si>
    <t>Place a campfire with x and z coordinates both being between -10 and 10</t>
  </si>
  <si>
    <t>Travel close to 0,0 coordinates and place down a campfire</t>
  </si>
  <si>
    <t>ender_eye</t>
  </si>
  <si>
    <t>blazeandcave:building/spawn_camping</t>
  </si>
  <si>
    <t>Halloween!</t>
  </si>
  <si>
    <t>4 Jack o' Lanterns</t>
  </si>
  <si>
    <t>Place a jack o' lantern</t>
  </si>
  <si>
    <t>Light up with jack o' lanterns!</t>
  </si>
  <si>
    <t>jack_o_lantern</t>
  </si>
  <si>
    <t>blazeandcave:building/halloween</t>
  </si>
  <si>
    <t>One Pickle, Two Pickle, Sea Pickle, Four</t>
  </si>
  <si>
    <t>8 Sea Pickles</t>
  </si>
  <si>
    <t>Place a sea pickle on top of three existing sea pickles to create a group of four</t>
  </si>
  <si>
    <t>Place four sea pickles in a group underwater</t>
  </si>
  <si>
    <t>sea_pickle</t>
  </si>
  <si>
    <t>blazeandcave:building/one_pickle_two_pickle_sea_pickle_four</t>
  </si>
  <si>
    <t>Setting up the mood</t>
  </si>
  <si>
    <t>8 Candles</t>
  </si>
  <si>
    <t>Light any type of candle or candle cake using either Flint and Steel or a Fire Charge</t>
  </si>
  <si>
    <t>Place a candle and light it using Flint and Steel</t>
  </si>
  <si>
    <t>candle</t>
  </si>
  <si>
    <t>blazeandcave:building/setting_up_the_mood</t>
  </si>
  <si>
    <t>The Ritual Begins</t>
  </si>
  <si>
    <t>8 Black Candles</t>
  </si>
  <si>
    <t>Get one stack of Black Candles</t>
  </si>
  <si>
    <t>black_candle</t>
  </si>
  <si>
    <t>blazeandcave:building/the_ritual_begins</t>
  </si>
  <si>
    <t>Happy Birthday!</t>
  </si>
  <si>
    <t>Place a candle on a cake</t>
  </si>
  <si>
    <t>cake</t>
  </si>
  <si>
    <t>blazeandcave:building/happy_birthday</t>
  </si>
  <si>
    <t>Festival of Lights</t>
  </si>
  <si>
    <t>8 Lanterns</t>
  </si>
  <si>
    <t>Place a lantern</t>
  </si>
  <si>
    <t>Light up the area using a lantern</t>
  </si>
  <si>
    <t>lantern</t>
  </si>
  <si>
    <t>blazeandcave:building/festival_of_lights</t>
  </si>
  <si>
    <t>Glowing!</t>
  </si>
  <si>
    <t>4 Glowstone</t>
  </si>
  <si>
    <t>Place a glowstone block</t>
  </si>
  <si>
    <t>Light up the area with glowstone</t>
  </si>
  <si>
    <t>glowstone</t>
  </si>
  <si>
    <t>blazeandcave:building/glowing</t>
  </si>
  <si>
    <t>Shroom Lightyear</t>
  </si>
  <si>
    <t>8 Shroomlight</t>
  </si>
  <si>
    <t>Place a shroomlight</t>
  </si>
  <si>
    <t>Light up the area with Shroomlight!</t>
  </si>
  <si>
    <t>shroomlight</t>
  </si>
  <si>
    <t>blazeandcave:building/shroom_lightyear</t>
  </si>
  <si>
    <t>Cerulean!</t>
  </si>
  <si>
    <t>16 Soul Soil</t>
  </si>
  <si>
    <t>Place a soul fire torch and a soul fire lantern</t>
  </si>
  <si>
    <t>Light up the area with soul fire torches and soul fire lanterns!</t>
  </si>
  <si>
    <t>soul_torch</t>
  </si>
  <si>
    <t>blazeandcave:building/cerulean</t>
  </si>
  <si>
    <t>Incandescent!</t>
  </si>
  <si>
    <t>4 Ochre, Verdant and Pearlescent Froglights</t>
  </si>
  <si>
    <t>Place Ochre, Verdant and Pearlescent Froglights</t>
  </si>
  <si>
    <t>Light up the area with all three hues of Froglight</t>
  </si>
  <si>
    <t>verdant_froglight</t>
  </si>
  <si>
    <t>minecraft:husbandry/froglights</t>
  </si>
  <si>
    <t>Electric!</t>
  </si>
  <si>
    <t>4 Redstone Lamps</t>
  </si>
  <si>
    <t>Place a redstone lamp</t>
  </si>
  <si>
    <t>Light up the area with some redstone lamps</t>
  </si>
  <si>
    <t>redstone_lamp</t>
  </si>
  <si>
    <t>blazeandcave:building/electric</t>
  </si>
  <si>
    <t>Bulbous!</t>
  </si>
  <si>
    <t>4 Copper Bulbs</t>
  </si>
  <si>
    <t>Place any Copper Bulb</t>
  </si>
  <si>
    <t>Light up the area with a Copper Bulb!</t>
  </si>
  <si>
    <t>copper_bulb</t>
  </si>
  <si>
    <t>blazeandcave:building/bulbous</t>
  </si>
  <si>
    <t>Trials</t>
  </si>
  <si>
    <t>Lighten Up</t>
  </si>
  <si>
    <t>Use an axe on a Copper Bulb that is either waxed or exposed, weathered or oxidized</t>
  </si>
  <si>
    <t>Scrape a Copper Bulb with an axe to make it brighter</t>
  </si>
  <si>
    <t>weathered_copper_bulb</t>
  </si>
  <si>
    <t>minecraft:adventure/lighten_up</t>
  </si>
  <si>
    <t>Expensive!</t>
  </si>
  <si>
    <t>4 Sea Lanterns</t>
  </si>
  <si>
    <t>Place a sea lantern</t>
  </si>
  <si>
    <t>Light up the area with some sea lanterns</t>
  </si>
  <si>
    <t>sea_lantern</t>
  </si>
  <si>
    <t>blazeandcave:building/expensive</t>
  </si>
  <si>
    <t>Fluorescent!</t>
  </si>
  <si>
    <t>4 End Rods</t>
  </si>
  <si>
    <t>Place an end rod</t>
  </si>
  <si>
    <t>Light up the area with some end rods</t>
  </si>
  <si>
    <t>end_rod</t>
  </si>
  <si>
    <t>blazeandcave:building/fluorescent</t>
  </si>
  <si>
    <t>Let There Be Light!</t>
  </si>
  <si>
    <t>Hold a stack of every light-emitting block and item</t>
  </si>
  <si>
    <t>soul_lantern</t>
  </si>
  <si>
    <t>blazeandcave:building/let_there_be_light</t>
  </si>
  <si>
    <t>A Good Start</t>
  </si>
  <si>
    <t>8 Logs of the type that you got a stack of</t>
  </si>
  <si>
    <t>Chop down enough trees to collect a full stack of one log type</t>
  </si>
  <si>
    <t>oak_log</t>
  </si>
  <si>
    <t>blazeandcave:building/a_good_start</t>
  </si>
  <si>
    <t>Barking mad</t>
  </si>
  <si>
    <t>Obtain a "wood" or "hyphae" block of any kind</t>
  </si>
  <si>
    <t>Craft a bark block</t>
  </si>
  <si>
    <t>oak_wood</t>
  </si>
  <si>
    <t>blazeandcave:building/barking_mad</t>
  </si>
  <si>
    <t>Lost its bark</t>
  </si>
  <si>
    <t>Strip a wood or hyphae block using an axe</t>
  </si>
  <si>
    <t>Strip a bark block of its bark</t>
  </si>
  <si>
    <t>stripped_oak_wood</t>
  </si>
  <si>
    <t>blazeandcave:building/lost_its_bark</t>
  </si>
  <si>
    <t>Professor Oak</t>
  </si>
  <si>
    <t>16 Oak Logs</t>
  </si>
  <si>
    <t>Craft every type of item made out of oak wood</t>
  </si>
  <si>
    <t>oak_sapling</t>
  </si>
  <si>
    <t>blazeandcave:building/professor_oak</t>
  </si>
  <si>
    <t>Spruce Lee</t>
  </si>
  <si>
    <t>16 Spruce Logs</t>
  </si>
  <si>
    <t>Craft every type of item made out of spruce wood</t>
  </si>
  <si>
    <t>spruce_sapling</t>
  </si>
  <si>
    <t>blazeandcave:building/spruce_lee</t>
  </si>
  <si>
    <t>Professor Birch</t>
  </si>
  <si>
    <t>16 Birch Logs</t>
  </si>
  <si>
    <t>Craft every type of item made out of birch wood</t>
  </si>
  <si>
    <t>birch_sapling</t>
  </si>
  <si>
    <t>blazeandcave:building/professor_birch</t>
  </si>
  <si>
    <t>The Jungler</t>
  </si>
  <si>
    <t>16 Jungle Logs</t>
  </si>
  <si>
    <t>Craft every type of item made out of jungle wood</t>
  </si>
  <si>
    <t>jungle_sapling</t>
  </si>
  <si>
    <t>blazeandcave:building/the_jungler</t>
  </si>
  <si>
    <t>Bamboozled</t>
  </si>
  <si>
    <t>32 Bamboo Blocks</t>
  </si>
  <si>
    <t>Craft every type of item made out of bamboo wood</t>
  </si>
  <si>
    <t>bamboo</t>
  </si>
  <si>
    <t>blazeandcave:building/bamboozled</t>
  </si>
  <si>
    <t>Mangrove Master</t>
  </si>
  <si>
    <t>16 Mangrove Logs</t>
  </si>
  <si>
    <t>Craft every type of item made out of mangrove wood</t>
  </si>
  <si>
    <t>mangrove_propagule</t>
  </si>
  <si>
    <t>blazeandcave:building/mangrove_master</t>
  </si>
  <si>
    <t>The Acacia King</t>
  </si>
  <si>
    <t>16 Acacia Logs</t>
  </si>
  <si>
    <t>Craft every type of item made out of acacia wood</t>
  </si>
  <si>
    <t>acacia_sapling</t>
  </si>
  <si>
    <t>blazeandcave:building/the_acacia_king</t>
  </si>
  <si>
    <t>Professor Dark Oak</t>
  </si>
  <si>
    <t>16 Dark Oak Logs</t>
  </si>
  <si>
    <t>Craft every type of item made out of dark oak wood</t>
  </si>
  <si>
    <t>dark_oak_sapling</t>
  </si>
  <si>
    <t>blazeandcave:building/professor_dark_oak</t>
  </si>
  <si>
    <t>Cherry Bomb</t>
  </si>
  <si>
    <t>16 Cherry Logs</t>
  </si>
  <si>
    <t>Craft every type of item made out of cherry wood</t>
  </si>
  <si>
    <t>cherry_sapling</t>
  </si>
  <si>
    <t>blazeandcave:building/cherry_bomb</t>
  </si>
  <si>
    <t>Yay! I got my wood!</t>
  </si>
  <si>
    <r>
      <rPr>
        <rFont val="Arial"/>
        <b val="0"/>
        <i val="0"/>
        <color theme="1"/>
      </rPr>
      <t xml:space="preserve">Obtain every type of log and stem. </t>
    </r>
    <r>
      <rPr>
        <rFont val="Arial"/>
        <b/>
        <color theme="1"/>
      </rPr>
      <t>See types below</t>
    </r>
  </si>
  <si>
    <t>Collect every type of log and stem</t>
  </si>
  <si>
    <t>acacia_log</t>
  </si>
  <si>
    <t>blazeandcave:building/yay_i_got_my_wood</t>
  </si>
  <si>
    <t>Stripper</t>
  </si>
  <si>
    <r>
      <rPr>
        <rFont val="Arial"/>
        <b val="0"/>
        <i val="0"/>
        <color theme="1"/>
      </rPr>
      <t xml:space="preserve">Strip every type of log and stem. </t>
    </r>
    <r>
      <rPr>
        <rFont val="Arial"/>
        <b/>
        <color theme="1"/>
      </rPr>
      <t>See types below</t>
    </r>
  </si>
  <si>
    <t>Strip the bark off every type of log, stem and bamboo block</t>
  </si>
  <si>
    <t>stripped_jungle_log</t>
  </si>
  <si>
    <t>blazeandcave:building/stripper</t>
  </si>
  <si>
    <t>Master Logger</t>
  </si>
  <si>
    <r>
      <rPr>
        <rFont val="Arial"/>
        <b val="0"/>
        <i val="0"/>
        <color theme="1"/>
      </rPr>
      <t xml:space="preserve">Obtain 64 of every type of log and stem. </t>
    </r>
    <r>
      <rPr>
        <rFont val="Arial"/>
        <b/>
        <color theme="1"/>
      </rPr>
      <t>See types below</t>
    </r>
  </si>
  <si>
    <t>Cut down a full stack of logs and stems of all types</t>
  </si>
  <si>
    <t>birch_log</t>
  </si>
  <si>
    <t>blazeandcave:building/master_logger</t>
  </si>
  <si>
    <t>I don't like sand</t>
  </si>
  <si>
    <t>8 Sand</t>
  </si>
  <si>
    <t>Obtain sand</t>
  </si>
  <si>
    <t>It's coarse, and rough, and irritating, and it gets everywhere</t>
  </si>
  <si>
    <t>sand</t>
  </si>
  <si>
    <t>blazeandcave:building/i_dont_like_sand</t>
  </si>
  <si>
    <t>Pathways</t>
  </si>
  <si>
    <t>Right-click a grass block using any shovel</t>
  </si>
  <si>
    <t>Use a shovel to create dirt paths</t>
  </si>
  <si>
    <t>dirt_path</t>
  </si>
  <si>
    <t>blazeandcave:building/pathways</t>
  </si>
  <si>
    <t>Grass Type</t>
  </si>
  <si>
    <t>1 Silk Touch Enchanted Book</t>
  </si>
  <si>
    <t>Obtain grass block, podzol, mycelium, crimson nylium, and warped nylium</t>
  </si>
  <si>
    <t>Obtain every type of grass block in your inventory</t>
  </si>
  <si>
    <t>podzol</t>
  </si>
  <si>
    <t>blazeandcave:building/grass_type</t>
  </si>
  <si>
    <t>Skyblock</t>
  </si>
  <si>
    <t>1 Water Bucket, 1 Lava Bucket, 1 Oak Sapling</t>
  </si>
  <si>
    <t>Place a grass block at y-level 280 or higher in the Overworld</t>
  </si>
  <si>
    <t>Place a Grass Block high in the sky</t>
  </si>
  <si>
    <t>grass_block</t>
  </si>
  <si>
    <t>blazeandcave:building/skyblock</t>
  </si>
  <si>
    <t>Classy Glassy</t>
  </si>
  <si>
    <t>8 Glass</t>
  </si>
  <si>
    <t>Obtain a glass block</t>
  </si>
  <si>
    <t>Smelt sand in a furnace to get glass</t>
  </si>
  <si>
    <t>glass</t>
  </si>
  <si>
    <t>blazeandcave:building/classy_glassy</t>
  </si>
  <si>
    <t>What a pane</t>
  </si>
  <si>
    <t>Craft some glass panes</t>
  </si>
  <si>
    <t>glass_pane</t>
  </si>
  <si>
    <t>blazeandcave:building/what_a_pane</t>
  </si>
  <si>
    <t>Translucence</t>
  </si>
  <si>
    <t>32 Glass</t>
  </si>
  <si>
    <t>Craft every color of stained glass</t>
  </si>
  <si>
    <t>magenta_stained_glass</t>
  </si>
  <si>
    <t>blazeandcave:building/translucence</t>
  </si>
  <si>
    <t>Pane in the Glass</t>
  </si>
  <si>
    <t>Craft a stack of all 16 colors of stained glass panes</t>
  </si>
  <si>
    <t>light_blue_stained_glass_pane</t>
  </si>
  <si>
    <t>blazeandcave:building/pane_in_the_glass</t>
  </si>
  <si>
    <t>Stuck in the Mud</t>
  </si>
  <si>
    <t>4 Mud</t>
  </si>
  <si>
    <t>Use a Water Bottle on some Dirt to turn it into Mud</t>
  </si>
  <si>
    <t>mud</t>
  </si>
  <si>
    <t>blazeandcave:building/stuck_in_the_mud</t>
  </si>
  <si>
    <t>Elmer Mudd</t>
  </si>
  <si>
    <t>64 Packed Mud</t>
  </si>
  <si>
    <t>Obtain Mud, Packed Mud, Muddy Mangrove Roots, Mud Brick blocks, slabs, stairs and walls</t>
  </si>
  <si>
    <t>Craft or obtain all forms of Mud and Mud Brick</t>
  </si>
  <si>
    <t>mud_bricks</t>
  </si>
  <si>
    <t>blazeandcave:building/elmer_mudd</t>
  </si>
  <si>
    <t>Rainbow Sand</t>
  </si>
  <si>
    <t>Obtain any color of concrete powder</t>
  </si>
  <si>
    <t>Craft concrete powder using sand, gravel and dye</t>
  </si>
  <si>
    <t>light_blue_concrete_powder</t>
  </si>
  <si>
    <t>blazeandcave:building/rainbow_sand</t>
  </si>
  <si>
    <t>Concrete Evidence</t>
  </si>
  <si>
    <t>Obtain any color of concrete</t>
  </si>
  <si>
    <t>Create concrete from concrete powder by dropping it into water</t>
  </si>
  <si>
    <t>light_blue_concrete</t>
  </si>
  <si>
    <t>blazeandcave:building/concrete_evidence</t>
  </si>
  <si>
    <t>The Rainbow You Always Wanted</t>
  </si>
  <si>
    <t>32 Sand, 32 Gravel</t>
  </si>
  <si>
    <t>Craft every color of concrete</t>
  </si>
  <si>
    <t>magenta_concrete</t>
  </si>
  <si>
    <t>blazeandcave:building/the_rainbow_you_always_wanted</t>
  </si>
  <si>
    <t>Clay-Dough!</t>
  </si>
  <si>
    <t>Obtain clay</t>
  </si>
  <si>
    <t>Dig up some clay from a lake</t>
  </si>
  <si>
    <t>clay_ball</t>
  </si>
  <si>
    <t>blazeandcave:building/clay_dough</t>
  </si>
  <si>
    <t>Bricks!</t>
  </si>
  <si>
    <t>8 Brick Blocks</t>
  </si>
  <si>
    <t>Obtain a brick block</t>
  </si>
  <si>
    <t>Fire up that clay!</t>
  </si>
  <si>
    <t>bricks</t>
  </si>
  <si>
    <t>blazeandcave:building/bricks</t>
  </si>
  <si>
    <t>Pot Planter</t>
  </si>
  <si>
    <t>Craft and place a flower pot</t>
  </si>
  <si>
    <t>flower_pot</t>
  </si>
  <si>
    <t>blazeandcave:building/pot_planter</t>
  </si>
  <si>
    <t>Harry Potter</t>
  </si>
  <si>
    <t>64 Clay, 64 Bone Meal</t>
  </si>
  <si>
    <t>Place every type of plant in a flower pot</t>
  </si>
  <si>
    <t>lily_of_the_valley</t>
  </si>
  <si>
    <t>blazeandcave:building/harry_potter</t>
  </si>
  <si>
    <t>Blocks Misc.</t>
  </si>
  <si>
    <t>The Terracotta Army</t>
  </si>
  <si>
    <t>Craft every color of terracotta (stained clay)</t>
  </si>
  <si>
    <t>magenta_terracotta</t>
  </si>
  <si>
    <t>blazeandcave:building/the_terracotta_army</t>
  </si>
  <si>
    <t>The Glazed Terracotta Army</t>
  </si>
  <si>
    <t>Craft every color of glazed terracotta</t>
  </si>
  <si>
    <t>magenta_glazed_terracotta</t>
  </si>
  <si>
    <t>blazeandcave:building/the_glazed_terracotta_army</t>
  </si>
  <si>
    <t>Rock Collection</t>
  </si>
  <si>
    <t>16 Cobblestone</t>
  </si>
  <si>
    <t>Obtain cobblestone, granite, andesite, diorite, tuff, calcite, dripstone block, cobbled grimstone and smooth basalt</t>
  </si>
  <si>
    <t>Collect all the different types of rocks</t>
  </si>
  <si>
    <t>granite</t>
  </si>
  <si>
    <t>blazeandcave:building/rock_collection</t>
  </si>
  <si>
    <t>Rock Polish</t>
  </si>
  <si>
    <t>Obtain polished andesite, diorite, granite, deepslate, tuff, basalt and blackstone</t>
  </si>
  <si>
    <t>Craft every type of polished block</t>
  </si>
  <si>
    <t>polished_diorite</t>
  </si>
  <si>
    <t>blazeandcave:building/rock_polish</t>
  </si>
  <si>
    <t>Fake stronghold</t>
  </si>
  <si>
    <t>32 Stone Bricks</t>
  </si>
  <si>
    <t>Obtain stone brick and mossy stone brick blocks, slabs, stairs and walls, and cracked and chiseled stone bricks</t>
  </si>
  <si>
    <t>Craft or obtain all forms of normal, cracked, mossy and chiseled stone bricks</t>
  </si>
  <si>
    <t>cracked_stone_bricks</t>
  </si>
  <si>
    <t>blazeandcave:building/fake_stronghold</t>
  </si>
  <si>
    <t>Jailhouse Block</t>
  </si>
  <si>
    <t>Craft or find some iron bars</t>
  </si>
  <si>
    <t>iron_bars</t>
  </si>
  <si>
    <t>blazeandcave:building/jailhouse_block</t>
  </si>
  <si>
    <t>Creepers and Withers</t>
  </si>
  <si>
    <t>Obtain chiseled sandstone and chiseled red sandstone</t>
  </si>
  <si>
    <t>Engrave sandstone with creeper and wither patterns</t>
  </si>
  <si>
    <t>chiseled_sandstone</t>
  </si>
  <si>
    <t>blazeandcave:building/creepers_and_withers</t>
  </si>
  <si>
    <t>Built on Sand, Set in Stone</t>
  </si>
  <si>
    <t>32 Sand, 32 Red Sand</t>
  </si>
  <si>
    <t>Craft or collect a stack of all forms of Sandstone and Red Sandstone</t>
  </si>
  <si>
    <t>smooth_red_sandstone_stairs</t>
  </si>
  <si>
    <t>blazeandcave:building/built_on_sand_set_in_stone</t>
  </si>
  <si>
    <t>Tuff Stuff</t>
  </si>
  <si>
    <t>Craft or collect all forms of Tuff, Polished Tuff, and Tuff Bricks</t>
  </si>
  <si>
    <t>chiseled_tuff_bricks</t>
  </si>
  <si>
    <t>blazeandcave:building/tuff_stuff</t>
  </si>
  <si>
    <t>Deepslate Conspiracy</t>
  </si>
  <si>
    <t>64 Deepslate</t>
  </si>
  <si>
    <t>Craft all forms of Deepslate, Polished Deepslate, Deepslate Bricks and Deepslate Tiles</t>
  </si>
  <si>
    <t>deepslate_tiles</t>
  </si>
  <si>
    <t>blazeandcave:building/deepslate_conspiracy</t>
  </si>
  <si>
    <t>Fake fortress</t>
  </si>
  <si>
    <t>64 Nether Brick items</t>
  </si>
  <si>
    <t>Craft or collect all forms of nether brick and red nether brick</t>
  </si>
  <si>
    <t>red_nether_bricks</t>
  </si>
  <si>
    <t>blazeandcave:building/fake_fortress</t>
  </si>
  <si>
    <t>Greek Art Decor</t>
  </si>
  <si>
    <t>32 Quartz Blocks</t>
  </si>
  <si>
    <t>Obtain quartz and smooth quartz blocks, slabs and stairs, quartz pillars and bricks and chiseled quartz blocks</t>
  </si>
  <si>
    <t>Craft all forms of quartz blocks</t>
  </si>
  <si>
    <t>chiseled_quartz_block</t>
  </si>
  <si>
    <t>blazeandcave:building/greek_art_decor</t>
  </si>
  <si>
    <t>Fake monument</t>
  </si>
  <si>
    <t>64 Prismarine Shards, 16 Prismarine Crystals</t>
  </si>
  <si>
    <t>Obtain prismarine, dark prismarine and prismarine brick blocks, slabs, stairs, and prismarine walls</t>
  </si>
  <si>
    <t>Craft or collect all forms of prismarine blocks</t>
  </si>
  <si>
    <t>prismarine_bricks</t>
  </si>
  <si>
    <t>blazeandcave:building/fake_monument</t>
  </si>
  <si>
    <t>No Chain, No Gain</t>
  </si>
  <si>
    <t>8 Chains</t>
  </si>
  <si>
    <t>Craft a chain using an iron ingot and iron nuggets</t>
  </si>
  <si>
    <t>chain</t>
  </si>
  <si>
    <t>blazeandcave:building/no_chain_no_gain</t>
  </si>
  <si>
    <t>Blackstonehenge</t>
  </si>
  <si>
    <t>64 Blackstone</t>
  </si>
  <si>
    <t>Craft all forms of Blackstone, Polished Blackstone and Polished Blackstone Bricks</t>
  </si>
  <si>
    <t>polished_blackstone_bricks</t>
  </si>
  <si>
    <t>blazeandcave:building/blackstonehenge</t>
  </si>
  <si>
    <t>Its original form</t>
  </si>
  <si>
    <t>Obtain a block of stone</t>
  </si>
  <si>
    <t>Use your furnace to smelt cobblestone back into normal stone</t>
  </si>
  <si>
    <t>blazeandcave:building/its_original_form</t>
  </si>
  <si>
    <t>Smooth, dude!</t>
  </si>
  <si>
    <t>Smelt normal stone further into smooth stone</t>
  </si>
  <si>
    <t>smooth_stone</t>
  </si>
  <si>
    <t>blazeandcave:building/smooth_dude</t>
  </si>
  <si>
    <t>Blast it!</t>
  </si>
  <si>
    <t>Upgrade your furnace to a blast furnace using iron and smooth stone for smelting ores quicker</t>
  </si>
  <si>
    <t>blast_furnace</t>
  </si>
  <si>
    <t>blazeandcave:building/blast_it</t>
  </si>
  <si>
    <t>Mannequin</t>
  </si>
  <si>
    <t>Place an armor stand</t>
  </si>
  <si>
    <t>Craft and place an armor stand</t>
  </si>
  <si>
    <t>armor_stand</t>
  </si>
  <si>
    <t>blazeandcave:building/mannequin</t>
  </si>
  <si>
    <t>Living Dummy</t>
  </si>
  <si>
    <t>Get killed by thorns damage from an Armor Stand that is equipped with Thorns-enchanted armor</t>
  </si>
  <si>
    <t>Get killed from hitting an Armor Stand</t>
  </si>
  <si>
    <t>chainmail_chestplate</t>
  </si>
  <si>
    <t>blazeandcave:building/living_dummy</t>
  </si>
  <si>
    <t>All Deaths</t>
  </si>
  <si>
    <t>Armor Display</t>
  </si>
  <si>
    <t>Place a full suit of each of the six armors on an armor stand</t>
  </si>
  <si>
    <t>Place all six sets of armor on six different armor stands</t>
  </si>
  <si>
    <t>netherite_helmet</t>
  </si>
  <si>
    <t>blazeandcave:building/armor_display</t>
  </si>
  <si>
    <t>Sharpening Station</t>
  </si>
  <si>
    <t>Craft a grindstone using a stone slab, planks and sticks for repairing tools</t>
  </si>
  <si>
    <t>grindstone</t>
  </si>
  <si>
    <t>blazeandcave:building/sharpening_station</t>
  </si>
  <si>
    <t>Classic Pocket Edition Block</t>
  </si>
  <si>
    <t>Craft a stonecutter using stone and an iron ingot</t>
  </si>
  <si>
    <t>stonecutter</t>
  </si>
  <si>
    <t>blazeandcave:building/classic_pocket_edition_block</t>
  </si>
  <si>
    <t>Agent Smithing Table</t>
  </si>
  <si>
    <t>Craft a smithing table</t>
  </si>
  <si>
    <t>smithing_table</t>
  </si>
  <si>
    <t>blazeandcave:building/agent_smithing_table</t>
  </si>
  <si>
    <t>Bubble, Bubble, Toil and Trouble!</t>
  </si>
  <si>
    <t>Fill a cauldron using a bucket</t>
  </si>
  <si>
    <t>cauldron</t>
  </si>
  <si>
    <t>blazeandcave:building/bubble_bubble_toil_and_trouble</t>
  </si>
  <si>
    <t>Hot Tub</t>
  </si>
  <si>
    <t>Enter a lava cauldron</t>
  </si>
  <si>
    <t>Sit in a cauldron filled with lava</t>
  </si>
  <si>
    <t>blazeandcave:building/hot_tub</t>
  </si>
  <si>
    <t>Washing Machine</t>
  </si>
  <si>
    <t>Use a cauldron to clean leather armor, a banner and a shulker box</t>
  </si>
  <si>
    <t>blazeandcave:building/washing_machine</t>
  </si>
  <si>
    <t>Farming</t>
  </si>
  <si>
    <t>Craft a wooden, stone, iron, gold or diamond hoe</t>
  </si>
  <si>
    <t>Hoe Hoe Hoe</t>
  </si>
  <si>
    <t>hay_block</t>
  </si>
  <si>
    <t>blazeandcave:farming/root</t>
  </si>
  <si>
    <t>Care for the environment</t>
  </si>
  <si>
    <t>2 Oak Saplings</t>
  </si>
  <si>
    <t>Place any type of sapling</t>
  </si>
  <si>
    <t>Plant a sapling</t>
  </si>
  <si>
    <t>blazeandcave:farming/care_for_the_environment</t>
  </si>
  <si>
    <t>Bapple!</t>
  </si>
  <si>
    <t>2 Apples</t>
  </si>
  <si>
    <t>Eat an apple</t>
  </si>
  <si>
    <t>Crunch into an apple</t>
  </si>
  <si>
    <t>apple</t>
  </si>
  <si>
    <t>blazeandcave:farming/bapple</t>
  </si>
  <si>
    <t>Trimming the treetops</t>
  </si>
  <si>
    <t>Obtain any leaf block</t>
  </si>
  <si>
    <t>Use shears to obtain a leaf block</t>
  </si>
  <si>
    <t>oak_leaves</t>
  </si>
  <si>
    <t>blazeandcave:farming/trimming_the_treetops</t>
  </si>
  <si>
    <t>Foliage</t>
  </si>
  <si>
    <t>Obtain either grass or ferns</t>
  </si>
  <si>
    <t>Use shears to pick up short grass or ferns</t>
  </si>
  <si>
    <t>short_grass</t>
  </si>
  <si>
    <t>blazeandcave:farming/foliage</t>
  </si>
  <si>
    <t>Yay! Deadbush!</t>
  </si>
  <si>
    <t>Obtain a dead bush</t>
  </si>
  <si>
    <t>Get a deadbush cause you're a noob</t>
  </si>
  <si>
    <t>dead_bush</t>
  </si>
  <si>
    <t>blazeandcave:farming/yay_deadbush</t>
  </si>
  <si>
    <t>Ecologist</t>
  </si>
  <si>
    <t>Plant down all types of saplings</t>
  </si>
  <si>
    <t>blazeandcave:farming/ecologist</t>
  </si>
  <si>
    <t>A Mangrove Grove</t>
  </si>
  <si>
    <t>4 Mangrove Propagules</t>
  </si>
  <si>
    <t>Plant a Mangrove Propagule in a Grove biome</t>
  </si>
  <si>
    <t>blazeandcave:farming/a_mangrove_grove</t>
  </si>
  <si>
    <t>Explorers
(shared)</t>
  </si>
  <si>
    <t>Ultra Hardcore</t>
  </si>
  <si>
    <t>2 Golden Apples</t>
  </si>
  <si>
    <t>Craft and eat a normal golden apple</t>
  </si>
  <si>
    <t>golden_apple</t>
  </si>
  <si>
    <t>blazeandcave:farming/ultra_hardcore</t>
  </si>
  <si>
    <t>An Apple a Day</t>
  </si>
  <si>
    <t>16 Apples</t>
  </si>
  <si>
    <t>Eat an Apple every day for 30 in-game days</t>
  </si>
  <si>
    <t>blazeandcave:farming/an_apple_a_day</t>
  </si>
  <si>
    <t>Apple a Day</t>
  </si>
  <si>
    <t>Berry Nice!</t>
  </si>
  <si>
    <t>4 Sweet Berries</t>
  </si>
  <si>
    <t>Pick and eat some Sweet Berries</t>
  </si>
  <si>
    <t>sweet_berries</t>
  </si>
  <si>
    <t>blazeandcave:farming/berry_nice</t>
  </si>
  <si>
    <t>Disen Berry Berry Bad!</t>
  </si>
  <si>
    <t>Enter a sweet berry bush block</t>
  </si>
  <si>
    <t>Get stuck in a Sweet Berry Bush. Oh, icky yucky goo!</t>
  </si>
  <si>
    <t>spruce_leaves</t>
  </si>
  <si>
    <t>blazeandcave:farming/disen_berry_berry_bad</t>
  </si>
  <si>
    <t>Shrooms</t>
  </si>
  <si>
    <t>3 Red Mushrooms, 3 Brown Mushrooms</t>
  </si>
  <si>
    <t>Obtain a red and brown mushroom</t>
  </si>
  <si>
    <t>Gather both types of mushroom</t>
  </si>
  <si>
    <t>red_mushroom</t>
  </si>
  <si>
    <t>blazeandcave:farming/shrooms</t>
  </si>
  <si>
    <t>Mushroom, mushroom!</t>
  </si>
  <si>
    <t>Eat a mushroom stew</t>
  </si>
  <si>
    <t>Slurp some mushroom stew</t>
  </si>
  <si>
    <t>mushroom_stew</t>
  </si>
  <si>
    <t>blazeandcave:farming/mushroom_mushroom</t>
  </si>
  <si>
    <t>Mega Mushroom</t>
  </si>
  <si>
    <t>8 Bone Meal, 4 Red Mushrooms, 4 Brown Mushrooms</t>
  </si>
  <si>
    <t>Obtain a red or brown or stem mushroom block</t>
  </si>
  <si>
    <t>Grow a giant mushroom and then harvest it with silk touch</t>
  </si>
  <si>
    <t>red_mushroom_block</t>
  </si>
  <si>
    <t>blazeandcave:farming/mega_mushroom</t>
  </si>
  <si>
    <t>Suspicious Looking Stew</t>
  </si>
  <si>
    <t>Eat a suspicious stew</t>
  </si>
  <si>
    <t>Slurp some suspicious stew and pray you don't suddenly see giant flying eyeballs in the sky</t>
  </si>
  <si>
    <t>suspicious_stew</t>
  </si>
  <si>
    <t>blazeandcave:farming/suspicious_looking_stew</t>
  </si>
  <si>
    <t>I'm gonna be sick!</t>
  </si>
  <si>
    <t>8 Brown Mushrooms, 8 Red Mushrooms</t>
  </si>
  <si>
    <t>Slurp every type of suspicious stew</t>
  </si>
  <si>
    <t>slime_ball</t>
  </si>
  <si>
    <t>blazeandcave:farming/im_gonna_be_sick</t>
  </si>
  <si>
    <t>Sugar, Sugar</t>
  </si>
  <si>
    <t>4 Sugar Cane</t>
  </si>
  <si>
    <t>Obtain sugar cane</t>
  </si>
  <si>
    <t>Harvest some sugar cane from a river or an ocean</t>
  </si>
  <si>
    <t>sugar_cane</t>
  </si>
  <si>
    <t>blazeandcave:farming/sugar_sugar</t>
  </si>
  <si>
    <t>It's full of ink</t>
  </si>
  <si>
    <t>4 Ink Sacs</t>
  </si>
  <si>
    <t>Obtain some ink from hunting a squid</t>
  </si>
  <si>
    <t>ink_sac</t>
  </si>
  <si>
    <t>blazeandcave:farming/its_full_of_ink</t>
  </si>
  <si>
    <t>Squid Game</t>
  </si>
  <si>
    <t>8 Ink Sacs</t>
  </si>
  <si>
    <t>Hunt enough Squids to collect a stack of Ink Sacs</t>
  </si>
  <si>
    <t>squid_spawn_egg</t>
  </si>
  <si>
    <t>blazeandcave:farming/squid_game</t>
  </si>
  <si>
    <t>Write your thoughts</t>
  </si>
  <si>
    <t>Use a book, ink and a feather to craft a book and quill</t>
  </si>
  <si>
    <t>writable_book</t>
  </si>
  <si>
    <t>blazeandcave:farming/write_your_thoughts</t>
  </si>
  <si>
    <t>An amazing story!</t>
  </si>
  <si>
    <t>1 Book and Quill</t>
  </si>
  <si>
    <t>Obtain a written book</t>
  </si>
  <si>
    <t>Finish writing in your book or get a book from another player</t>
  </si>
  <si>
    <t>written_book</t>
  </si>
  <si>
    <t>blazeandcave:farming/an_amazing_story</t>
  </si>
  <si>
    <t>Kelp me!</t>
  </si>
  <si>
    <t>8 Kelp</t>
  </si>
  <si>
    <t>Collect some kelp from an ocean</t>
  </si>
  <si>
    <t>kelp</t>
  </si>
  <si>
    <t>blazeandcave:farming/kelp_me</t>
  </si>
  <si>
    <t>Aquatic Biofuel</t>
  </si>
  <si>
    <t>4 Dried Kelp Blocks</t>
  </si>
  <si>
    <t>Craft a dried kelp block for use as a great fuel source</t>
  </si>
  <si>
    <t>dried_kelp_block</t>
  </si>
  <si>
    <t>blazeandcave:farming/aquatic_biofuel</t>
  </si>
  <si>
    <t>Undersea Gardener</t>
  </si>
  <si>
    <t>8 Dried Kelp Blocks</t>
  </si>
  <si>
    <t>Craft a full stack of dried kelp blocks</t>
  </si>
  <si>
    <t>blazeandcave:farming/undersea_gardener</t>
  </si>
  <si>
    <t>Castaway</t>
  </si>
  <si>
    <t>16 Dried Kelp Blocks</t>
  </si>
  <si>
    <t>Eat dried kelp once; in the following three in-game days, eat nothing but dried kelp.</t>
  </si>
  <si>
    <t>Eat nothing but dried kelp for three in-game days</t>
  </si>
  <si>
    <t>dried_kelp</t>
  </si>
  <si>
    <t>blazeandcave:farming/castaway</t>
  </si>
  <si>
    <t>Eating</t>
  </si>
  <si>
    <t>It's a cactus!</t>
  </si>
  <si>
    <t>2 Cactus</t>
  </si>
  <si>
    <t>Obtain a cactus</t>
  </si>
  <si>
    <t>Break down a cactus in a desert</t>
  </si>
  <si>
    <t>green_dye</t>
  </si>
  <si>
    <t>blazeandcave:farming/its_a_cactus</t>
  </si>
  <si>
    <t>Spikey!</t>
  </si>
  <si>
    <t>5 Cactus</t>
  </si>
  <si>
    <t>Take damage from touching a cactus</t>
  </si>
  <si>
    <t>Run into a cactus</t>
  </si>
  <si>
    <t>cactus</t>
  </si>
  <si>
    <t>blazeandcave:farming/spikey</t>
  </si>
  <si>
    <t>A Seedy Place</t>
  </si>
  <si>
    <t>Place wheat, melon, pumpkin, beetroot, nether wart or torchflower seeds, or a pitcher pod</t>
  </si>
  <si>
    <t>Plant a seed and watch it grow</t>
  </si>
  <si>
    <t>wheat_seeds</t>
  </si>
  <si>
    <t>minecraft:husbandry/plant_seed</t>
  </si>
  <si>
    <t>Souperman</t>
  </si>
  <si>
    <t>3 Beetroot</t>
  </si>
  <si>
    <t>Eat a beetroot soup</t>
  </si>
  <si>
    <t>Beetroot soup gives you souperpowers!</t>
  </si>
  <si>
    <t>beetroot_soup</t>
  </si>
  <si>
    <t>blazeandcave:farming/souperman</t>
  </si>
  <si>
    <t>Bake Bread</t>
  </si>
  <si>
    <t>2 Bread</t>
  </si>
  <si>
    <t>Eat bread</t>
  </si>
  <si>
    <t>Grow wheat and use it to bake bread</t>
  </si>
  <si>
    <t>bread</t>
  </si>
  <si>
    <t>blazeandcave:farming/bake_bread</t>
  </si>
  <si>
    <t>The Lie</t>
  </si>
  <si>
    <t>Craft cake</t>
  </si>
  <si>
    <t>Wheat, sugar, milk and eggs!</t>
  </si>
  <si>
    <t>blazeandcave:farming/the_lie</t>
  </si>
  <si>
    <t>Hay there!</t>
  </si>
  <si>
    <t>8 Hay Blocks</t>
  </si>
  <si>
    <t>Craft a full stack of hay blocks</t>
  </si>
  <si>
    <t>blazeandcave:farming/hay_there</t>
  </si>
  <si>
    <t>Must be your birthday</t>
  </si>
  <si>
    <t>1 Cake</t>
  </si>
  <si>
    <t>Eat 100 slices of cake</t>
  </si>
  <si>
    <t>redstone_torch</t>
  </si>
  <si>
    <t>blazeandcave:farming/must_be_your_birthday</t>
  </si>
  <si>
    <t>It's where Nutella comes from</t>
  </si>
  <si>
    <t>5 Cocoa Beans</t>
  </si>
  <si>
    <t>Obtain some cocoa beans from a jungle</t>
  </si>
  <si>
    <t>cocoa_beans</t>
  </si>
  <si>
    <t>blazeandcave:farming/its_where_nutella_comes_from</t>
  </si>
  <si>
    <t>Me Love Cookie</t>
  </si>
  <si>
    <t>Eat a cookie</t>
  </si>
  <si>
    <t>Bake some cookies... and then scoff them all yourself</t>
  </si>
  <si>
    <t>cookie</t>
  </si>
  <si>
    <t>blazeandcave:farming/me_love_cookie</t>
  </si>
  <si>
    <t>Hot Chocolate</t>
  </si>
  <si>
    <t>Place cocoa beans in the Nether</t>
  </si>
  <si>
    <t>Plant some cocoa in the nice steamy Nether</t>
  </si>
  <si>
    <t>brown_concrete_powder</t>
  </si>
  <si>
    <t>blazeandcave:farming/hot_chocolate</t>
  </si>
  <si>
    <t>Naturally Carved</t>
  </si>
  <si>
    <t>3 Pumpkins</t>
  </si>
  <si>
    <t>Harvest some spooky pumpkins</t>
  </si>
  <si>
    <t>pumpkin</t>
  </si>
  <si>
    <t>blazeandcave:farming/naturally_carved</t>
  </si>
  <si>
    <t>The Pie</t>
  </si>
  <si>
    <t>2 Pumpkin Pies</t>
  </si>
  <si>
    <t>Obtain a pumpkin pie</t>
  </si>
  <si>
    <t>Bake a pumpkin pie</t>
  </si>
  <si>
    <t>pumpkin_pie</t>
  </si>
  <si>
    <t>blazeandcave:farming/the_pie</t>
  </si>
  <si>
    <t>Olaf</t>
  </si>
  <si>
    <t>2 Snow Blocks, 1 Pumpkin</t>
  </si>
  <si>
    <t>Do you want to build a snow golem?</t>
  </si>
  <si>
    <t>snow_block</t>
  </si>
  <si>
    <t>blazeandcave:farming/olaf</t>
  </si>
  <si>
    <t>Unmasked</t>
  </si>
  <si>
    <t>Shear the Pumpkin off of a Snow Golem to unveil their true face</t>
  </si>
  <si>
    <t>blazeandcave:farming/unmasked</t>
  </si>
  <si>
    <t>Pumpa Kungen!</t>
  </si>
  <si>
    <t>8 Carved Pumpkins</t>
  </si>
  <si>
    <t>Obtain 64 Carved Pumpkins</t>
  </si>
  <si>
    <t>Carve a full stack of pumpkins</t>
  </si>
  <si>
    <t>carved_pumpkin</t>
  </si>
  <si>
    <t>blazeandcave:farming/pumpa_kungen</t>
  </si>
  <si>
    <t>The melon! The melon! The melon!</t>
  </si>
  <si>
    <t>5 Melon Slices</t>
  </si>
  <si>
    <t>Eat a melon. Be careful not to drop it over a cliff</t>
  </si>
  <si>
    <t>melon_slice</t>
  </si>
  <si>
    <t>blazeandcave:farming/the_melon_the_melon_the_melon</t>
  </si>
  <si>
    <t>Scientific Inaccuracy</t>
  </si>
  <si>
    <t>Craft a melon block</t>
  </si>
  <si>
    <t>Craft 9 melon slices back into one block that, when broken, will probably not give you all 9 slices back</t>
  </si>
  <si>
    <t>melon</t>
  </si>
  <si>
    <t>blazeandcave:farming/scientific_inaccuracy</t>
  </si>
  <si>
    <t>The Meloncholy Dane</t>
  </si>
  <si>
    <t>8 Melon Blocks</t>
  </si>
  <si>
    <t>Craft a full stack of melon blocks</t>
  </si>
  <si>
    <t>blazeandcave:farming/the_meloncholy_dane</t>
  </si>
  <si>
    <t>Die, Potato!</t>
  </si>
  <si>
    <t>4 Potatoes</t>
  </si>
  <si>
    <t>Eat a potato or baked potato</t>
  </si>
  <si>
    <t>Squash and eat a potato</t>
  </si>
  <si>
    <t>potato</t>
  </si>
  <si>
    <t>blazeandcave:farming/die_potato</t>
  </si>
  <si>
    <t>Not today!</t>
  </si>
  <si>
    <t>Eat a poisonous potato</t>
  </si>
  <si>
    <t>poisonous_potato</t>
  </si>
  <si>
    <t>blazeandcave:farming/not_today</t>
  </si>
  <si>
    <t>24 Carrot Gold</t>
  </si>
  <si>
    <t>2 Golden Carrots</t>
  </si>
  <si>
    <t>Eat a golden carrot</t>
  </si>
  <si>
    <t>golden_carrot</t>
  </si>
  <si>
    <t>blazeandcave:farming/24_carrot_gold</t>
  </si>
  <si>
    <t>The garbage will do!</t>
  </si>
  <si>
    <t>Place a composter</t>
  </si>
  <si>
    <t>Craft a composter using wooden slabs then place it</t>
  </si>
  <si>
    <t>composter</t>
  </si>
  <si>
    <t>blazeandcave:farming/the_garbage_will_do</t>
  </si>
  <si>
    <t>Natural Fertiliser</t>
  </si>
  <si>
    <t>4 Bone Meal</t>
  </si>
  <si>
    <t>Fill up a composter</t>
  </si>
  <si>
    <t>blazeandcave:farming/natural_fertiliser</t>
  </si>
  <si>
    <t>One-course meal</t>
  </si>
  <si>
    <t>This advancement is awarded when the sapling actually turns into a tree</t>
  </si>
  <si>
    <t>Use bone meal to grow a sapling into a tree</t>
  </si>
  <si>
    <t>blazeandcave:farming/one_course_meal</t>
  </si>
  <si>
    <t>Combine Harvester</t>
  </si>
  <si>
    <t>32 Bone Meal</t>
  </si>
  <si>
    <t>Use bone meal on everything that can be grown</t>
  </si>
  <si>
    <t>bone_meal</t>
  </si>
  <si>
    <t>blazeandcave:farming/combine_harvester</t>
  </si>
  <si>
    <t>What's new with composting?</t>
  </si>
  <si>
    <t>64 Bone Meal</t>
  </si>
  <si>
    <t>Compost every type of compostable item in a Composter</t>
  </si>
  <si>
    <t>blazeandcave:farming/whats_new_with_composting</t>
  </si>
  <si>
    <t>Come to the countryside!</t>
  </si>
  <si>
    <t>Plant wheat seeds, beetroot seeds, melon seeds, pumpkin seeds, carrots, potatoes, torchflower seeds and pitcher pod</t>
  </si>
  <si>
    <t>Plant every single type of crop on farmland</t>
  </si>
  <si>
    <t>beetroot_seeds</t>
  </si>
  <si>
    <t>blazeandcave:farming/come_to_the_countryside</t>
  </si>
  <si>
    <t>Serious Dedication</t>
  </si>
  <si>
    <t>Break a diamond hoe</t>
  </si>
  <si>
    <t>Completely use up a diamond hoe, and then reevaluate your life choices</t>
  </si>
  <si>
    <t>diamond_hoe</t>
  </si>
  <si>
    <t>minecraft:husbandry/break_diamond_hoe</t>
  </si>
  <si>
    <t>Full Stomach</t>
  </si>
  <si>
    <t>Both your hunger level and saturation level must be 20</t>
  </si>
  <si>
    <t>Fill both your hunger bar and saturation level</t>
  </si>
  <si>
    <t>beef</t>
  </si>
  <si>
    <t>blazeandcave:farming/full_stomach</t>
  </si>
  <si>
    <t>Vegetarian</t>
  </si>
  <si>
    <t>Eat every type of fruit, vegetables, and any sort of plant matter</t>
  </si>
  <si>
    <t>carrot</t>
  </si>
  <si>
    <t>blazeandcave:farming/vegetarian</t>
  </si>
  <si>
    <t>Meat Lovers</t>
  </si>
  <si>
    <t>Eat every type of meat, even if uncooked or rotten</t>
  </si>
  <si>
    <t>porkchop</t>
  </si>
  <si>
    <t>blazeandcave:farming/meat_lovers</t>
  </si>
  <si>
    <t>A Balanced Diet</t>
  </si>
  <si>
    <t>Eat every food required for "Vegetarian" and "Meat Lovers"</t>
  </si>
  <si>
    <t>Eat everything that is edible, even if it's not good for you</t>
  </si>
  <si>
    <t>minecraft:husbandry/balanced_diet</t>
  </si>
  <si>
    <t>A Gluttonous Diet</t>
  </si>
  <si>
    <t>Obtain a full stack of all the foods</t>
  </si>
  <si>
    <t>rabbit_stew</t>
  </si>
  <si>
    <t>blazeandcave:farming/a_gluttonous_diet</t>
  </si>
  <si>
    <t>Animals</t>
  </si>
  <si>
    <t>Eat any food item</t>
  </si>
  <si>
    <t>The world is full of friends and food</t>
  </si>
  <si>
    <t>minecraft:husbandry/root</t>
  </si>
  <si>
    <t>Bacon!</t>
  </si>
  <si>
    <t>2 Raw Porkchops</t>
  </si>
  <si>
    <t>Kill a pig</t>
  </si>
  <si>
    <t>Gotta kill this pig pig pig pig!</t>
  </si>
  <si>
    <t>blazeandcave:animal/bacon</t>
  </si>
  <si>
    <t>Pork Chop</t>
  </si>
  <si>
    <t>2 Cooked Porkchops</t>
  </si>
  <si>
    <t>Eat a cooked porkchop</t>
  </si>
  <si>
    <t>You know kung fu, how about pork chop?</t>
  </si>
  <si>
    <t>cooked_porkchop</t>
  </si>
  <si>
    <t>blazeandcave:animal/pork_chop</t>
  </si>
  <si>
    <t>When Pigs Used to Fly</t>
  </si>
  <si>
    <t>4 Carrots</t>
  </si>
  <si>
    <t>Obtain a carrot on a stick</t>
  </si>
  <si>
    <t>Craft a carrot on a stick so you can ride a pig off a cliff.</t>
  </si>
  <si>
    <t>carrot_on_a_stick</t>
  </si>
  <si>
    <t>blazeandcave:animal/when_pigs_used_to_fly</t>
  </si>
  <si>
    <t>Pig Slaughterer</t>
  </si>
  <si>
    <t>8 Raw Porkchops</t>
  </si>
  <si>
    <t>Collect a stack of raw porkchops</t>
  </si>
  <si>
    <t>pig_spawn_egg</t>
  </si>
  <si>
    <t>blazeandcave:animal/pig_slaughterer</t>
  </si>
  <si>
    <t>Swine Sailing</t>
  </si>
  <si>
    <t>16 Carrots</t>
  </si>
  <si>
    <t>Ride a saddled pig that is inside a boat that is inside a minecart</t>
  </si>
  <si>
    <t>Ride a saddled pig in a boat in a minecart</t>
  </si>
  <si>
    <t>jungle_boat</t>
  </si>
  <si>
    <t>blazeandcave:animal/swine_sailing</t>
  </si>
  <si>
    <t>afk</t>
  </si>
  <si>
    <t>Rabbit Season</t>
  </si>
  <si>
    <t>2 Cooked Rabbit</t>
  </si>
  <si>
    <t>Eat cooked rabbit</t>
  </si>
  <si>
    <t>Killing bunnies is cruel. Period</t>
  </si>
  <si>
    <t>cooked_rabbit</t>
  </si>
  <si>
    <t>blazeandcave:animal/rabbit_season</t>
  </si>
  <si>
    <t>They're breeding like rabbits!</t>
  </si>
  <si>
    <t>2 Carrots, 1 Raw Rabbit</t>
  </si>
  <si>
    <t>Breed two bunnies together</t>
  </si>
  <si>
    <t>blazeandcave:animal/theyre_breeding_like_rabbits</t>
  </si>
  <si>
    <t>Lucky Charm</t>
  </si>
  <si>
    <t>Get a rabbit's foot</t>
  </si>
  <si>
    <t>rabbit_foot</t>
  </si>
  <si>
    <t>blazeandcave:animal/lucky_charm</t>
  </si>
  <si>
    <t>Getting Into a Stew</t>
  </si>
  <si>
    <t>Eat rabbit stew</t>
  </si>
  <si>
    <t>Make and eat some rabbit stew</t>
  </si>
  <si>
    <t>blazeandcave:animal/getting_into_a_stew</t>
  </si>
  <si>
    <t>In a hole there lived a Rabbit</t>
  </si>
  <si>
    <t>8 Raw Rabbit, 8 Rabbit Hide, 1 Rabbit's Foot</t>
  </si>
  <si>
    <t>Collect a stack of raw rabbit and rabbit hide</t>
  </si>
  <si>
    <t>rabbit_spawn_egg</t>
  </si>
  <si>
    <t>blazeandcave:animal/in_a_hole_there_lived_a_rabbit</t>
  </si>
  <si>
    <t>Bunny Lover</t>
  </si>
  <si>
    <t>Breed a baby bunny of every variant</t>
  </si>
  <si>
    <t>blazeandcave:animal/bunny_lover</t>
  </si>
  <si>
    <t>Explorer</t>
  </si>
  <si>
    <t>Going Down the Rabbit Hole</t>
  </si>
  <si>
    <t>4 Cooked Rabbit, 4 Rabbit Hide</t>
  </si>
  <si>
    <t>Kill a rabbit that is below y-level -59.5</t>
  </si>
  <si>
    <t>Bring a rabbit to the bottom of the world, then kill it</t>
  </si>
  <si>
    <t>rabbit_hide</t>
  </si>
  <si>
    <t>blazeandcave:animal/going_down_the_rabbit_hole</t>
  </si>
  <si>
    <t>Just Keeps Going</t>
  </si>
  <si>
    <t>16 Cooked Rabbit</t>
  </si>
  <si>
    <t>Eat Rabbit Stew once; in the following 3 days, eat nothing else</t>
  </si>
  <si>
    <t>Eat Rabbit Stew, then avoid eating for the next 3 in-game days</t>
  </si>
  <si>
    <t>bowl</t>
  </si>
  <si>
    <t>blazeandcave:animal/just_keeps_going</t>
  </si>
  <si>
    <t>Cow Tipper</t>
  </si>
  <si>
    <t>2 Leather</t>
  </si>
  <si>
    <t>Obtain leather</t>
  </si>
  <si>
    <t>Harvest some leather</t>
  </si>
  <si>
    <t>leather</t>
  </si>
  <si>
    <t>blazeandcave:animal/cow_tipper</t>
  </si>
  <si>
    <t>High Steaks</t>
  </si>
  <si>
    <t>2 Steak</t>
  </si>
  <si>
    <t>Eat steak</t>
  </si>
  <si>
    <t>The steaks are high for this advancement!</t>
  </si>
  <si>
    <t>cooked_beef</t>
  </si>
  <si>
    <t>blazeandcave:animal/high_steaks</t>
  </si>
  <si>
    <t>Repopulation</t>
  </si>
  <si>
    <t>2 Wheat</t>
  </si>
  <si>
    <t>Breed two cows with wheat</t>
  </si>
  <si>
    <t>wheat</t>
  </si>
  <si>
    <t>minecraft:husbandry/breed_an_animal</t>
  </si>
  <si>
    <t>Milk does your body good</t>
  </si>
  <si>
    <t>1 Milk Bucket</t>
  </si>
  <si>
    <t>Drink a milk bucket</t>
  </si>
  <si>
    <t>Take a swig swig swig swig</t>
  </si>
  <si>
    <t>milk_bucket</t>
  </si>
  <si>
    <t>blazeandcave:animal/milk_does_your_body_good</t>
  </si>
  <si>
    <t>True Cow Tipper</t>
  </si>
  <si>
    <t>8 Raw Beef, 8 Leather</t>
  </si>
  <si>
    <t>Collect a stack of raw beef and leather</t>
  </si>
  <si>
    <t>cow_spawn_egg</t>
  </si>
  <si>
    <t>blazeandcave:animal/true_cow_tipper</t>
  </si>
  <si>
    <t>Mooshroom Kingdom</t>
  </si>
  <si>
    <t>Enter a mushroom fields or mushroom fields shore biome</t>
  </si>
  <si>
    <t>Find mooshrooms on a mushroom island</t>
  </si>
  <si>
    <t>mycelium</t>
  </si>
  <si>
    <t>blazeandcave:animal/mooshroom_kingdom</t>
  </si>
  <si>
    <t>Super Mooshroom</t>
  </si>
  <si>
    <t>2 Wheat, 3 Raw Beef, 2 Leather</t>
  </si>
  <si>
    <t>Breed two stubborn mooshrooms together</t>
  </si>
  <si>
    <t>blazeandcave:animal/super_mooshroom</t>
  </si>
  <si>
    <t>Milkshroom</t>
  </si>
  <si>
    <t>Milk a mooshroom with a bowl to get mushroom stew</t>
  </si>
  <si>
    <t>blazeandcave:animal/milkshroom</t>
  </si>
  <si>
    <t>Mushroom Scientist</t>
  </si>
  <si>
    <t>Strike a mooshroom with lightning and see what happens</t>
  </si>
  <si>
    <t>trident</t>
  </si>
  <si>
    <t>blazeandcave:animal/mushroom_scientist</t>
  </si>
  <si>
    <t>Overpopulation</t>
  </si>
  <si>
    <t>Breed every type of animal</t>
  </si>
  <si>
    <t>minecraft:husbandry/bred_all_animals</t>
  </si>
  <si>
    <t>Animal Kingdom</t>
  </si>
  <si>
    <t>Bring one of every type of animal to one place (have them all within 32 blocks of you)</t>
  </si>
  <si>
    <t>mangrove_fence</t>
  </si>
  <si>
    <t>blazeandcave:animal/animal_kingdom</t>
  </si>
  <si>
    <t>Cool Kids</t>
  </si>
  <si>
    <t>3 Leather</t>
  </si>
  <si>
    <t>Obtain a leather tunic</t>
  </si>
  <si>
    <t>Craft and wear a leather jacket</t>
  </si>
  <si>
    <t>leather_chestplate</t>
  </si>
  <si>
    <t>blazeandcave:animal/cool_kids</t>
  </si>
  <si>
    <t>Fashion Statement</t>
  </si>
  <si>
    <t>Dye leather pants using one dye</t>
  </si>
  <si>
    <t>Dye some leather pants with one color and put them on</t>
  </si>
  <si>
    <t>leather_leggings</t>
  </si>
  <si>
    <t>blazeandcave:animal/fashion_statement</t>
  </si>
  <si>
    <t>Shoe Shed</t>
  </si>
  <si>
    <t>8 Leather</t>
  </si>
  <si>
    <t>Dye 16 pairs of leather boots each with one of the different dyes</t>
  </si>
  <si>
    <t>Dye 16 pairs of leather boots each with one of the individual colors</t>
  </si>
  <si>
    <t>leather_boots</t>
  </si>
  <si>
    <t>blazeandcave:animal/shoe_shed</t>
  </si>
  <si>
    <t>Tickle Time!</t>
  </si>
  <si>
    <t>2 Feathers</t>
  </si>
  <si>
    <t>Obtain a feather</t>
  </si>
  <si>
    <t>Pluck some feathers from a chicken</t>
  </si>
  <si>
    <t>feather</t>
  </si>
  <si>
    <t>blazeandcave:animal/tickle_time</t>
  </si>
  <si>
    <t>So Good</t>
  </si>
  <si>
    <t>2 Cooked Chicken</t>
  </si>
  <si>
    <t>Eat cooked chicken</t>
  </si>
  <si>
    <t>Can't beat it, can't beat it</t>
  </si>
  <si>
    <t>cooked_chicken</t>
  </si>
  <si>
    <t>blazeandcave:animal/so_good</t>
  </si>
  <si>
    <t>Which came first?</t>
  </si>
  <si>
    <t>Obtain an egg</t>
  </si>
  <si>
    <t>The chicken... or the egg??</t>
  </si>
  <si>
    <t>egg</t>
  </si>
  <si>
    <t>blazeandcave:animal/which_came_first</t>
  </si>
  <si>
    <r>
      <rPr>
        <rFont val="arial,sans,sans-serif"/>
        <color theme="1"/>
      </rPr>
      <t xml:space="preserve">Feeding the </t>
    </r>
    <r>
      <rPr>
        <rFont val="arial,sans,sans-serif"/>
        <strike/>
        <color theme="1"/>
      </rPr>
      <t>Ducks</t>
    </r>
    <r>
      <rPr>
        <rFont val="arial,sans,sans-serif"/>
        <color theme="1"/>
      </rPr>
      <t xml:space="preserve"> Chickens</t>
    </r>
  </si>
  <si>
    <t>2 Wheat Seeds, 1 Raw Chicken, 4 Eggs</t>
  </si>
  <si>
    <t>Breed chickens by feeding them seeds</t>
  </si>
  <si>
    <t>blazeandcave:animal/feeding_the_chickens</t>
  </si>
  <si>
    <t>Chicken Cooper</t>
  </si>
  <si>
    <t>8 Raw Chicken, 8 Feathers</t>
  </si>
  <si>
    <t>Collect a stack of raw chicken and feathers</t>
  </si>
  <si>
    <t>chicken_spawn_egg</t>
  </si>
  <si>
    <t>blazeandcave:animal/chicken_cooper</t>
  </si>
  <si>
    <t>Chatterbox</t>
  </si>
  <si>
    <t>1 Cookie</t>
  </si>
  <si>
    <t>Tame a Parrot using seeds. WARNING: Do not use a cookie!</t>
  </si>
  <si>
    <t>blazeandcave:animal/chatterbox</t>
  </si>
  <si>
    <t>Is it a Bird?</t>
  </si>
  <si>
    <t>10 Wheat Seeds</t>
  </si>
  <si>
    <t>Look at a Parrot through a Spyglass</t>
  </si>
  <si>
    <t>minecraft:adventure/spyglass_at_parrot</t>
  </si>
  <si>
    <t>Birdkeeper</t>
  </si>
  <si>
    <t>You have to tame: Red, Blue, Cyan, Green and Gray parrots</t>
  </si>
  <si>
    <t>Tame all parrot variants</t>
  </si>
  <si>
    <t>parrot_spawn_egg</t>
  </si>
  <si>
    <t>blazeandcave:animal/birdkeeper</t>
  </si>
  <si>
    <t>Wooly!</t>
  </si>
  <si>
    <t>2 Raw Mutton, 1 White Wool</t>
  </si>
  <si>
    <t>Kill a sheep</t>
  </si>
  <si>
    <t>Obtain wool from a sheep by killing it</t>
  </si>
  <si>
    <t>white_wool</t>
  </si>
  <si>
    <t>blazeandcave:animal/wooly</t>
  </si>
  <si>
    <t>Feeling Sheepish</t>
  </si>
  <si>
    <t>2 Cooked Mutton</t>
  </si>
  <si>
    <t>Eat cooked mutton</t>
  </si>
  <si>
    <t>You'll get over it</t>
  </si>
  <si>
    <t>cooked_mutton</t>
  </si>
  <si>
    <t>blazeandcave:animal/feeling_sheepish</t>
  </si>
  <si>
    <t>Mary Had a Little Lamb...</t>
  </si>
  <si>
    <t>2 Wheat, 2 Raw Mutton, 1 White Wool</t>
  </si>
  <si>
    <t>Breed two sheep to get a lamb</t>
  </si>
  <si>
    <t>sheep_spawn_egg</t>
  </si>
  <si>
    <t>blazeandcave:animal/mary_had_a_little_lamb</t>
  </si>
  <si>
    <t>Have a Shearful Day</t>
  </si>
  <si>
    <t>Use Shears to obtain wool from a sheep</t>
  </si>
  <si>
    <t>blazeandcave:animal/have_a_shearful_day</t>
  </si>
  <si>
    <t>Sheariously?</t>
  </si>
  <si>
    <t>8 White Wool</t>
  </si>
  <si>
    <t>Collect a stack of white wool</t>
  </si>
  <si>
    <t>light_gray_wool</t>
  </si>
  <si>
    <t>blazeandcave:animal/sheariously</t>
  </si>
  <si>
    <t>Live and Let Dye</t>
  </si>
  <si>
    <t>1 Shears, 16 White Wool</t>
  </si>
  <si>
    <t>Right click a sheep with all 16 dyes</t>
  </si>
  <si>
    <t>Dye Sheep with all 16 colors of wool</t>
  </si>
  <si>
    <t>pink_dye</t>
  </si>
  <si>
    <t>blazeandcave:animal/live_and_let_dye</t>
  </si>
  <si>
    <t>Rainbow Collection</t>
  </si>
  <si>
    <t>Gather all 16 colors of wool</t>
  </si>
  <si>
    <t>light_blue_wool</t>
  </si>
  <si>
    <t>blazeandcave:animal/rainbow_collection</t>
  </si>
  <si>
    <t>Fuzzy Feet</t>
  </si>
  <si>
    <t>Craft all 16 colors of carpet</t>
  </si>
  <si>
    <t>magenta_carpet</t>
  </si>
  <si>
    <t>blazeandcave:animal/fuzzy_feet</t>
  </si>
  <si>
    <t>Goat out of here!</t>
  </si>
  <si>
    <t>Kill a Goat</t>
  </si>
  <si>
    <t>Slaughter a Goat</t>
  </si>
  <si>
    <t>white_dye</t>
  </si>
  <si>
    <t>blazeandcave:animal/goat_out_of_here</t>
  </si>
  <si>
    <t>Billy the Kid</t>
  </si>
  <si>
    <t>Breed two Goats together using Wheat</t>
  </si>
  <si>
    <t>goat_spawn_egg</t>
  </si>
  <si>
    <t>blazeandcave:animal/billy_the_kid</t>
  </si>
  <si>
    <t>Whatever Floats Your Goat!</t>
  </si>
  <si>
    <t>Ride a boat that has a goat in it as well</t>
  </si>
  <si>
    <t>Get in a Boat and float with a Goat</t>
  </si>
  <si>
    <t>birch_boat</t>
  </si>
  <si>
    <t>minecraft:husbandry/ride_a_boat_with_a_goat</t>
  </si>
  <si>
    <t>Screaming Milk</t>
  </si>
  <si>
    <t>Milk a screaming Goat</t>
  </si>
  <si>
    <t>blazeandcave:animal/screaming_milk</t>
  </si>
  <si>
    <t>Goat Simulator</t>
  </si>
  <si>
    <r>
      <rPr>
        <rFont val="Arial"/>
        <color theme="1"/>
      </rPr>
      <t xml:space="preserve">Get killed by a Goat that rammed into you. </t>
    </r>
    <r>
      <rPr>
        <rFont val="Arial"/>
        <i/>
        <color theme="1"/>
      </rPr>
      <t>You have Goat to be kidding me!</t>
    </r>
  </si>
  <si>
    <t>dead_horn_coral_fan</t>
  </si>
  <si>
    <t>blazeandcave:animal/goat_simulator</t>
  </si>
  <si>
    <t>Ram</t>
  </si>
  <si>
    <t>Obtain a Goat Horn</t>
  </si>
  <si>
    <t>Obtain a Goat’s Horn by having one ram into a block</t>
  </si>
  <si>
    <t>goat_horn</t>
  </si>
  <si>
    <t>blazeandcave:animal/ram</t>
  </si>
  <si>
    <t>Loud and Proud</t>
  </si>
  <si>
    <t>3 Echo Shards</t>
  </si>
  <si>
    <t>Play a Goat Horn in the Deep Dark or an Ancient City</t>
  </si>
  <si>
    <t>Play a Goat Horn in the Deep Dark</t>
  </si>
  <si>
    <t>sculk_sensor</t>
  </si>
  <si>
    <t>blazeandcave:animal/loud_and_proud</t>
  </si>
  <si>
    <t>Silence of the Lambs</t>
  </si>
  <si>
    <t>Kill a Sheep in an Ancient City</t>
  </si>
  <si>
    <t>Bring a Sheep into an Ancient City and silence it</t>
  </si>
  <si>
    <t>gray_wool</t>
  </si>
  <si>
    <t>blazeandcave:animal/silence_of_the_lambs</t>
  </si>
  <si>
    <t>Battle of the Bands</t>
  </si>
  <si>
    <t>4 Emeralds</t>
  </si>
  <si>
    <t>Play a Goat Horn while a raid mob is within 50 mobs</t>
  </si>
  <si>
    <t>Blow into a Goat Horn during a raid</t>
  </si>
  <si>
    <t>white_banner</t>
  </si>
  <si>
    <t>blazeandcave:animal/battle_of_the_bands</t>
  </si>
  <si>
    <t>Raids</t>
  </si>
  <si>
    <t>Caprymphony</t>
  </si>
  <si>
    <t>Play every type of Goat Horn</t>
  </si>
  <si>
    <t>Blow every type of Goat Horn</t>
  </si>
  <si>
    <t>note_block</t>
  </si>
  <si>
    <t>blazeandcave:animal/caprymphony</t>
  </si>
  <si>
    <t>Goats</t>
  </si>
  <si>
    <t>Ya like jazz?</t>
  </si>
  <si>
    <t>Breed two bees using flowers</t>
  </si>
  <si>
    <t>blazeandcave:animal/ya_like_jazz</t>
  </si>
  <si>
    <t>Bee Our Guest</t>
  </si>
  <si>
    <t>Use a bottle to collect Honey from a Beehive with a campfire beneath it so you don't aggravate the bees</t>
  </si>
  <si>
    <t>minecraft:husbandry/safely_harvest_honey</t>
  </si>
  <si>
    <t>Hive Mind</t>
  </si>
  <si>
    <t>3 Honeycombs</t>
  </si>
  <si>
    <t>Place a beehive</t>
  </si>
  <si>
    <t>Craft a bee hive using planks and honeycombs then place it</t>
  </si>
  <si>
    <t>beehive</t>
  </si>
  <si>
    <t>blazeandcave:animal/hive_mind</t>
  </si>
  <si>
    <t>NOT THE BEES!</t>
  </si>
  <si>
    <t>Get stung to death by bees</t>
  </si>
  <si>
    <t>spawner</t>
  </si>
  <si>
    <t>blazeandcave:animal/not_the_bees</t>
  </si>
  <si>
    <t>Total Beelocation</t>
  </si>
  <si>
    <t>Mine a Bee Nest with 3 bees inside using Silk Touch</t>
  </si>
  <si>
    <t>Move a Bee Nest with 3 bees inside using Silk Touch</t>
  </si>
  <si>
    <t>bee_nest</t>
  </si>
  <si>
    <t>minecraft:husbandry/silk_touch_nest</t>
  </si>
  <si>
    <t>Honey, I'm Home!</t>
  </si>
  <si>
    <t>8 Honeycomb Blocks</t>
  </si>
  <si>
    <t>Craft a stack of honeycomb blocks for building a home out of</t>
  </si>
  <si>
    <t>honeycomb_block</t>
  </si>
  <si>
    <t>blazeandcave:animal/honey_im_home</t>
  </si>
  <si>
    <t>Nest, Quick!</t>
  </si>
  <si>
    <t>16 Honey Bottles</t>
  </si>
  <si>
    <t>Obtain 64 Bee Nests</t>
  </si>
  <si>
    <t>Collect a stack of empty bee nests</t>
  </si>
  <si>
    <t>bee_spawn_egg</t>
  </si>
  <si>
    <t>blazeandcave:animal/nest_quick</t>
  </si>
  <si>
    <t>Winnie the Pooh</t>
  </si>
  <si>
    <t>2 Honey Bottles</t>
  </si>
  <si>
    <t>Drink some honey</t>
  </si>
  <si>
    <t>honey_bottle</t>
  </si>
  <si>
    <t>blazeandcave:animal/winnie_the_pooh</t>
  </si>
  <si>
    <t>Sticky Situation</t>
  </si>
  <si>
    <t>1 Honey Blocks</t>
  </si>
  <si>
    <t>Slide down a honey block on it's side</t>
  </si>
  <si>
    <t>Jump into a honey block to slide down it</t>
  </si>
  <si>
    <t>honey_block</t>
  </si>
  <si>
    <t>minecraft:adventure/honey_block_slide</t>
  </si>
  <si>
    <t>WHERE'S THE HONEY LEBOWSKI</t>
  </si>
  <si>
    <t>12 Honey Blocks</t>
  </si>
  <si>
    <t>Drink 100 bottles of honey</t>
  </si>
  <si>
    <t>blazeandcave:animal/wheres_the_honey_lebowski</t>
  </si>
  <si>
    <t>Cowboy</t>
  </si>
  <si>
    <t>Tame a horse by jumping on it over and over again</t>
  </si>
  <si>
    <t>saddle</t>
  </si>
  <si>
    <t>blazeandcave:animal/cowboy</t>
  </si>
  <si>
    <t>Foal Play</t>
  </si>
  <si>
    <t>Breed a horse in an effort to get a better one</t>
  </si>
  <si>
    <t>blazeandcave:animal/foal_play</t>
  </si>
  <si>
    <t>Horse Armorer</t>
  </si>
  <si>
    <t>4 Leather</t>
  </si>
  <si>
    <t>Obtain leather horse armor</t>
  </si>
  <si>
    <t>Make horse armor out of dead horses (No, joking, any leather will do)</t>
  </si>
  <si>
    <t>leather_horse_armor</t>
  </si>
  <si>
    <t>blazeandcave:animal/horse_armorer</t>
  </si>
  <si>
    <t>A Horse in Shining Armor</t>
  </si>
  <si>
    <t>Find diamond horse armor</t>
  </si>
  <si>
    <t>diamond_horse_armor</t>
  </si>
  <si>
    <t>blazeandcave:animal/a_horse_in_shining_armor</t>
  </si>
  <si>
    <t>Colorful Cavalry</t>
  </si>
  <si>
    <t>Dye 16 sets of leather horse armor each with one of the different dyes</t>
  </si>
  <si>
    <t>Dye 16 sets of leather horse armor each with one of the individual colors</t>
  </si>
  <si>
    <t>blazeandcave:animal/colorful_cavalry</t>
  </si>
  <si>
    <t>So Hungry I Could Eat a Horse!</t>
  </si>
  <si>
    <t>4 Golden Apples</t>
  </si>
  <si>
    <t>Feed a Horse, Donkey or Mule sugar, wheat, apples, hay bales, golden apples and golden carrots</t>
  </si>
  <si>
    <t>Feed a Horse every type of food that it can eat</t>
  </si>
  <si>
    <t>blazeandcave:animal/so_hungry_i_could_eat_a_horse</t>
  </si>
  <si>
    <t>It's High Noon</t>
  </si>
  <si>
    <t>Kill a Husk with a projectile from at least 50 blocks away while you are riding a Horse</t>
  </si>
  <si>
    <t>Snipe a Husk from 50 blocks away while riding a Horse</t>
  </si>
  <si>
    <t>bow</t>
  </si>
  <si>
    <t>blazeandcave:animal/its_high_noon</t>
  </si>
  <si>
    <t>Mob Misc.</t>
  </si>
  <si>
    <t>Are we there yet?</t>
  </si>
  <si>
    <t>Tame a donkey</t>
  </si>
  <si>
    <t>blazeandcave:animal/are_we_there_yet</t>
  </si>
  <si>
    <t>Artificial Selection</t>
  </si>
  <si>
    <t>Breed a horse and a donkey to get a mule</t>
  </si>
  <si>
    <t>blazeandcave:animal/artificial_selection</t>
  </si>
  <si>
    <t>Master Farrier</t>
  </si>
  <si>
    <t>Tame all horse variants</t>
  </si>
  <si>
    <t>horse_spawn_egg</t>
  </si>
  <si>
    <t>blazeandcave:animal/master_farrier</t>
  </si>
  <si>
    <t>Desert Rider</t>
  </si>
  <si>
    <t>Find a Camel in a desert village and ride it</t>
  </si>
  <si>
    <t>camel_spawn_egg</t>
  </si>
  <si>
    <t>blazeandcave:animal/desert_rider</t>
  </si>
  <si>
    <t>Hump Day</t>
  </si>
  <si>
    <t>Breed two Camels using cactus</t>
  </si>
  <si>
    <t>blazeandcave:animal/hump_day</t>
  </si>
  <si>
    <t>The High Road</t>
  </si>
  <si>
    <t>The same mobs as what triggers "Monster Hunter" can be killed for this advancement</t>
  </si>
  <si>
    <t>Kill a hostile monster with a melee attack while riding a Camel</t>
  </si>
  <si>
    <t>iron_sword</t>
  </si>
  <si>
    <t>blazeandcave:animal/the_high_road</t>
  </si>
  <si>
    <t>Stay Calmer</t>
  </si>
  <si>
    <t>Tame a Llama or Trader Llama</t>
  </si>
  <si>
    <t>Tame a llama</t>
  </si>
  <si>
    <t>light_gray_carpet</t>
  </si>
  <si>
    <t>blazeandcave:animal/stay_calmer</t>
  </si>
  <si>
    <t>So I got that going for me</t>
  </si>
  <si>
    <t>2 Hay Blocks</t>
  </si>
  <si>
    <t>Breed a Llama or Trader Llama</t>
  </si>
  <si>
    <t>Breed two llamas with hay</t>
  </si>
  <si>
    <t>blazeandcave:animal/so_i_got_that_going_for_me</t>
  </si>
  <si>
    <t>Llama Llama Duck King</t>
  </si>
  <si>
    <t>You have to tame: Creamy, White, Brown and Gray Llamas OR Trader Llamas</t>
  </si>
  <si>
    <t>Tame all llama variants</t>
  </si>
  <si>
    <t>llama_spawn_egg</t>
  </si>
  <si>
    <t>blazeandcave:animal/llama_llama_duck_king</t>
  </si>
  <si>
    <t>Llama Festival</t>
  </si>
  <si>
    <t>This works with either Llamas or Trader Llamas</t>
  </si>
  <si>
    <t>Sit on Llamas with all 16 colors of carpet. Getting off will reset your progress</t>
  </si>
  <si>
    <t>purple_banner</t>
  </si>
  <si>
    <t>blazeandcave:animal/llama_festival</t>
  </si>
  <si>
    <t>Breeding</t>
  </si>
  <si>
    <t>Heavy Duty Caravan</t>
  </si>
  <si>
    <t>4 Hay Blocks</t>
  </si>
  <si>
    <t>Tame a Llama or Trader Llama with a strength of 5</t>
  </si>
  <si>
    <t>Tame a llama with a strength of 5</t>
  </si>
  <si>
    <t>potion</t>
  </si>
  <si>
    <t>blazeandcave:animal/heavy_duty_caravan</t>
  </si>
  <si>
    <t>Blistering Barnacles!</t>
  </si>
  <si>
    <t>Get damaged by a llama spitting at you</t>
  </si>
  <si>
    <t>Get spat at by a llama</t>
  </si>
  <si>
    <t>light_blue_carpet</t>
  </si>
  <si>
    <t>blazeandcave:animal/blistering_barnacles</t>
  </si>
  <si>
    <t>Lead the Way!</t>
  </si>
  <si>
    <t>2 Leads</t>
  </si>
  <si>
    <t>Right-click a mob that can be leashed with a lead</t>
  </si>
  <si>
    <t>Craft a lead using string and a slimeball, then attach it to a mob</t>
  </si>
  <si>
    <t>lead</t>
  </si>
  <si>
    <t>blazeandcave:animal/lead_the_way</t>
  </si>
  <si>
    <t>Beeloons!</t>
  </si>
  <si>
    <t>Attach a lead to a bee</t>
  </si>
  <si>
    <t>blazeandcave:animal/beeloons</t>
  </si>
  <si>
    <t>You Lead, I'll Follow</t>
  </si>
  <si>
    <t>Attach a lead to a llama to form a llama caravan</t>
  </si>
  <si>
    <t>brown_carpet</t>
  </si>
  <si>
    <t>blazeandcave:animal/you_lead_ill_follow</t>
  </si>
  <si>
    <t>Follow the Leader</t>
  </si>
  <si>
    <t>32 Leads</t>
  </si>
  <si>
    <t>Attach a lead to every mob that can be leashed</t>
  </si>
  <si>
    <t>blazeandcave:animal/follow_the_leader</t>
  </si>
  <si>
    <t>Leader of the Pack</t>
  </si>
  <si>
    <t>4 Bones</t>
  </si>
  <si>
    <t>Tame a wolf</t>
  </si>
  <si>
    <t>Befriend a wolf</t>
  </si>
  <si>
    <t>bone</t>
  </si>
  <si>
    <t>minecraft:husbandry/tame_an_animal</t>
  </si>
  <si>
    <t>Puppies! Yipe!</t>
  </si>
  <si>
    <t>2 Rotten Flesh</t>
  </si>
  <si>
    <t>Breed two wolves together to get a puppy!</t>
  </si>
  <si>
    <t>rotten_flesh</t>
  </si>
  <si>
    <t>blazeandcave:animal/puppies_yipe</t>
  </si>
  <si>
    <t>Isn’t It Scute?</t>
  </si>
  <si>
    <t>2 Armadillo Scutes</t>
  </si>
  <si>
    <t>Use a Brush on an Armadillo</t>
  </si>
  <si>
    <t>Brush an Armadillo to get Armadillo Scutes</t>
  </si>
  <si>
    <t>brush</t>
  </si>
  <si>
    <t>minecraft:adventure/brush_armadillo</t>
  </si>
  <si>
    <t>Farmadillo</t>
  </si>
  <si>
    <t>2 Spider Eyes</t>
  </si>
  <si>
    <t>Breed two Armadillos using Spider Eyes</t>
  </si>
  <si>
    <t>spider_eye</t>
  </si>
  <si>
    <t>blazeandcave:animal/farmadillo</t>
  </si>
  <si>
    <t>Armadoggo</t>
  </si>
  <si>
    <t>Place Wolf Armor on a wolf</t>
  </si>
  <si>
    <t>Equip your canine best friend with Wolf Armor</t>
  </si>
  <si>
    <t>wolf_armor</t>
  </si>
  <si>
    <t>blazeandcave:animal/armadoggo</t>
  </si>
  <si>
    <t>Good as New</t>
  </si>
  <si>
    <t>Repair damaged Wolf Armor using Armadillo Scutes</t>
  </si>
  <si>
    <t>armadillo_scute</t>
  </si>
  <si>
    <t>minecraft:husbandry/repair_wolf_armor</t>
  </si>
  <si>
    <t>Shear Brilliance</t>
  </si>
  <si>
    <t>Remove Wolf Armor from a Wolf using Shears</t>
  </si>
  <si>
    <t>minecraft:husbandry/remove_wolf_armor</t>
  </si>
  <si>
    <t>Paw Patrol</t>
  </si>
  <si>
    <t>12 Armadillo Scutes</t>
  </si>
  <si>
    <t>Place Wolf Armor of each colour on wolves</t>
  </si>
  <si>
    <t>Equip Wolves with Wolf Armor dyed blue, red, yellow, lime, pink and orange</t>
  </si>
  <si>
    <t>blazeandcave:animal/paw_patrol</t>
  </si>
  <si>
    <t>The Whole Pack</t>
  </si>
  <si>
    <t>Tame the wolf variants: Ashen, Black, Chestnut, Pale, Rusty, Snowy, Spotted, Striped and Woods</t>
  </si>
  <si>
    <t>Tame one of each Wolf variant</t>
  </si>
  <si>
    <t>minecraft:husbandry/whole_pack</t>
  </si>
  <si>
    <t>What Does The Fox Say?</t>
  </si>
  <si>
    <t>Breed two red foxes with sweet berries</t>
  </si>
  <si>
    <t>fox_spawn_egg</t>
  </si>
  <si>
    <t>blazeandcave:animal/what_does_the_fox_say</t>
  </si>
  <si>
    <t>Snow Fox 64</t>
  </si>
  <si>
    <t>Breed two snow foxes with sweet berries</t>
  </si>
  <si>
    <t>blazeandcave:animal/snow_fox_64</t>
  </si>
  <si>
    <t>Blackberry Market</t>
  </si>
  <si>
    <t>Have a fox with an Emerald in its mouth pick up Sweet Berries that you dropped</t>
  </si>
  <si>
    <t>Trade some sweet berries to a Fox with an emerald in their mouth</t>
  </si>
  <si>
    <t>emerald</t>
  </si>
  <si>
    <t>blazeandcave:animal/blackberry_market</t>
  </si>
  <si>
    <t>Foxy Thievery</t>
  </si>
  <si>
    <t>Have a fox pick up a Totem of Undying that you dropped</t>
  </si>
  <si>
    <t>Give a fox a Totem of Undying</t>
  </si>
  <si>
    <t>totem_of_undying</t>
  </si>
  <si>
    <t>blazeandcave:animal/foxy_thievery</t>
  </si>
  <si>
    <t>Frog Family</t>
  </si>
  <si>
    <t>2 Slimeballs</t>
  </si>
  <si>
    <t>Breed two Frogs together using slimeballs</t>
  </si>
  <si>
    <t>frogspawn</t>
  </si>
  <si>
    <t>blazeandcave:animal/frog_family</t>
  </si>
  <si>
    <t>Bukkit bukkit</t>
  </si>
  <si>
    <t>Catch a Tadpole in a bucket</t>
  </si>
  <si>
    <t>tadpole_bucket</t>
  </si>
  <si>
    <t>minecraft:husbandry/tadpole_in_a_bucket</t>
  </si>
  <si>
    <t>When the Squad Hops into Town</t>
  </si>
  <si>
    <t>8 Slimeballs</t>
  </si>
  <si>
    <t>Attach a lead to each variant of Frog</t>
  </si>
  <si>
    <t>minecraft:husbandry/leash_all_frog_variants</t>
  </si>
  <si>
    <t>Fishy Business</t>
  </si>
  <si>
    <t>2 Raw Cod</t>
  </si>
  <si>
    <t>Catch a fish</t>
  </si>
  <si>
    <t>fishing_rod</t>
  </si>
  <si>
    <t>minecraft:husbandry/fishy_business</t>
  </si>
  <si>
    <t>Direct Fishing</t>
  </si>
  <si>
    <t>Kill a cod, salmon, pufferfish or tropical fish</t>
  </si>
  <si>
    <t>Catch a fish by directly skewering it with a sword</t>
  </si>
  <si>
    <t>stone_sword</t>
  </si>
  <si>
    <t>blazeandcave:animal/direct_fishing</t>
  </si>
  <si>
    <t>Grinding Nemo</t>
  </si>
  <si>
    <t>2 Tropical Fish</t>
  </si>
  <si>
    <t>Kill a tropical fish</t>
  </si>
  <si>
    <t>Skewer a tropical fish</t>
  </si>
  <si>
    <t>tropical_fish</t>
  </si>
  <si>
    <t>blazeandcave:animal/grinding_nemo</t>
  </si>
  <si>
    <t>Cephalight</t>
  </si>
  <si>
    <t>4 Glow Ink Sacs</t>
  </si>
  <si>
    <t>Kill a Glow Squid</t>
  </si>
  <si>
    <t>glow_ink_sac</t>
  </si>
  <si>
    <t>blazeandcave:animal/cephalight</t>
  </si>
  <si>
    <t>Glow and Behold</t>
  </si>
  <si>
    <t>Use a Glow Ink Sac to light up a sign</t>
  </si>
  <si>
    <t>warped_sign</t>
  </si>
  <si>
    <t>minecraft:husbandry/make_a_sign_glow</t>
  </si>
  <si>
    <t>Flashy Items</t>
  </si>
  <si>
    <t>Place an item in a Glowing Item Frame</t>
  </si>
  <si>
    <t>Put an item up for display in a Glowing Item Frame</t>
  </si>
  <si>
    <t>glow_item_frame</t>
  </si>
  <si>
    <t>blazeandcave:animal/flashy_items</t>
  </si>
  <si>
    <t>Iceologer Should've Won</t>
  </si>
  <si>
    <t>16 Glow Ink Sacs</t>
  </si>
  <si>
    <t>Kill 100 Glow Squids</t>
  </si>
  <si>
    <t>blue_ice</t>
  </si>
  <si>
    <t>blazeandcave:animal/iceologer_shouldve_won</t>
  </si>
  <si>
    <t>Tactical Fishing</t>
  </si>
  <si>
    <t>Pick up a cod, salmon, pufferfish or tropical fish in a bucket</t>
  </si>
  <si>
    <t>Catch a fish... without a fishing rod!</t>
  </si>
  <si>
    <t>pufferfish_bucket</t>
  </si>
  <si>
    <t>minecraft:husbandry/tactical_fishing</t>
  </si>
  <si>
    <t>Aquarium</t>
  </si>
  <si>
    <t>3 Water Buckets</t>
  </si>
  <si>
    <t>Place a cod, salmon, pufferfish and tropical fish bucket</t>
  </si>
  <si>
    <t>Catch all four types of fish and set them free in an aquarium</t>
  </si>
  <si>
    <t>salmon_bucket</t>
  </si>
  <si>
    <t>blazeandcave:animal/aquarium</t>
  </si>
  <si>
    <t>Tropical Collection</t>
  </si>
  <si>
    <t>Collect all 22 of the common types of tropical fish</t>
  </si>
  <si>
    <t>tropical_fish_bucket</t>
  </si>
  <si>
    <t>blazeandcave:animal/tropical_collection</t>
  </si>
  <si>
    <t>Axolotl Breeder</t>
  </si>
  <si>
    <t>The Cutest Predator</t>
  </si>
  <si>
    <t>Catch an Axolotl in a Bucket</t>
  </si>
  <si>
    <t>axolotl_bucket</t>
  </si>
  <si>
    <t>minecraft:husbandry/axolotl_in_a_bucket</t>
  </si>
  <si>
    <t>The Healing Power of Friendship</t>
  </si>
  <si>
    <t>Receive regeneration from an Axolotl by killing a mob one is in conflict with</t>
  </si>
  <si>
    <t>Team up with an Axolotl and win a fight</t>
  </si>
  <si>
    <t>minecraft:husbandry/kill_axolotl_target</t>
  </si>
  <si>
    <t>Thanks a lotl</t>
  </si>
  <si>
    <t>4 Tropical Fish</t>
  </si>
  <si>
    <t>Same as The Healing Power of Friendship but both you and the Axolotl must be inside an Ocean Monument</t>
  </si>
  <si>
    <t>Feed an Axolotl within an Ocean Monument and watch it go on a Guardian killing spree</t>
  </si>
  <si>
    <t>prismarine_shard</t>
  </si>
  <si>
    <t>blazeandcave:animal/thanks_a_lotl</t>
  </si>
  <si>
    <t>Axolittle</t>
  </si>
  <si>
    <t>Breed two Axolotls together using Tropical Fish</t>
  </si>
  <si>
    <t>axolotl_spawn_egg</t>
  </si>
  <si>
    <t>blazeandcave:animal/axolittle</t>
  </si>
  <si>
    <t>Axeolotl</t>
  </si>
  <si>
    <t>Kill an Axolotl with an axe</t>
  </si>
  <si>
    <t>iron_axe</t>
  </si>
  <si>
    <t>blazeandcave:animal/axeolotl</t>
  </si>
  <si>
    <t>Axolotl of them</t>
  </si>
  <si>
    <t>16 Tropical Fish</t>
  </si>
  <si>
    <t>Catch a Leucistic, Wild, Gold, Cyan and Blue Axolotl</t>
  </si>
  <si>
    <t>Catch all variants of Axolotls inside a Bucket</t>
  </si>
  <si>
    <t>bucket</t>
  </si>
  <si>
    <t>blazeandcave:animal/axolotl_of_them</t>
  </si>
  <si>
    <t>Delicious Fish</t>
  </si>
  <si>
    <t>2 Cooked Cod</t>
  </si>
  <si>
    <t>Eat a cooked cod or cooked salmon</t>
  </si>
  <si>
    <t>Cook and eat a fish!</t>
  </si>
  <si>
    <t>cooked_cod</t>
  </si>
  <si>
    <t>blazeandcave:animal/delicious_fish</t>
  </si>
  <si>
    <t>Sushi</t>
  </si>
  <si>
    <t>Eat some raw fish</t>
  </si>
  <si>
    <t>cod</t>
  </si>
  <si>
    <t>blazeandcave:animal/sushi</t>
  </si>
  <si>
    <t>Salmonella Poisoning</t>
  </si>
  <si>
    <t>Eat some raw salmon... and not get poisoned after all</t>
  </si>
  <si>
    <t>salmon</t>
  </si>
  <si>
    <t>blazeandcave:animal/salmonella_poisoning</t>
  </si>
  <si>
    <t>Catching Nemo</t>
  </si>
  <si>
    <t>Catch a tropical fish through fishing</t>
  </si>
  <si>
    <t>Catch a clownfish</t>
  </si>
  <si>
    <t>blazeandcave:animal/catching_nemo</t>
  </si>
  <si>
    <t>What a piece of junk!</t>
  </si>
  <si>
    <t>Fish out a junk item</t>
  </si>
  <si>
    <t>blazeandcave:animal/what_a_piece_of_junk</t>
  </si>
  <si>
    <t>Treasure Hunter</t>
  </si>
  <si>
    <t>Fish out a piece of treasure</t>
  </si>
  <si>
    <t>nautilus_shell</t>
  </si>
  <si>
    <t>blazeandcave:animal/treasure_hunter</t>
  </si>
  <si>
    <t>Someone's been here before...</t>
  </si>
  <si>
    <t>Catch leather boots through fishing</t>
  </si>
  <si>
    <t>Fish out a ratty old pair of boots</t>
  </si>
  <si>
    <t>blazeandcave:animal/someones_been_here_before</t>
  </si>
  <si>
    <t>Master Angler</t>
  </si>
  <si>
    <t>16 Cooked Salmon</t>
  </si>
  <si>
    <t>Collect 64 raw cod, raw salmon, pufferfish and tropical fish</t>
  </si>
  <si>
    <t>Collect a stack of all four types of fish</t>
  </si>
  <si>
    <t>pufferfish</t>
  </si>
  <si>
    <t>blazeandcave:animal/master_angler</t>
  </si>
  <si>
    <t>Totally not an AFK fisher!</t>
  </si>
  <si>
    <t>1 Mending Fishing Rod</t>
  </si>
  <si>
    <t>Fish out all types of items</t>
  </si>
  <si>
    <t>blazeandcave:animal/totally_not_an_afk_fisher</t>
  </si>
  <si>
    <t>Poacher</t>
  </si>
  <si>
    <t>Kill a turtle</t>
  </si>
  <si>
    <t>Kill a turtle for their shells only to find they don't actually drop their shells when killed</t>
  </si>
  <si>
    <t>seagrass</t>
  </si>
  <si>
    <t>blazeandcave:animal/poacher</t>
  </si>
  <si>
    <t>Hey, look, Mom!</t>
  </si>
  <si>
    <t>Use sea grass to breed a baby turtle</t>
  </si>
  <si>
    <t>turtle_egg</t>
  </si>
  <si>
    <t>blazeandcave:animal/hey_look_mom</t>
  </si>
  <si>
    <t>Scuttler</t>
  </si>
  <si>
    <t>2 Scutes</t>
  </si>
  <si>
    <t>Obtain a scute</t>
  </si>
  <si>
    <t>Get a scute from a baby turtle when it grows up</t>
  </si>
  <si>
    <t>turtle_scute</t>
  </si>
  <si>
    <t>blazeandcave:animal/scuttler</t>
  </si>
  <si>
    <t>Turtle Soldier</t>
  </si>
  <si>
    <t>Obtain a turtle shell</t>
  </si>
  <si>
    <t>Craft a full turtle shell</t>
  </si>
  <si>
    <t>turtle_helmet</t>
  </si>
  <si>
    <t>blazeandcave:animal/turtle_soldier</t>
  </si>
  <si>
    <t>Save the Turtles!</t>
  </si>
  <si>
    <t>8 Turtle Eggs, 8 Scutes</t>
  </si>
  <si>
    <t>Collect a stack of turtle eggs</t>
  </si>
  <si>
    <t>blazeandcave:animal/save_the_turtles</t>
  </si>
  <si>
    <t>Turtle Army</t>
  </si>
  <si>
    <t>8 Scutes</t>
  </si>
  <si>
    <t>Collect a stack of Turtle Scutes</t>
  </si>
  <si>
    <t>turtle_spawn_egg</t>
  </si>
  <si>
    <t>blazeandcave:animal/turtle_army</t>
  </si>
  <si>
    <t>Monsters</t>
  </si>
  <si>
    <t>Obtain a wood, stone, iron, gold or diamond sword</t>
  </si>
  <si>
    <t>Battle against the monsters of darkness</t>
  </si>
  <si>
    <t>zombie_head</t>
  </si>
  <si>
    <t>blazeandcave:monsters/root</t>
  </si>
  <si>
    <t>Monster Hunter</t>
  </si>
  <si>
    <t>Kill any hostile monster</t>
  </si>
  <si>
    <t>minecraft:adventure/kill_a_mob</t>
  </si>
  <si>
    <t>Dead Don't Die</t>
  </si>
  <si>
    <t>3 Rotten Flesh</t>
  </si>
  <si>
    <t>Kill a zombie</t>
  </si>
  <si>
    <t>blazeandcave:monsters/dead_dont_die</t>
  </si>
  <si>
    <t>There has to be another way...</t>
  </si>
  <si>
    <t>Kill a zombie villager</t>
  </si>
  <si>
    <t>blazeandcave:monsters/there_has_to_be_another_way</t>
  </si>
  <si>
    <t>Iron Belly</t>
  </si>
  <si>
    <t>Eat rotten flesh</t>
  </si>
  <si>
    <t>Stop starvation using rotten flesh</t>
  </si>
  <si>
    <t>blazeandcave:monsters/iron_belly</t>
  </si>
  <si>
    <t>Desert Nomad</t>
  </si>
  <si>
    <t>Kill a husk</t>
  </si>
  <si>
    <t>blazeandcave:monsters/desert_nomad</t>
  </si>
  <si>
    <t>Zombie Slayer</t>
  </si>
  <si>
    <t>8 Rotten Flesh, 1 Sharpness II Enchanted Book</t>
  </si>
  <si>
    <t>Collect a stack of rotten flesh</t>
  </si>
  <si>
    <t>zombie_spawn_egg</t>
  </si>
  <si>
    <t>blazeandcave:monsters/zombie_slayer</t>
  </si>
  <si>
    <t>Dead Really Don’t Die</t>
  </si>
  <si>
    <t>Have a zombie pick up a Totem of Undying that you dropped</t>
  </si>
  <si>
    <t>Give a zombie a Totem... so that you have to kill it twice</t>
  </si>
  <si>
    <t>blazeandcave:monsters/dead_really_dont_die</t>
  </si>
  <si>
    <t>Freezing</t>
  </si>
  <si>
    <t>32 Sand, Smite II Enchanted Book</t>
  </si>
  <si>
    <t>Kill a husk in a snowy tundra or ice spikes biome above y-level 56</t>
  </si>
  <si>
    <t>Bring a husk to a tundra biome and then kill it</t>
  </si>
  <si>
    <t>blazeandcave:monsters/freezing</t>
  </si>
  <si>
    <t>Still Talking!</t>
  </si>
  <si>
    <t>Obtain a zombie head</t>
  </si>
  <si>
    <t>Blow up a zombie with a charged creeper to get a zombie head</t>
  </si>
  <si>
    <t>blazeandcave:monsters/still_talking</t>
  </si>
  <si>
    <t>Family Reunion</t>
  </si>
  <si>
    <t>64 Rotten Flesh</t>
  </si>
  <si>
    <t>Reunite all zombie variants (and their baby forms) in one place</t>
  </si>
  <si>
    <t>player_head</t>
  </si>
  <si>
    <t>blazeandcave:monsters/family_reunion</t>
  </si>
  <si>
    <t>Custom Boss Fight!</t>
  </si>
  <si>
    <t>9 Diamonds</t>
  </si>
  <si>
    <t>Give a zombie full diamond armor and a diamond sword... then kill it</t>
  </si>
  <si>
    <t>blazeandcave:monsters/custom_boss_fight</t>
  </si>
  <si>
    <t>Trick or Treat!</t>
  </si>
  <si>
    <t>Defeat a mob wearing a pumpkin</t>
  </si>
  <si>
    <t>blazeandcave:monsters/trick_or_treat</t>
  </si>
  <si>
    <t>A Watery Grave</t>
  </si>
  <si>
    <t>Kill a drowned</t>
  </si>
  <si>
    <r>
      <rPr>
        <rFont val="Arial"/>
        <color theme="1"/>
      </rPr>
      <t xml:space="preserve">Defeat a Drowned in the briny depths. </t>
    </r>
    <r>
      <rPr>
        <rFont val="Arial"/>
        <i/>
        <color theme="1"/>
      </rPr>
      <t>Gurgle</t>
    </r>
  </si>
  <si>
    <t>blazeandcave:monsters/a_watery_grave</t>
  </si>
  <si>
    <t>Tridented Shield</t>
  </si>
  <si>
    <t>Block a trident thrown by a Drowned</t>
  </si>
  <si>
    <t>shield</t>
  </si>
  <si>
    <t>blazeandcave:monsters/tridented_shield</t>
  </si>
  <si>
    <t>Because I'm Aquaman!</t>
  </si>
  <si>
    <t>Obtain a trident</t>
  </si>
  <si>
    <t>Obtain a trident from a Drowned</t>
  </si>
  <si>
    <t>blazeandcave:monsters/because_im_aquaman</t>
  </si>
  <si>
    <t>Mollusc Man</t>
  </si>
  <si>
    <t>1 Nautilus Shell</t>
  </si>
  <si>
    <t>Defeat a Drowned that is holding a nautilus shell</t>
  </si>
  <si>
    <t>blazeandcave:monsters/mollusc_man</t>
  </si>
  <si>
    <t>Captain Etho</t>
  </si>
  <si>
    <t>1 Trident</t>
  </si>
  <si>
    <t>Defeat a Drowned that is holding a nautilus shell and a trident</t>
  </si>
  <si>
    <t>blazeandcave:monsters/captain_etho</t>
  </si>
  <si>
    <t>Ooh, Baby!</t>
  </si>
  <si>
    <t>Kill a baby zombie, zombie villager, husk, drowned or zombie pigman</t>
  </si>
  <si>
    <t>Kill a baby zombie</t>
  </si>
  <si>
    <t>paper</t>
  </si>
  <si>
    <t>blazeandcave:monsters/ooh_baby</t>
  </si>
  <si>
    <t>Baby, baby, baby noo!!</t>
  </si>
  <si>
    <t>Kill one of each of a baby zombie, zombie villager, husk, drowned and zombie pigman</t>
  </si>
  <si>
    <t>lever</t>
  </si>
  <si>
    <t>blazeandcave:monsters/baby_baby_baby_noo</t>
  </si>
  <si>
    <t>Poultry Boy</t>
  </si>
  <si>
    <t>Kill a chicken being ridden by a zombie, zombie villager, husk or drowned, or vice versa</t>
  </si>
  <si>
    <t>Slay the elusive Chicken Jockey</t>
  </si>
  <si>
    <t>blazeandcave:monsters/poultry_boy</t>
  </si>
  <si>
    <t>Spooky Skeleton</t>
  </si>
  <si>
    <t>3 Bones, 8 Arrows</t>
  </si>
  <si>
    <t>Kill a skeleton</t>
  </si>
  <si>
    <t>blazeandcave:monsters/spooky_skeleton</t>
  </si>
  <si>
    <t>Boned</t>
  </si>
  <si>
    <t>Craft bone meal from either bones or bone blocks</t>
  </si>
  <si>
    <t>Grind up some bones into bone meal</t>
  </si>
  <si>
    <t>blazeandcave:monsters/boned</t>
  </si>
  <si>
    <t>Not Today, Thank You</t>
  </si>
  <si>
    <t>Block an arrow shot by either a skeleton or a stray</t>
  </si>
  <si>
    <t>Deflect an arrow with a shield</t>
  </si>
  <si>
    <t>minecraft:story/deflect_arrow</t>
  </si>
  <si>
    <t>Skeleton Smiter</t>
  </si>
  <si>
    <t>8 Bones, 16 Arrows, 1 Power II Enchanted Book</t>
  </si>
  <si>
    <t>Collect a stack of bones</t>
  </si>
  <si>
    <t>skeleton_spawn_egg</t>
  </si>
  <si>
    <t>blazeandcave:monsters/skeleton_smiter</t>
  </si>
  <si>
    <t>Paleontologist</t>
  </si>
  <si>
    <t>8 Bone Blocks</t>
  </si>
  <si>
    <t>Craft or mine a stack of bone blocks</t>
  </si>
  <si>
    <t>bone_block</t>
  </si>
  <si>
    <t>blazeandcave:monsters/paleontologist</t>
  </si>
  <si>
    <t>Frosty</t>
  </si>
  <si>
    <t>3 Bones, 8 Slowness Tipped Arrows</t>
  </si>
  <si>
    <t>Kill a stray</t>
  </si>
  <si>
    <t>snowball</t>
  </si>
  <si>
    <t>blazeandcave:monsters/frosty</t>
  </si>
  <si>
    <t>Bogged Down</t>
  </si>
  <si>
    <t>3 Bones</t>
  </si>
  <si>
    <t>Kill a Bogged. Watch those poison arrows!</t>
  </si>
  <si>
    <t>blazeandcave:monsters/bogged_down</t>
  </si>
  <si>
    <t>Poison Dart</t>
  </si>
  <si>
    <t>8 Tipped Arrows of Poison</t>
  </si>
  <si>
    <t>Shoot a mob with a Tipped Arrow of Poison</t>
  </si>
  <si>
    <t>tipped_arrow</t>
  </si>
  <si>
    <t>blazeandcave:monsters/poison_dart</t>
  </si>
  <si>
    <t>The Undead Cavalry</t>
  </si>
  <si>
    <t>16 Arrows, 1 Power III Enchanted Book</t>
  </si>
  <si>
    <t>Ride a Skeleton Horse</t>
  </si>
  <si>
    <t>blazeandcave:monsters/the_undead_cavalry</t>
  </si>
  <si>
    <t>Melting</t>
  </si>
  <si>
    <t>32 Slowness Tipped Arrows, 1 Projectile Protection II Enchanted Book</t>
  </si>
  <si>
    <t>Kill a stray in a desert biome above y-level 56</t>
  </si>
  <si>
    <t>Bring a stray to a desert biome and then kill it</t>
  </si>
  <si>
    <t>blazeandcave:monsters/melting</t>
  </si>
  <si>
    <t>Spooky Skulls</t>
  </si>
  <si>
    <t>Obtain a skeleton skull</t>
  </si>
  <si>
    <t>Blow up a skeleton with a charged creeper to get a skeleton skull</t>
  </si>
  <si>
    <t>skeleton_skull</t>
  </si>
  <si>
    <t>blazeandcave:monsters/spooky_skulls</t>
  </si>
  <si>
    <t>64 Bones</t>
  </si>
  <si>
    <t>Reunite all skeleton variants and their three-headed overlord in one place</t>
  </si>
  <si>
    <t>blazeandcave:monsters/bone_to_party</t>
  </si>
  <si>
    <t>Ew Ew Ew!</t>
  </si>
  <si>
    <t>3 String</t>
  </si>
  <si>
    <t>Kill a spider</t>
  </si>
  <si>
    <t>string</t>
  </si>
  <si>
    <t>blazeandcave:monsters/ew_ew_ew</t>
  </si>
  <si>
    <t>Poisonous Ew</t>
  </si>
  <si>
    <t>3 String, 1 Spider Eye</t>
  </si>
  <si>
    <t>Kill a cave spider</t>
  </si>
  <si>
    <t>blazeandcave:monsters/poisonous_ew</t>
  </si>
  <si>
    <t>Spider Smasher</t>
  </si>
  <si>
    <t>8 String, 3 Spider Eyes, 1 Protection II Enchanted Book</t>
  </si>
  <si>
    <t>Collect a stack of string from spiders or cobwebs</t>
  </si>
  <si>
    <t>spider_spawn_egg</t>
  </si>
  <si>
    <t>blazeandcave:monsters/spider_smasher</t>
  </si>
  <si>
    <t>Spider-skeleton</t>
  </si>
  <si>
    <t>8 String, 8 Bones</t>
  </si>
  <si>
    <t>Kill either the spider or skeleton segment of a spider jockey</t>
  </si>
  <si>
    <t>Does whatever a spider can</t>
  </si>
  <si>
    <t>blazeandcave:monsters/spider_skeleton</t>
  </si>
  <si>
    <t>The Ghastly Eyes</t>
  </si>
  <si>
    <t>1 Golden Carrot, 1 Fermented Spider Eye</t>
  </si>
  <si>
    <t>Kill an invisible spider or cave spider</t>
  </si>
  <si>
    <t>Kill an invisible spider</t>
  </si>
  <si>
    <t>fermented_spider_eye</t>
  </si>
  <si>
    <t>blazeandcave:monsters/the_ghastly_eyes</t>
  </si>
  <si>
    <t>Pupil Poppers</t>
  </si>
  <si>
    <t>77 Diamonds</t>
  </si>
  <si>
    <t>Eat 1000 Spider Eyes</t>
  </si>
  <si>
    <t>blazeandcave:monsters/pupil_poppers</t>
  </si>
  <si>
    <t>What a creep!</t>
  </si>
  <si>
    <t>3 Gunpowder</t>
  </si>
  <si>
    <t>Kill a creeper</t>
  </si>
  <si>
    <t>gunpowder</t>
  </si>
  <si>
    <t>blazeandcave:monsters/what_a_creep</t>
  </si>
  <si>
    <t>Keep your distance</t>
  </si>
  <si>
    <t>4 Gunpowder</t>
  </si>
  <si>
    <t>Also works with spectral and tipped arrows</t>
  </si>
  <si>
    <t>Kill a Creeper with arrows</t>
  </si>
  <si>
    <t>blazeandcave:monsters/keep_your_distance</t>
  </si>
  <si>
    <t>Blast Shield</t>
  </si>
  <si>
    <t>8 Gunpowder</t>
  </si>
  <si>
    <t>Block a creeper's explosion</t>
  </si>
  <si>
    <t>Survive a creeper's blast with your shield</t>
  </si>
  <si>
    <t>blazeandcave:monsters/blast_shield</t>
  </si>
  <si>
    <t>Controlled Detonation</t>
  </si>
  <si>
    <t>Right-click a creeper using Flint and Steel OR a Fire Charge</t>
  </si>
  <si>
    <t>Persuade a Creeper to blow up using Flint and Steel</t>
  </si>
  <si>
    <t>blazeandcave:monsters/controlled_detonation</t>
  </si>
  <si>
    <t>Aww man!</t>
  </si>
  <si>
    <t>Get killed by a creeper's explosion</t>
  </si>
  <si>
    <t>That was a nice life you had. Shame it had to end at this time time time</t>
  </si>
  <si>
    <t>blazeandcave:monsters/aww_man</t>
  </si>
  <si>
    <t>Creeper Killer</t>
  </si>
  <si>
    <t>8 Gunpowder, 1 Looting I Enchanted Book</t>
  </si>
  <si>
    <t>Collect a stack of gunpowder</t>
  </si>
  <si>
    <t>creeper_spawn_egg</t>
  </si>
  <si>
    <t>blazeandcave:monsters/creeper_killer</t>
  </si>
  <si>
    <t>Creepy Heads</t>
  </si>
  <si>
    <t>Obtain a creeper head</t>
  </si>
  <si>
    <t>Blow up a creeper with a charged creeper to get a creeper head</t>
  </si>
  <si>
    <t>creeper_head</t>
  </si>
  <si>
    <t>blazeandcave:monsters/creepy_heads</t>
  </si>
  <si>
    <t>Camouflage</t>
  </si>
  <si>
    <t>1 Channeling Enchanted Book</t>
  </si>
  <si>
    <t>This works for: Creepers, Zombies, Skeletons, Wither Skeletons and Piglins</t>
  </si>
  <si>
    <t>Kill a mob while wearing the same type of mob head</t>
  </si>
  <si>
    <t>wither_skeleton_skull</t>
  </si>
  <si>
    <t>blazeandcave:monsters/camouflage</t>
  </si>
  <si>
    <t>The ender of ender</t>
  </si>
  <si>
    <t>1 Ender Pearl</t>
  </si>
  <si>
    <t>Kill an enderman</t>
  </si>
  <si>
    <t>ender_pearl</t>
  </si>
  <si>
    <t>blazeandcave:monsters/the_ender_of_ender</t>
  </si>
  <si>
    <t>Ender Worm</t>
  </si>
  <si>
    <t>Kill an endermite</t>
  </si>
  <si>
    <t>Prevent an Endermite from maturing</t>
  </si>
  <si>
    <t>purple_dye</t>
  </si>
  <si>
    <t>blazeandcave:monsters/ender_worm</t>
  </si>
  <si>
    <t>Tele-morph</t>
  </si>
  <si>
    <t>2 Ender Pearls</t>
  </si>
  <si>
    <t>Throw an ender pearl such that it hits a mob</t>
  </si>
  <si>
    <t>Damage a mob by teleporting into it</t>
  </si>
  <si>
    <t>blazeandcave:monsters/tele_morph</t>
  </si>
  <si>
    <t>Enderman Destroyer</t>
  </si>
  <si>
    <t>4 Ender Pearls, 1 Knockback I Enchanted Book</t>
  </si>
  <si>
    <t>Collect a stack of ender pearls</t>
  </si>
  <si>
    <t>enderman_spawn_egg</t>
  </si>
  <si>
    <t>blazeandcave:monsters/enderman_destroyer</t>
  </si>
  <si>
    <t>Plane Walker</t>
  </si>
  <si>
    <t>4 Ender Pearls</t>
  </si>
  <si>
    <t>Find and kill an enderman in all three dimensions</t>
  </si>
  <si>
    <t>blazeandcave:monsters/plane_walker</t>
  </si>
  <si>
    <t>Impossible...</t>
  </si>
  <si>
    <t>6 Ender Pearls</t>
  </si>
  <si>
    <t>Kill an Enderman while you are holding an arrow :P Also works with spectral and tipped arrows</t>
  </si>
  <si>
    <t>Kill an Enderman with an arrow</t>
  </si>
  <si>
    <t>arrow</t>
  </si>
  <si>
    <t>blazeandcave:monsters/impossible</t>
  </si>
  <si>
    <t>Basketblock Championship</t>
  </si>
  <si>
    <t>Kill Endermen that are holding every block that they can hold</t>
  </si>
  <si>
    <t>red_sand</t>
  </si>
  <si>
    <t>blazeandcave:monsters/basketblock_championship</t>
  </si>
  <si>
    <t>Witch!</t>
  </si>
  <si>
    <t>Kill a witch</t>
  </si>
  <si>
    <t>sugar</t>
  </si>
  <si>
    <t>blazeandcave:monsters/witch</t>
  </si>
  <si>
    <t>Miracle Drink</t>
  </si>
  <si>
    <t>Drink milk or honey when poisoned AND on half a heart of health</t>
  </si>
  <si>
    <t>Drink milk or honey to cure poison when on half a heart</t>
  </si>
  <si>
    <t>blazeandcave:monsters/miracle_drink</t>
  </si>
  <si>
    <t>Taste of your own medicine</t>
  </si>
  <si>
    <t>Kill a witch with a splash potion</t>
  </si>
  <si>
    <t>splash_potion</t>
  </si>
  <si>
    <t>blazeandcave:monsters/taste_of_your_own_medicine</t>
  </si>
  <si>
    <t>Gelatinous Cube</t>
  </si>
  <si>
    <t>3 Slimeballs</t>
  </si>
  <si>
    <t>Kill a slime</t>
  </si>
  <si>
    <t>blazeandcave:monsters/gelatinous_cube</t>
  </si>
  <si>
    <t>Trampoline</t>
  </si>
  <si>
    <t>Land on a slime block after falling at least 30 blocks</t>
  </si>
  <si>
    <t>Bounce onto a slime block from at least 30 blocks high</t>
  </si>
  <si>
    <t>slime_block</t>
  </si>
  <si>
    <t>blazeandcave:monsters/trampoline</t>
  </si>
  <si>
    <t>Slime Squisher</t>
  </si>
  <si>
    <t>Collect a stack of slimeballs</t>
  </si>
  <si>
    <t>slime_spawn_egg</t>
  </si>
  <si>
    <t>blazeandcave:monsters/slime_squisher</t>
  </si>
  <si>
    <t>Iskallium Collector</t>
  </si>
  <si>
    <t>8 Slime Blocks</t>
  </si>
  <si>
    <t>Collect enough slimeballs to craft a stack of slime blocks</t>
  </si>
  <si>
    <t>blazeandcave:monsters/iskallium_collector</t>
  </si>
  <si>
    <t>Termite Control</t>
  </si>
  <si>
    <t>Kill a silverfish</t>
  </si>
  <si>
    <t>blazeandcave:monsters/termite_control</t>
  </si>
  <si>
    <t>The Phantom Menace</t>
  </si>
  <si>
    <t>Take damage from a Phantom's attack</t>
  </si>
  <si>
    <t>Get attacked by Phantoms</t>
  </si>
  <si>
    <t>phantom_membrane</t>
  </si>
  <si>
    <t>blazeandcave:monsters/the_phantom_menace</t>
  </si>
  <si>
    <t>Ricochet Swoop</t>
  </si>
  <si>
    <t>1 Phantom Membrane</t>
  </si>
  <si>
    <t>Block a Phantom's attack</t>
  </si>
  <si>
    <t>Deflect a Phantom's swoop with your shield</t>
  </si>
  <si>
    <t>blazeandcave:monsters/ricochet_swoop</t>
  </si>
  <si>
    <t>Phantom Slayer</t>
  </si>
  <si>
    <t>8 Phantom Membranes</t>
  </si>
  <si>
    <t>Collect a stack of Phantom Membranes</t>
  </si>
  <si>
    <t>blazeandcave:monsters/phantom_slayer</t>
  </si>
  <si>
    <t>Anti-Air</t>
  </si>
  <si>
    <t>3 Phantom Membranes</t>
  </si>
  <si>
    <t>Kill a Phantom from at least 30 blocks away</t>
  </si>
  <si>
    <t>Shoot down a phantom with a bow from 30 blocks away</t>
  </si>
  <si>
    <t>blazeandcave:monsters/anti_air</t>
  </si>
  <si>
    <t>Phantom</t>
  </si>
  <si>
    <t>Two Birds, One Arrow</t>
  </si>
  <si>
    <t>Kill two Phantoms with the same piercing arrow from a crossbow</t>
  </si>
  <si>
    <t>Kill two Phantoms with a piercing arrow</t>
  </si>
  <si>
    <t>crossbow</t>
  </si>
  <si>
    <t>minecraft:adventure/two_birds_one_arrow</t>
  </si>
  <si>
    <t>We'll handle this</t>
  </si>
  <si>
    <t>8 Phantom Membranes, 1 Feather Falling III Enchanted Book</t>
  </si>
  <si>
    <t>Kill a Phantom in the Nether</t>
  </si>
  <si>
    <t>Lure a Phantom into the Nether and then kill it</t>
  </si>
  <si>
    <t>netherrack</t>
  </si>
  <si>
    <t>blazeandcave:monsters/well_handle_this</t>
  </si>
  <si>
    <t>Now that's a lot of damage</t>
  </si>
  <si>
    <t>Get killed by a Warden</t>
  </si>
  <si>
    <t>Succumb to the Warden</t>
  </si>
  <si>
    <t>blazeandcave:monsters/now_thats_a_lot_of_damage</t>
  </si>
  <si>
    <t>Blind Stare</t>
  </si>
  <si>
    <t>Look at a Warden with a Spyglass</t>
  </si>
  <si>
    <t>blazeandcave:monsters/blind_stare</t>
  </si>
  <si>
    <t>Stealth is Optional</t>
  </si>
  <si>
    <t>Kill a Warden</t>
  </si>
  <si>
    <t>Overcome a Warden in the deepest and darkest of caves</t>
  </si>
  <si>
    <t>blazeandcave:monsters/stealth_is_optional</t>
  </si>
  <si>
    <t>Warden Frostbite</t>
  </si>
  <si>
    <t>Kill a Warden in a Snowy Plains or Ice Spikes biome above y-level 64</t>
  </si>
  <si>
    <t>Bring a Warden to the surface of a snowy plains biome and kill it</t>
  </si>
  <si>
    <t>cyan_stained_glass</t>
  </si>
  <si>
    <t>blazeandcave:monsters/warden_frostbite</t>
  </si>
  <si>
    <t>Warden</t>
  </si>
  <si>
    <t>Maximum Resistance</t>
  </si>
  <si>
    <t>1 Netherite Ingot</t>
  </si>
  <si>
    <t>Take damage from a Warden while wearing full Netherite Armor enchanted with Protection IV and are under the Resistance IV effect (from a Turtle Master potion)</t>
  </si>
  <si>
    <t>Take a hit from the Warden with the maximum possible protection</t>
  </si>
  <si>
    <t>netherite_chestplate</t>
  </si>
  <si>
    <t>blazeandcave:monsters/maximum_resistance</t>
  </si>
  <si>
    <t>Not Afraid of Heights</t>
  </si>
  <si>
    <t>4 Sculk Catalysts</t>
  </si>
  <si>
    <t>Have a Warden at y-level 319 or above within 10 blocks of you</t>
  </si>
  <si>
    <t>Bring a Warden to world height. It can’t be afraid of heights if it can’t see</t>
  </si>
  <si>
    <t>blazeandcave:monsters/not_afraid_of_heights</t>
  </si>
  <si>
    <t>House of Freaks</t>
  </si>
  <si>
    <t>5 Sculk Shriekers</t>
  </si>
  <si>
    <t>Summon five Wardens and have them all be within 16 blocks of the player</t>
  </si>
  <si>
    <t>blazeandcave:monsters/house_of_freaks</t>
  </si>
  <si>
    <t>Night Runner</t>
  </si>
  <si>
    <t>Defeat all kinds of Overworld night mobs</t>
  </si>
  <si>
    <t>blazeandcave:monsters/night_runner</t>
  </si>
  <si>
    <t>Hell Hunter</t>
  </si>
  <si>
    <t>Defeat all kinds of Nether mobs</t>
  </si>
  <si>
    <t>blaze_rod</t>
  </si>
  <si>
    <t>blazeandcave:monsters/hell_hunter</t>
  </si>
  <si>
    <t>Void Ender</t>
  </si>
  <si>
    <t>Defeat all kinds of End mobs</t>
  </si>
  <si>
    <t>blazeandcave:monsters/void_ender</t>
  </si>
  <si>
    <t>Dungeon Crawler</t>
  </si>
  <si>
    <t>Defeat all kinds of mobs from special structures</t>
  </si>
  <si>
    <t>stone_bricks</t>
  </si>
  <si>
    <t>blazeandcave:monsters/dungeon_crawler</t>
  </si>
  <si>
    <t>Monsters Hunted</t>
  </si>
  <si>
    <t>Kill one of every kind of hostile monster</t>
  </si>
  <si>
    <t>minecraft:adventure/kill_all_mobs</t>
  </si>
  <si>
    <t>Weaponry</t>
  </si>
  <si>
    <t>Weapons of choice for combat</t>
  </si>
  <si>
    <t>blazeandcave:weaponry/root</t>
  </si>
  <si>
    <t>Take Aim</t>
  </si>
  <si>
    <t>8 Arrows</t>
  </si>
  <si>
    <t>Shoot something with an arrow or spectral arrow</t>
  </si>
  <si>
    <t>Shoot something with a bow and arrow</t>
  </si>
  <si>
    <t>minecraft:adventure/shoot_arrow</t>
  </si>
  <si>
    <t>That is so fletch!</t>
  </si>
  <si>
    <t>Obtain a fletching table</t>
  </si>
  <si>
    <t>Craft a fletching table</t>
  </si>
  <si>
    <t>fletching_table</t>
  </si>
  <si>
    <t>blazeandcave:weaponry/that_is_so_fletch</t>
  </si>
  <si>
    <t>Point Blank</t>
  </si>
  <si>
    <t>Shoot a mob with an arrow from less than 2 blocks away</t>
  </si>
  <si>
    <t>Shoot a mob at point-blank range</t>
  </si>
  <si>
    <t>blazeandcave:weaponry/point_blank</t>
  </si>
  <si>
    <t>Bow Spammer</t>
  </si>
  <si>
    <t>Deal less than 1 damage with an arrow</t>
  </si>
  <si>
    <t>Take out a mob by bow-spamming</t>
  </si>
  <si>
    <t>blazeandcave:weaponry/bow_spammer</t>
  </si>
  <si>
    <t>Sniper Duel</t>
  </si>
  <si>
    <t>32 Arrows, 1 Power III Enchanted Book</t>
  </si>
  <si>
    <t>Kill a skeleton or stray with an arrow from at least 50 metres</t>
  </si>
  <si>
    <t>Kill a skeleton with an arrow from more than 50 metres</t>
  </si>
  <si>
    <t>minecraft:adventure/sniper_duel</t>
  </si>
  <si>
    <t>The Mighty Hunter</t>
  </si>
  <si>
    <t>1 Infinity Enchanted Book</t>
  </si>
  <si>
    <t>Hunt all types of land animals with your bow</t>
  </si>
  <si>
    <t>chicken</t>
  </si>
  <si>
    <t>blazeandcave:weaponry/the_mighty_hunter</t>
  </si>
  <si>
    <t>There it goes…</t>
  </si>
  <si>
    <t>Using any projectile, kill a mob at y-level -59.5 or lower while you are at y-level 319 or higher (in the Overworld) or y-level 255 or higher (in the Nether or End)</t>
  </si>
  <si>
    <t>Kill a mob at the bottom of the world from the build limit using any kind of projectile</t>
  </si>
  <si>
    <t>spectral_arrow</t>
  </si>
  <si>
    <t>blazeandcave:weaponry/there_it_goes</t>
  </si>
  <si>
    <t>X-Bow</t>
  </si>
  <si>
    <t>Obtain a crossbow</t>
  </si>
  <si>
    <t>Craft a crossbow using sticks, spider string, iron and a hook</t>
  </si>
  <si>
    <t>tripwire_hook</t>
  </si>
  <si>
    <t>blazeandcave:weaponry/x_bow</t>
  </si>
  <si>
    <t>Ol' Betsy</t>
  </si>
  <si>
    <t>Shoot a crossbow</t>
  </si>
  <si>
    <t>minecraft:adventure/ol_betsy</t>
  </si>
  <si>
    <t>Who's the Pillager Now?</t>
  </si>
  <si>
    <t>2 Emeralds</t>
  </si>
  <si>
    <t>Kill a Pillager with a crossbow</t>
  </si>
  <si>
    <t>Give a Pillager a taste of their own medicine</t>
  </si>
  <si>
    <t>minecraft:adventure/whos_the_pillager_now</t>
  </si>
  <si>
    <t>Artillery</t>
  </si>
  <si>
    <t>1 Crossbow, 1 Multishot Enchanted Book, 32 Arrows</t>
  </si>
  <si>
    <t>Have nine loaded crossbows in your hotbar. All set!</t>
  </si>
  <si>
    <t>blazeandcave:weaponry/artillery</t>
  </si>
  <si>
    <t>Fireworks Display</t>
  </si>
  <si>
    <t>Obtain a firework rocket</t>
  </si>
  <si>
    <t>Use gunpowder and paper to craft fireworks</t>
  </si>
  <si>
    <t>firework_rocket</t>
  </si>
  <si>
    <t>blazeandcave:weaponry/fireworks_display</t>
  </si>
  <si>
    <t>Pyrotechnic</t>
  </si>
  <si>
    <t>16 Gunpowder, 1 Diamond</t>
  </si>
  <si>
    <t>Craft a firework of every shape and additional effect</t>
  </si>
  <si>
    <t>firework_star</t>
  </si>
  <si>
    <t>blazeandcave:weaponry/pyrotechnic</t>
  </si>
  <si>
    <t>Explosive Fire</t>
  </si>
  <si>
    <t>Load your crossbow with a firework</t>
  </si>
  <si>
    <t>blazeandcave:weaponry/explosive_fire</t>
  </si>
  <si>
    <t>My Eyes!</t>
  </si>
  <si>
    <t>Kill a mob using a firework's explosion</t>
  </si>
  <si>
    <t>blazeandcave:weaponry/my_eyes</t>
  </si>
  <si>
    <t>Who ya gonna call?</t>
  </si>
  <si>
    <t>16 Gunpowder</t>
  </si>
  <si>
    <t>Kill a ghast using a firework's explosion</t>
  </si>
  <si>
    <t>ghast_tear</t>
  </si>
  <si>
    <t>blazeandcave:weaponry/who_ya_gonna_call</t>
  </si>
  <si>
    <t>Sir Knight</t>
  </si>
  <si>
    <t>Obtain a shield</t>
  </si>
  <si>
    <t>Use planks and iron to craft a shield</t>
  </si>
  <si>
    <t>blazeandcave:weaponry/sir_knight</t>
  </si>
  <si>
    <t>Shield Luck</t>
  </si>
  <si>
    <t>Block an enemy's attack</t>
  </si>
  <si>
    <t>Protect yourself from an enemy's attack using your shield</t>
  </si>
  <si>
    <t>blazeandcave:weaponry/shield_luck</t>
  </si>
  <si>
    <t>Flying Colors</t>
  </si>
  <si>
    <t>6 White Wool</t>
  </si>
  <si>
    <t>Obtain a shield with any banner</t>
  </si>
  <si>
    <t>Apply a banner to your shield</t>
  </si>
  <si>
    <t>blazeandcave:weaponry/flying_colors</t>
  </si>
  <si>
    <t>Master Shieldsman</t>
  </si>
  <si>
    <t>Deflect an attack from every hostile monster</t>
  </si>
  <si>
    <t>blazeandcave:weaponry/master_shieldsman</t>
  </si>
  <si>
    <t>Viking</t>
  </si>
  <si>
    <t>Attack a mob using an axe</t>
  </si>
  <si>
    <t>blazeandcave:weaponry/viking</t>
  </si>
  <si>
    <t>Axeman</t>
  </si>
  <si>
    <t>Attack a mob using all six types of axes</t>
  </si>
  <si>
    <t>diamond_axe</t>
  </si>
  <si>
    <t>blazeandcave:weaponry/axeman</t>
  </si>
  <si>
    <t>Shovel Knight</t>
  </si>
  <si>
    <t>Hit a mob using all six types of shovels</t>
  </si>
  <si>
    <t>iron_shovel</t>
  </si>
  <si>
    <t>blazeandcave:weaponry/shovel_knight</t>
  </si>
  <si>
    <t>Spleaf</t>
  </si>
  <si>
    <t>Kill a mob using a shovel while both of you are standing on a Big Dripleaf</t>
  </si>
  <si>
    <t>blazeandcave:weaponry/spleaf</t>
  </si>
  <si>
    <t>Multiclassed</t>
  </si>
  <si>
    <t>Hit a mob with every type of weapon</t>
  </si>
  <si>
    <t>netherite_sword</t>
  </si>
  <si>
    <t>blazeandcave:weaponry/multiclassed</t>
  </si>
  <si>
    <t>A Throwaway Joke</t>
  </si>
  <si>
    <t>Throw a trident such that it hits a mob</t>
  </si>
  <si>
    <t>Throw a trident at something. Note: Throwing away your only weapon is not a good idea</t>
  </si>
  <si>
    <t>minecraft:adventure/throw_trident</t>
  </si>
  <si>
    <t>King of the Sea</t>
  </si>
  <si>
    <t>Kill a Drowned using a trident from at least 30 metres</t>
  </si>
  <si>
    <t>blazeandcave:weaponry/king_of_the_sea</t>
  </si>
  <si>
    <t>The Aquatic Hunter</t>
  </si>
  <si>
    <t>1 Riptide III Enchanted Book</t>
  </si>
  <si>
    <t>Hunt all types of aquatic creatures using your trident</t>
  </si>
  <si>
    <t>blazeandcave:weaponry/the_aquatic_hunter</t>
  </si>
  <si>
    <t>Poseidon vs. Hades</t>
  </si>
  <si>
    <t>1 Loyalty III Enchanted Book</t>
  </si>
  <si>
    <t>Hunt all types of nether creatures using your trident</t>
  </si>
  <si>
    <t>fire_charge</t>
  </si>
  <si>
    <t>blazeandcave:weaponry/poseidon_vs_hades</t>
  </si>
  <si>
    <t>Nice to Mace You!</t>
  </si>
  <si>
    <t>Craft a Mace using a Breeze Rod and a Heavy Core, then do a smash attack by hitting a mob after falling</t>
  </si>
  <si>
    <t>mace</t>
  </si>
  <si>
    <t>blazeandcave:weaponry/nice_to_mace_you</t>
  </si>
  <si>
    <t>Meteor Strike</t>
  </si>
  <si>
    <t>Deal 50 hearts of damage in a single hit using the Mace</t>
  </si>
  <si>
    <t>minecraft:adventure/overoverkill</t>
  </si>
  <si>
    <t>Warden Extinction</t>
  </si>
  <si>
    <t>1 Heavy Core</t>
  </si>
  <si>
    <t>At least 250 hearts of damage must be dealt to a Warden</t>
  </si>
  <si>
    <t>Deal 250 hearts of damage in a single hit using the Mace… to one-shot a Warden</t>
  </si>
  <si>
    <t>blazeandcave:weaponry/warden_extinction</t>
  </si>
  <si>
    <t>Bombs Away!</t>
  </si>
  <si>
    <t>Obtain TNT</t>
  </si>
  <si>
    <t>Use gunpowder and sand to craft TNT</t>
  </si>
  <si>
    <t>tnt</t>
  </si>
  <si>
    <t>blazeandcave:weaponry/bombs_away</t>
  </si>
  <si>
    <t>Revenge!</t>
  </si>
  <si>
    <t>5 TNT</t>
  </si>
  <si>
    <t>Kill a creeper with a TNT's explosion (best to be hand-lit)</t>
  </si>
  <si>
    <t>Blow up a Creeper with some TNT</t>
  </si>
  <si>
    <t>blazeandcave:weaponry/revenge</t>
  </si>
  <si>
    <t>Demolitions Expert</t>
  </si>
  <si>
    <t>25 TNT</t>
  </si>
  <si>
    <t>Blow up every hostile mob with TNT</t>
  </si>
  <si>
    <t>blazeandcave:weaponry/demolitions_expert</t>
  </si>
  <si>
    <t>Pig Fishing Tournament</t>
  </si>
  <si>
    <t>Hook a pig with a fishing rod and reel in with it</t>
  </si>
  <si>
    <t>Pull a pig using a fishing rod</t>
  </si>
  <si>
    <t>blazeandcave:weaponry/pig_fishing_tournament</t>
  </si>
  <si>
    <t>Indiana Jones</t>
  </si>
  <si>
    <t>Works with the same mobs as "Monster Hunter"</t>
  </si>
  <si>
    <t>Pull a monster using a fishing rod</t>
  </si>
  <si>
    <t>blazeandcave:weaponry/indiana_jones</t>
  </si>
  <si>
    <t>When Pigs Finally Fly</t>
  </si>
  <si>
    <t>32 Raw Porkchops</t>
  </si>
  <si>
    <t>Pull a pig from at least 25 blocks away</t>
  </si>
  <si>
    <t>Pull a pig from 25 blocks below you and watch it go</t>
  </si>
  <si>
    <t>blazeandcave:weaponry/when_pigs_finally_fly</t>
  </si>
  <si>
    <t>Snowball Fight</t>
  </si>
  <si>
    <t>16 Snowballs</t>
  </si>
  <si>
    <t>Hit a mob with a thrown snowball</t>
  </si>
  <si>
    <t>The spirit of Christmas... quickly drowned by a battle</t>
  </si>
  <si>
    <t>blazeandcave:weaponry/snowball_fight</t>
  </si>
  <si>
    <t>A snowball's chance in hell</t>
  </si>
  <si>
    <t>4 Blaze Rods</t>
  </si>
  <si>
    <t>Kill a blaze with a thrown snowball</t>
  </si>
  <si>
    <t>Defeat a Blaze using snowballs</t>
  </si>
  <si>
    <t>blaze_powder</t>
  </si>
  <si>
    <t>blazeandcave:weaponry/a_snowballs_chance_in_hell</t>
  </si>
  <si>
    <t>Backfire</t>
  </si>
  <si>
    <t>8 Blaze Rods</t>
  </si>
  <si>
    <t>Kill a Blaze using a Blaze Rod while both you and it are on fire</t>
  </si>
  <si>
    <t>blazeandcave:weaponry/backfire</t>
  </si>
  <si>
    <t>Egging, Dude!</t>
  </si>
  <si>
    <t>4 Eggs</t>
  </si>
  <si>
    <t>Hit a mob with a thrown egg</t>
  </si>
  <si>
    <t>Vandalise something with eggs</t>
  </si>
  <si>
    <t>blazeandcave:weaponry/egging_dude</t>
  </si>
  <si>
    <t>There's yolk on my head</t>
  </si>
  <si>
    <t>16 Eggs</t>
  </si>
  <si>
    <t>Hit a zombie with a thrown egg</t>
  </si>
  <si>
    <t>Catapult an egg onto a zombie's head</t>
  </si>
  <si>
    <t>blazeandcave:weaponry/theres_yolk_on_my_head</t>
  </si>
  <si>
    <t>Expelliarmus!</t>
  </si>
  <si>
    <t>Hit a mob with a stick</t>
  </si>
  <si>
    <t>blazeandcave:weaponry/expelliarmus</t>
  </si>
  <si>
    <t>Slapfish</t>
  </si>
  <si>
    <t>Slap a mob across the face with a fish</t>
  </si>
  <si>
    <t>blazeandcave:weaponry/slapfish</t>
  </si>
  <si>
    <t>Diemonds!</t>
  </si>
  <si>
    <t>Hit a mob with diamonds</t>
  </si>
  <si>
    <t>blazeandcave:weaponry/diemonds</t>
  </si>
  <si>
    <t>Inspector Gadget</t>
  </si>
  <si>
    <t>4 Copper Ingots, 4 Amethyst Shards</t>
  </si>
  <si>
    <t>Kill a zombie while holding a spyglass</t>
  </si>
  <si>
    <t>blazeandcave:weaponry/inspector_gadget</t>
  </si>
  <si>
    <t>Rock, Paper, Shears!</t>
  </si>
  <si>
    <t>Beat a zombie at rock, paper, shears</t>
  </si>
  <si>
    <t>blazeandcave:weaponry/rock_paper_shears</t>
  </si>
  <si>
    <t>It's time consuming</t>
  </si>
  <si>
    <t>4 Gold Ingots</t>
  </si>
  <si>
    <t>Kill something using a clock</t>
  </si>
  <si>
    <t>blazeandcave:weaponry/its_time_consuming</t>
  </si>
  <si>
    <t>Loser!</t>
  </si>
  <si>
    <t>Die when the last time you died was less than 10 seconds ago</t>
  </si>
  <si>
    <t>Die twice within ten seconds</t>
  </si>
  <si>
    <t>black_banner</t>
  </si>
  <si>
    <t>blazeandcave:weaponry/loser</t>
  </si>
  <si>
    <t>Half Heart Life</t>
  </si>
  <si>
    <t>Be on half a heart of health for a minute</t>
  </si>
  <si>
    <t>nether_wart</t>
  </si>
  <si>
    <t>blazeandcave:weaponry/half_heart_life</t>
  </si>
  <si>
    <t>Adventure</t>
  </si>
  <si>
    <t>Either kill or get killed by a mob</t>
  </si>
  <si>
    <t>Village, pillage and exploration</t>
  </si>
  <si>
    <t>map</t>
  </si>
  <si>
    <t>minecraft:adventure/root</t>
  </si>
  <si>
    <t>I hereby dub thee...</t>
  </si>
  <si>
    <t>Obtain a name tag</t>
  </si>
  <si>
    <t>name_tag</t>
  </si>
  <si>
    <t>blazeandcave:adventure/i_hereby_dub_thee</t>
  </si>
  <si>
    <t>I just want to make toast!</t>
  </si>
  <si>
    <t>1 Rabbit's Foot, 1 Name Tag</t>
  </si>
  <si>
    <t>Name a bunny 'Toast'</t>
  </si>
  <si>
    <t>blazeandcave:adventure/i_just_want_to_make_toast</t>
  </si>
  <si>
    <t>Name Tag</t>
  </si>
  <si>
    <t>What's Up, Doc?</t>
  </si>
  <si>
    <t>1 Name Tag</t>
  </si>
  <si>
    <t>Name any mob 'Dinnerbone' or 'Grumm' with a nametag</t>
  </si>
  <si>
    <t>Turn a mob upside-down</t>
  </si>
  <si>
    <t>blazeandcave:adventure/whats_up_doc</t>
  </si>
  <si>
    <t>Nyan Sheep</t>
  </si>
  <si>
    <t>Name a sheep 'jeb_' with a nametag</t>
  </si>
  <si>
    <t>Nyan Nyan Nyan Nyan...</t>
  </si>
  <si>
    <t>magenta_wool</t>
  </si>
  <si>
    <t>blazeandcave:adventure/nyan_sheep</t>
  </si>
  <si>
    <t>Slenderman</t>
  </si>
  <si>
    <t>1 Name Tag, 3 Ender Pearls</t>
  </si>
  <si>
    <t>Defeat an Enderman named 'Slenderman'</t>
  </si>
  <si>
    <t>Defeat this terrifying monster</t>
  </si>
  <si>
    <t>blazeandcave:adventure/slenderman</t>
  </si>
  <si>
    <t>The one and true Johnny</t>
  </si>
  <si>
    <t>1 Name Tag, 3 Emeralds</t>
  </si>
  <si>
    <t>Defeat a Vindicator named 'Johnny'</t>
  </si>
  <si>
    <t>Defeat Johnny</t>
  </si>
  <si>
    <t>vindicator_spawn_egg</t>
  </si>
  <si>
    <t>blazeandcave:adventure/the_one_and_true_johnny</t>
  </si>
  <si>
    <t>Nerds Never Die</t>
  </si>
  <si>
    <t>Name a Piglin Brute 'Technoblade'</t>
  </si>
  <si>
    <t>blazeandcave:adventure/nerds_never_die</t>
  </si>
  <si>
    <t>Beethoven</t>
  </si>
  <si>
    <t>Obtain a jukebox</t>
  </si>
  <si>
    <t>Craft a jukebox with planks and a diamond</t>
  </si>
  <si>
    <t>jukebox</t>
  </si>
  <si>
    <t>blazeandcave:adventure/beethoven</t>
  </si>
  <si>
    <t>Music To My Ears</t>
  </si>
  <si>
    <t>Play a music disc in a jukebox</t>
  </si>
  <si>
    <t>music_disc_cat</t>
  </si>
  <si>
    <t>blazeandcave:adventure/music_to_my_ears</t>
  </si>
  <si>
    <t>The Sound of Music</t>
  </si>
  <si>
    <t>Play any music disc in a jukebox while you are in a Meadows biome</t>
  </si>
  <si>
    <t>Make the Meadows come alive with the sound of music from a jukebox‌</t>
  </si>
  <si>
    <t>azure_bluet</t>
  </si>
  <si>
    <t>minecraft:adventure/play_jukebox_in_meadows</t>
  </si>
  <si>
    <t>Music</t>
  </si>
  <si>
    <t>Disc Jockey</t>
  </si>
  <si>
    <t>Listen to all the music discs</t>
  </si>
  <si>
    <t>music_disc_chirp</t>
  </si>
  <si>
    <t>blazeandcave:adventure/disc_jockey</t>
  </si>
  <si>
    <t>Overpowered</t>
  </si>
  <si>
    <t>Obtain a Notch Apple</t>
  </si>
  <si>
    <t>enchanted_golden_apple</t>
  </si>
  <si>
    <t>blazeandcave:adventure/overpowered</t>
  </si>
  <si>
    <t>Now You’re Thinking With Portals</t>
  </si>
  <si>
    <t>Stand in a Ruined Portal in the Overworld</t>
  </si>
  <si>
    <t>Find a broken Nether Portal in the Overworld</t>
  </si>
  <si>
    <t>crying_obsidian</t>
  </si>
  <si>
    <t>blazeandcave:adventure/now_youre_thinking_with_portals</t>
  </si>
  <si>
    <t>Grave Robber</t>
  </si>
  <si>
    <t>Enter a pyramid in a desert</t>
  </si>
  <si>
    <t>blazeandcave:adventure/grave_robber</t>
  </si>
  <si>
    <t>Tomb Raider</t>
  </si>
  <si>
    <t>Enter a jungle temple</t>
  </si>
  <si>
    <t>blazeandcave:adventure/tomb_raider</t>
  </si>
  <si>
    <t>Witchcraft</t>
  </si>
  <si>
    <t>Find a witch hut in a swamp</t>
  </si>
  <si>
    <t>blazeandcave:adventure/witchcraft</t>
  </si>
  <si>
    <t>Secret of the Igloo</t>
  </si>
  <si>
    <t>Find an igloo in a snowy tundra</t>
  </si>
  <si>
    <t>blazeandcave:adventure/secret_of_the_igloo</t>
  </si>
  <si>
    <t>Raidin' Master</t>
  </si>
  <si>
    <t>Discover every structure type</t>
  </si>
  <si>
    <t>structure_block</t>
  </si>
  <si>
    <t>blazeandcave:adventure/raidin_master</t>
  </si>
  <si>
    <t>Looter</t>
  </si>
  <si>
    <t>Brushed Away</t>
  </si>
  <si>
    <t>Obtain a Brush</t>
  </si>
  <si>
    <t>Craft a Brush using a feather, copper and a stick</t>
  </si>
  <si>
    <t>blazeandcave:adventure/brushed_away</t>
  </si>
  <si>
    <t>Respecting the Remnants</t>
  </si>
  <si>
    <t>Using a Brush, carefully excavate a Pottery Sherd from a suspicious block</t>
  </si>
  <si>
    <t>suspicious_sand</t>
  </si>
  <si>
    <t>minecraft:adventure/salvage_sherd</t>
  </si>
  <si>
    <t>Careful Restoration</t>
  </si>
  <si>
    <t>Craft a Decorated Pot using four Pottery Sherds</t>
  </si>
  <si>
    <t>Put together a Decorated Pot using four Pottery Sherds</t>
  </si>
  <si>
    <t>decorated_pot</t>
  </si>
  <si>
    <t>minecraft:adventure/craft_decorated_pot_using_only_sherds</t>
  </si>
  <si>
    <t>Archaeology</t>
  </si>
  <si>
    <t>Pottery Exhibition</t>
  </si>
  <si>
    <t>Find one of each type of Pottery Shard throughout your archeology expeditions</t>
  </si>
  <si>
    <t>prize_pottery_sherd</t>
  </si>
  <si>
    <t>blazeandcave:adventure/pottery_exhibition</t>
  </si>
  <si>
    <t>A Suspicious Advancement</t>
  </si>
  <si>
    <t>This can be done by having a sus block fall into a line of cobwebs. After a minute the falling block entity will despawn and drop the sus block as an item</t>
  </si>
  <si>
    <t>Obtain a block of Suspicious Sand or Gravel</t>
  </si>
  <si>
    <t>suspicious_gravel</t>
  </si>
  <si>
    <t>blazeandcave:adventure/a_suspicious_advancement</t>
  </si>
  <si>
    <t>Life… uhh… finds a way</t>
  </si>
  <si>
    <t>Obtain a Sniffer Egg</t>
  </si>
  <si>
    <t>Find a strange egg among the sand of an Ocean Ruin using a Brush. Smells interesting</t>
  </si>
  <si>
    <t>sniffer_egg</t>
  </si>
  <si>
    <t>minecraft:husbandry/obtain_sniffer_egg</t>
  </si>
  <si>
    <t>Truffle Worm</t>
  </si>
  <si>
    <t>Obtain Torchflower Seeds or Pitcher Pod</t>
  </si>
  <si>
    <t>Have a Sniffer dig up seeds</t>
  </si>
  <si>
    <t>pitcher_pod</t>
  </si>
  <si>
    <t>blazeandcave:adventure/truffle_worm</t>
  </si>
  <si>
    <t>Jurassic Sniff</t>
  </si>
  <si>
    <t>4 Torchflower Seeds</t>
  </si>
  <si>
    <t>Breed two Sniffers together using Torchflower Seeds</t>
  </si>
  <si>
    <t>torchflower_seeds</t>
  </si>
  <si>
    <t>blazeandcave:adventure/jurassic_sniff</t>
  </si>
  <si>
    <t>Little Sniffs</t>
  </si>
  <si>
    <t>Feed a baby Sniffer with Torchflower Seeds</t>
  </si>
  <si>
    <t>Feed a Snifflet</t>
  </si>
  <si>
    <t>sniffer_spawn_egg</t>
  </si>
  <si>
    <t>minecraft:husbandry/feed_snifflet</t>
  </si>
  <si>
    <t>Planting the Past</t>
  </si>
  <si>
    <t>Plant a Torchflower Seed or Pitcher Pod</t>
  </si>
  <si>
    <t>Plant any Sniffer Seed</t>
  </si>
  <si>
    <t>torchflower</t>
  </si>
  <si>
    <t>minecraft:husbandry/plant_any_sniffer_seed</t>
  </si>
  <si>
    <t>Happy Trails!</t>
  </si>
  <si>
    <t>Enter a Trail Ruins structure</t>
  </si>
  <si>
    <t>Discover the Trail Ruins</t>
  </si>
  <si>
    <t>white_glazed_terracotta</t>
  </si>
  <si>
    <t>blazeandcave:adventure/happy_trails</t>
  </si>
  <si>
    <t>Raiders of the Lost Trim</t>
  </si>
  <si>
    <t>Obtain one of: Wayfinder, Raiser, Shaper or Host Armor Trim Smithing Templates</t>
  </si>
  <si>
    <t>Carefully excavate a Smithing Template from the Trail Ruins</t>
  </si>
  <si>
    <t>wayfinder_armor_trim_smithing_template</t>
  </si>
  <si>
    <t>blazeandcave:adventure/raiders_of_the_lost_trim</t>
  </si>
  <si>
    <t>A Chiptune Relic</t>
  </si>
  <si>
    <t>Obtain the Relic Music Disc</t>
  </si>
  <si>
    <t>Excavate an ancient record from within the Trail Ruins</t>
  </si>
  <si>
    <t>music_disc_relic</t>
  </si>
  <si>
    <t>blazeandcave:adventure/a_chiptune_relic</t>
  </si>
  <si>
    <t>Good-Lookin’ Treasure</t>
  </si>
  <si>
    <t>Obtain any Smithing Template</t>
  </si>
  <si>
    <t>Find a Smithing Template</t>
  </si>
  <si>
    <t>sentry_armor_trim_smithing_template</t>
  </si>
  <si>
    <t>blazeandcave:adventure/good_lookin_treasure</t>
  </si>
  <si>
    <t>Crafting a New Look</t>
  </si>
  <si>
    <t>Take a trimmed piece of armor from the output of a Smithing Table</t>
  </si>
  <si>
    <t>Use a Smithing Template to apply a trim to a piece of armor</t>
  </si>
  <si>
    <t>minecraft:adventure/trim_with_any_armor_pattern</t>
  </si>
  <si>
    <t>Mold Maker</t>
  </si>
  <si>
    <t>Take a Smithing Template from the output of the crafting table.</t>
  </si>
  <si>
    <t>Use seven diamonds to duplicate a Smithing Template</t>
  </si>
  <si>
    <t>blazeandcave:adventure/mold_maker</t>
  </si>
  <si>
    <t>Coordinated Flair</t>
  </si>
  <si>
    <t>Wear a suit of armor with all four pieces trimmed with the same material</t>
  </si>
  <si>
    <t>diamond_boots</t>
  </si>
  <si>
    <t>blazeandcave:adventure/coordinated_flair</t>
  </si>
  <si>
    <t>Chromatic Armory</t>
  </si>
  <si>
    <t>18 Diamonds</t>
  </si>
  <si>
    <t>Trim pieces of armor with all types of materials</t>
  </si>
  <si>
    <t>blazeandcave:adventure/chromatic_armory</t>
  </si>
  <si>
    <t>Genesis of the End</t>
  </si>
  <si>
    <t>Obtain an Eye Armor Trim Smithing Template</t>
  </si>
  <si>
    <t>Find the Eye Smithing Template in a Stronghold</t>
  </si>
  <si>
    <t>eye_armor_trim_smithing_template</t>
  </si>
  <si>
    <t>blazeandcave:adventure/genesis_of_the_end</t>
  </si>
  <si>
    <t>Vexingly Hard to Find</t>
  </si>
  <si>
    <t>1 Totem of Undying</t>
  </si>
  <si>
    <t>Obtain a Vex Armor Trim Smithing Template</t>
  </si>
  <si>
    <t>Find the Vex Smithing Template in a Woodland Mansion</t>
  </si>
  <si>
    <t>vex_armor_trim_smithing_template</t>
  </si>
  <si>
    <t>blazeandcave:adventure/vexingly_hard_to_find</t>
  </si>
  <si>
    <t>The Sound of Silence</t>
  </si>
  <si>
    <t>6 Echo Shards</t>
  </si>
  <si>
    <t>Obtain a Silence Armor Trim Smithing Template</t>
  </si>
  <si>
    <t>Find the Silence Smithing Template in an Ancient City</t>
  </si>
  <si>
    <t>silence_armor_trim_smithing_template</t>
  </si>
  <si>
    <t>blazeandcave:adventure/the_sound_of_silence</t>
  </si>
  <si>
    <t>Smithing With Style</t>
  </si>
  <si>
    <t>1 Gray Shulker Box that contains 1 of each Armor Trim Smithing Template</t>
  </si>
  <si>
    <t>Find one of every Smithing Template</t>
  </si>
  <si>
    <t>spire_armor_trim_smithing_template</t>
  </si>
  <si>
    <t>minecraft:adventure/trim_with_all_exclusive_armor_patterns</t>
  </si>
  <si>
    <t>Out of Posts</t>
  </si>
  <si>
    <t>Enter a Pillager Outpost</t>
  </si>
  <si>
    <t>dark_oak_planks</t>
  </si>
  <si>
    <t>blazeandcave:adventure/out_of_posts</t>
  </si>
  <si>
    <t>Riot Shield</t>
  </si>
  <si>
    <t>Deflect a Pillager's crossbow bolt</t>
  </si>
  <si>
    <t>blazeandcave:adventure/riot_shield</t>
  </si>
  <si>
    <t>Redemption Arc</t>
  </si>
  <si>
    <t>Be within 5 blocks of a Pillager that is not holding a crossbow</t>
  </si>
  <si>
    <t>Befriend a Pillager that doesn’t have a crossbow</t>
  </si>
  <si>
    <t>pillager_spawn_egg</t>
  </si>
  <si>
    <t>blazeandcave:adventure/redemption_arc</t>
  </si>
  <si>
    <t>I've got a bad feeling about this</t>
  </si>
  <si>
    <t>Kill a raid captain</t>
  </si>
  <si>
    <t>Kill a raid captain. Maybe consider staying away from villages for the time being...</t>
  </si>
  <si>
    <t>minecraft:adventure/voluntary_exile</t>
  </si>
  <si>
    <t>We're being attacked!</t>
  </si>
  <si>
    <t>Trigger a raid</t>
  </si>
  <si>
    <t>Trigger a Pillager Raid</t>
  </si>
  <si>
    <t>blazeandcave:adventure/were_being_attacked</t>
  </si>
  <si>
    <t>Sound the Alarm!</t>
  </si>
  <si>
    <t>Ring a bell while at least one illager that is part of a raid is within 32 blocks of you</t>
  </si>
  <si>
    <t>Ring the bell with a hostile enemy in the village</t>
  </si>
  <si>
    <t>bell</t>
  </si>
  <si>
    <t>blazeandcave:adventure/sound_the_alarm</t>
  </si>
  <si>
    <t>It's so beast-like!</t>
  </si>
  <si>
    <t>Kill a Ravager</t>
  </si>
  <si>
    <t>Slay a Ravager in a raid</t>
  </si>
  <si>
    <t>blazeandcave:adventure/its_so_beast_like</t>
  </si>
  <si>
    <t>I am Ravager, hear me ROAR!</t>
  </si>
  <si>
    <t>Block a Ravager's attack</t>
  </si>
  <si>
    <t>Have a Ravager slam into your shield</t>
  </si>
  <si>
    <t>blazeandcave:adventure/i_am_ravager_hear_me_roar</t>
  </si>
  <si>
    <t>Picador</t>
  </si>
  <si>
    <t>Hit a Ravager with a thrown trident</t>
  </si>
  <si>
    <t>blazeandcave:adventure/picador</t>
  </si>
  <si>
    <t>Feeling Ill</t>
  </si>
  <si>
    <t>12 Emeralds</t>
  </si>
  <si>
    <t>Kill a Pillager, Vinidicator, Witch, Evoker and Ravager as part of a raid</t>
  </si>
  <si>
    <t>Defeat every type of Illager as part of a raid</t>
  </si>
  <si>
    <t>blazeandcave:adventure/feeling_ill</t>
  </si>
  <si>
    <t>Hero of the Village</t>
  </si>
  <si>
    <t>Get the Hero of the Village Effect</t>
  </si>
  <si>
    <t>Triumph over a full raid for the first time</t>
  </si>
  <si>
    <t>minecraft:adventure/hero_of_the_village</t>
  </si>
  <si>
    <t>Superhero of the Village</t>
  </si>
  <si>
    <t>Obtain 16 Ominous Banners</t>
  </si>
  <si>
    <t>Defeat enough raid captains to obtain a stack of Ominous Banners</t>
  </si>
  <si>
    <t>red_banner</t>
  </si>
  <si>
    <t>blazeandcave:adventure/superhero_of_the_village</t>
  </si>
  <si>
    <t>Justice</t>
  </si>
  <si>
    <t>16 Emeralds</t>
  </si>
  <si>
    <t>Kill a Pillager, Vindicator, Witch, Evoker and Ravager with a single crossbow arrow</t>
  </si>
  <si>
    <t>Kill each type of Illager with a single crossbow arrow</t>
  </si>
  <si>
    <t>blazeandcave:adventure/justice</t>
  </si>
  <si>
    <t>Bosses 2</t>
  </si>
  <si>
    <t>Buy Low, Sell High</t>
  </si>
  <si>
    <t>Trade with a villager while under the Hero of the Village effect</t>
  </si>
  <si>
    <t>blazeandcave:adventure/buy_low_sell_high</t>
  </si>
  <si>
    <t>Undying Fandom</t>
  </si>
  <si>
    <t>Receive every type of gift from Villagers as a Hero of the Village</t>
  </si>
  <si>
    <t>blazeandcave:adventure/undying_fandom</t>
  </si>
  <si>
    <t>War Is Coming</t>
  </si>
  <si>
    <t>6 Emeralds</t>
  </si>
  <si>
    <t>Get Rain Omen V</t>
  </si>
  <si>
    <t>Start a Raid with the highest level of Bad Omen</t>
  </si>
  <si>
    <t>ominous_bottle</t>
  </si>
  <si>
    <t>blazeandcave:adventure/war_is_coming</t>
  </si>
  <si>
    <t>Veteran of the Village</t>
  </si>
  <si>
    <t>32 Emeralds</t>
  </si>
  <si>
    <t>Get Hero of the Village V</t>
  </si>
  <si>
    <t>Attain the highest level of Hero of the Village</t>
  </si>
  <si>
    <t>emerald_block</t>
  </si>
  <si>
    <t>blazeandcave:adventure/veteran_of_the_village</t>
  </si>
  <si>
    <t>Allayance</t>
  </si>
  <si>
    <t>Right-click an Allay with an item</t>
  </si>
  <si>
    <t>Rescue an Allay from a Pillager Outpost or Woodland Mansion and give it something to play with</t>
  </si>
  <si>
    <t>allay_spawn_egg</t>
  </si>
  <si>
    <t>blazeandcave:adventure/allayance</t>
  </si>
  <si>
    <t>You’ve Got a Friend in Me</t>
  </si>
  <si>
    <t>Pick up an item dropped by an Allay</t>
  </si>
  <si>
    <t>Have an Allay deliver items to you</t>
  </si>
  <si>
    <t>minecraft:husbandry/allay_deliver_item_to_player</t>
  </si>
  <si>
    <t>Evelyn Evergreen</t>
  </si>
  <si>
    <t>4 Spruce Saplings</t>
  </si>
  <si>
    <t>Pick up Spruce Saplings that were dropped by an Allay</t>
  </si>
  <si>
    <t>Have an Allay deliver Spruce Saplings to you while chopping down trees</t>
  </si>
  <si>
    <t>blazeandcave:adventure/evelyn_evergreen</t>
  </si>
  <si>
    <t>Allay</t>
  </si>
  <si>
    <t>Budget Vex</t>
  </si>
  <si>
    <t>Right-click an Allay with an Iron Sword</t>
  </si>
  <si>
    <t>Give an Allay an Iron Sword</t>
  </si>
  <si>
    <t>blazeandcave:adventure/budget_vex</t>
  </si>
  <si>
    <t>Diagon Allay</t>
  </si>
  <si>
    <t>Pick up a potion that was dropped by an Allay in the Deep Dark biome or an Ancient City</t>
  </si>
  <si>
    <t>Have an Allay deliver a potion to you in the Deep Dark</t>
  </si>
  <si>
    <t>blazeandcave:adventure/diagon_allay</t>
  </si>
  <si>
    <t>And make it double!</t>
  </si>
  <si>
    <t>Duplicate an Allay by giving one an Amethyst Shard while a jukebox is playing nearby</t>
  </si>
  <si>
    <t>Play a jukebox near some Allays, then give one an Amethyst Shard and see what happens!</t>
  </si>
  <si>
    <t>amethyst_shard</t>
  </si>
  <si>
    <t>blazeandcave:adventure/and_make_it_double</t>
  </si>
  <si>
    <t>Birthday Song</t>
  </si>
  <si>
    <t>Have an Allay drop a cake at a note block</t>
  </si>
  <si>
    <t>minecraft:husbandry/allay_deliver_cake_to_note_block</t>
  </si>
  <si>
    <t>Travelling Merchant</t>
  </si>
  <si>
    <t>Trade with a Wandering Trader</t>
  </si>
  <si>
    <t>blue_dye</t>
  </si>
  <si>
    <t>blazeandcave:adventure/travelling_merchant</t>
  </si>
  <si>
    <t>3 Golden Carrots</t>
  </si>
  <si>
    <t>Trade with the Wandering Trader while he is invisible</t>
  </si>
  <si>
    <t>blazeandcave:adventure/shady_deals</t>
  </si>
  <si>
    <t>Trade for a flower from the Wandering Trader</t>
  </si>
  <si>
    <t>cornflower</t>
  </si>
  <si>
    <t>blazeandcave:adventure/florist</t>
  </si>
  <si>
    <t>3 Emeralds</t>
  </si>
  <si>
    <t>Trade for a coral block from the Wandering Trader</t>
  </si>
  <si>
    <t>tube_coral_block</t>
  </si>
  <si>
    <t>blazeandcave:adventure/rebuilding_the_oceans</t>
  </si>
  <si>
    <t>Deal's off!</t>
  </si>
  <si>
    <t>Get damaged by a Trader Llama</t>
  </si>
  <si>
    <t>Get spat at by one of the Trader Llamas</t>
  </si>
  <si>
    <t>blue_carpet</t>
  </si>
  <si>
    <t>blazeandcave:adventure/deals_off</t>
  </si>
  <si>
    <t>Do You Want to Trade?</t>
  </si>
  <si>
    <t>Enter a village</t>
  </si>
  <si>
    <t>Find an NPC village</t>
  </si>
  <si>
    <t>blazeandcave:adventure/do_you_want_to_trade</t>
  </si>
  <si>
    <t>Oh, look, it dings!</t>
  </si>
  <si>
    <t>Ring a bell that is within the bounding box of a village structure. Also works with Fortified Villages in Terralith</t>
  </si>
  <si>
    <t>Ring a bell in a village</t>
  </si>
  <si>
    <t>blazeandcave:adventure/oh_look_it_dings</t>
  </si>
  <si>
    <t>Prime Specimen</t>
  </si>
  <si>
    <t>Obtain Tall Grass or a Large Fern (double-tall grass or ferns)</t>
  </si>
  <si>
    <t>Find Tall Grass or a Large Fern inside a village chest</t>
  </si>
  <si>
    <t>large_fern</t>
  </si>
  <si>
    <t>blazeandcave:adventure/prime_specimen</t>
  </si>
  <si>
    <t>What a Deal!</t>
  </si>
  <si>
    <t>Succesfully trade with a villager</t>
  </si>
  <si>
    <t>minecraft:adventure/trade</t>
  </si>
  <si>
    <t>Crazy Cat Lady</t>
  </si>
  <si>
    <t>4 Raw Cod</t>
  </si>
  <si>
    <t>Tame a stray cat in a village</t>
  </si>
  <si>
    <t>blazeandcave:adventure/crazy_cat_lady</t>
  </si>
  <si>
    <t>If only cats grew into kittens</t>
  </si>
  <si>
    <t>Breed two cats together to get a kitty!</t>
  </si>
  <si>
    <t>cat_spawn_egg</t>
  </si>
  <si>
    <t>blazeandcave:adventure/if_only_cats_grew_into_kittens</t>
  </si>
  <si>
    <t>A Complete Catalogue</t>
  </si>
  <si>
    <t>Tame all cat variants!</t>
  </si>
  <si>
    <t>minecraft:husbandry/complete_catalogue</t>
  </si>
  <si>
    <t>Hired Help</t>
  </si>
  <si>
    <t>2 Iron Blocks</t>
  </si>
  <si>
    <t>Summon an Iron Golem to help defend a village</t>
  </si>
  <si>
    <t>minecraft:adventure/summon_iron_golem</t>
  </si>
  <si>
    <t>Your Daily Fix</t>
  </si>
  <si>
    <t>Use an Iron Ingot to repair a damaged Iron Golem</t>
  </si>
  <si>
    <t>blazeandcave:adventure/your_daily_fix</t>
  </si>
  <si>
    <t>MURDERER!</t>
  </si>
  <si>
    <t>Kill a villager</t>
  </si>
  <si>
    <t>blazeandcave:adventure/murderer</t>
  </si>
  <si>
    <t>Rekt!</t>
  </si>
  <si>
    <t>Get killed by a natural iron golem defending its village</t>
  </si>
  <si>
    <t>blazeandcave:adventure/rekt</t>
  </si>
  <si>
    <t>You are the Pillager</t>
  </si>
  <si>
    <t>Murder one of every villager profession using a crossbow</t>
  </si>
  <si>
    <t>blazeandcave:adventure/you_are_the_pillager</t>
  </si>
  <si>
    <t>Vaccination</t>
  </si>
  <si>
    <t>Filthy Rich</t>
  </si>
  <si>
    <t>Obtain 64 Emeralds</t>
  </si>
  <si>
    <t>Make 64 emeralds</t>
  </si>
  <si>
    <t>blazeandcave:adventure/filthy_rich</t>
  </si>
  <si>
    <t>Filthy Stinkin' Rich</t>
  </si>
  <si>
    <t>4 Emerald Blocks</t>
  </si>
  <si>
    <t>Obtain 64 Emerald Blocks</t>
  </si>
  <si>
    <t>Make 64 emerald blocks</t>
  </si>
  <si>
    <t>blazeandcave:adventure/filthy_stinkin_rich</t>
  </si>
  <si>
    <t>Hey! You two should kiss!</t>
  </si>
  <si>
    <t>Use a spyglass to look at a boat with two villager passengers in it</t>
  </si>
  <si>
    <t>Use a Spyglass to look at two Villagers sitting in a Boat from at least 50 blocks away</t>
  </si>
  <si>
    <t>red_tulip</t>
  </si>
  <si>
    <t>blazeandcave:adventure/hey_you_two_should_kiss</t>
  </si>
  <si>
    <t>Traveller</t>
  </si>
  <si>
    <t>5 Emeralds</t>
  </si>
  <si>
    <t>Trade with a villager from: Plains, Desert, Savanna, Taiga and Snow</t>
  </si>
  <si>
    <t>Travel to every type of village and trade with a villager in each</t>
  </si>
  <si>
    <t>blazeandcave:adventure/traveller</t>
  </si>
  <si>
    <t>Village Settler</t>
  </si>
  <si>
    <t>Trade for a new bell to establish a new village</t>
  </si>
  <si>
    <t>blazeandcave:adventure/village_settler</t>
  </si>
  <si>
    <t>Town Planner</t>
  </si>
  <si>
    <t>Craft and place every type of villager workstation</t>
  </si>
  <si>
    <t>blazeandcave:adventure/town_planner</t>
  </si>
  <si>
    <t>Workaholic</t>
  </si>
  <si>
    <t>Craft a stack of all the villager job site blocks</t>
  </si>
  <si>
    <t>brewing_stand</t>
  </si>
  <si>
    <t>blazeandcave:adventure/workaholic</t>
  </si>
  <si>
    <t>Professional</t>
  </si>
  <si>
    <t>Trade with a villager at master level</t>
  </si>
  <si>
    <t>blazeandcave:adventure/professional</t>
  </si>
  <si>
    <t>Businessman</t>
  </si>
  <si>
    <t>10 Emeralds</t>
  </si>
  <si>
    <t>Trade with every type of villager career</t>
  </si>
  <si>
    <t>blazeandcave:adventure/businessman</t>
  </si>
  <si>
    <t>The Tribal Villagers</t>
  </si>
  <si>
    <t>Breed and trade with a jungle villager</t>
  </si>
  <si>
    <t>jungle_log</t>
  </si>
  <si>
    <t>blazeandcave:adventure/the_tribal_villagers</t>
  </si>
  <si>
    <t>Lilypad Hatter</t>
  </si>
  <si>
    <t>Breed and trade with a swamp villager</t>
  </si>
  <si>
    <t>lily_pad</t>
  </si>
  <si>
    <t>blazeandcave:adventure/lilypad_hatter</t>
  </si>
  <si>
    <t>Star Trader</t>
  </si>
  <si>
    <t>Trade with a villager who is standing at y-level 319 or higher in the Overworld, or y-level 255 or higher in the Nether or End</t>
  </si>
  <si>
    <t>Trade with a villager at the build height limit</t>
  </si>
  <si>
    <t>nether_star</t>
  </si>
  <si>
    <t>minecraft:adventure/trade_at_world_height</t>
  </si>
  <si>
    <t>Master Trader</t>
  </si>
  <si>
    <t>Trade with every type of villager career at master level</t>
  </si>
  <si>
    <t>blazeandcave:adventure/master_trader</t>
  </si>
  <si>
    <t>Trader</t>
  </si>
  <si>
    <t>Knowledge is Power</t>
  </si>
  <si>
    <t>Trade for an enchanted book</t>
  </si>
  <si>
    <t>enchanted_book</t>
  </si>
  <si>
    <t>blazeandcave:adventure/knowledge_is_power</t>
  </si>
  <si>
    <t>Rare Candy Shop</t>
  </si>
  <si>
    <t>Trade for a Bottle o’ Enchanting from a Cleric</t>
  </si>
  <si>
    <t>experience_bottle</t>
  </si>
  <si>
    <t>blazeandcave:adventure/rare_candy_shop</t>
  </si>
  <si>
    <t>All chained up</t>
  </si>
  <si>
    <t>Trade for a piece of chain armor from an armorer villager</t>
  </si>
  <si>
    <t>blazeandcave:adventure/all_chained_up</t>
  </si>
  <si>
    <t>Retro Future Knight</t>
  </si>
  <si>
    <t>Trade for a full suit of chain armor from an armorer villager</t>
  </si>
  <si>
    <t>blazeandcave:adventure/retro_future_knight</t>
  </si>
  <si>
    <t>Mapmaker</t>
  </si>
  <si>
    <t>Obtain an empty map</t>
  </si>
  <si>
    <t>Craft or trade an empty map</t>
  </si>
  <si>
    <t>blazeandcave:adventure/mapmaker</t>
  </si>
  <si>
    <t>Mapmaker's Table</t>
  </si>
  <si>
    <t>Obtain a cartography table</t>
  </si>
  <si>
    <t>Craft a cartography table with paper and planks</t>
  </si>
  <si>
    <t>cartography_table</t>
  </si>
  <si>
    <t>blazeandcave:adventure/mapmakers_table</t>
  </si>
  <si>
    <t>I'm not lost anymore!</t>
  </si>
  <si>
    <t>Right-click a banner with a map</t>
  </si>
  <si>
    <t>blue_banner</t>
  </si>
  <si>
    <t>blazeandcave:adventure/im_not_lost_anymore</t>
  </si>
  <si>
    <t>Map Room</t>
  </si>
  <si>
    <t>Place a map in an item frame</t>
  </si>
  <si>
    <t>blazeandcave:adventure/map_room</t>
  </si>
  <si>
    <t>Treasure Map</t>
  </si>
  <si>
    <t>Trade for an explorer map</t>
  </si>
  <si>
    <t>filled_map</t>
  </si>
  <si>
    <t>blazeandcave:adventure/treasure_map</t>
  </si>
  <si>
    <t>Monumental</t>
  </si>
  <si>
    <t>1 Pufferfish</t>
  </si>
  <si>
    <t>Find an Ocean Monument</t>
  </si>
  <si>
    <t>prismarine</t>
  </si>
  <si>
    <t>blazeandcave:adventure/monumental</t>
  </si>
  <si>
    <t>Laser Sharks!</t>
  </si>
  <si>
    <t>8 Prismarine Shards, 3 Prismarine Crystals</t>
  </si>
  <si>
    <t>Defeat a Guardian</t>
  </si>
  <si>
    <t>blazeandcave:adventure/laser_sharks</t>
  </si>
  <si>
    <t>Spear Fishing</t>
  </si>
  <si>
    <t>16 Prismarine Shards, 8 Prismarine Crystals</t>
  </si>
  <si>
    <t>Kill a Guardian with arrows</t>
  </si>
  <si>
    <t>blazeandcave:adventure/spear_fishing</t>
  </si>
  <si>
    <t>Guardian Destroyer</t>
  </si>
  <si>
    <t>8 Prismarine Shards, 8 Prismarine Crystals</t>
  </si>
  <si>
    <t>Collect a stack of prismarine shards and crystals</t>
  </si>
  <si>
    <t>guardian_spawn_egg</t>
  </si>
  <si>
    <t>blazeandcave:adventure/guardian_destroyer</t>
  </si>
  <si>
    <t>The Deep End</t>
  </si>
  <si>
    <t>1 Wet Sponge</t>
  </si>
  <si>
    <t>Defeat an Elder Guardian</t>
  </si>
  <si>
    <t>prismarine_crystals</t>
  </si>
  <si>
    <t>blazeandcave:adventure/the_deep_end</t>
  </si>
  <si>
    <t>Dry Spell</t>
  </si>
  <si>
    <t>Obtain a (Dry) Sponge</t>
  </si>
  <si>
    <t>Dry a sponge in a furnace</t>
  </si>
  <si>
    <t>wet_sponge</t>
  </si>
  <si>
    <t>blazeandcave:adventure/dry_spell</t>
  </si>
  <si>
    <t>Sponge Miner</t>
  </si>
  <si>
    <t>8 Sponges</t>
  </si>
  <si>
    <t>Obtain 64 (Dry) Sponges</t>
  </si>
  <si>
    <t>Collect a stack of sponges from ocean monuments</t>
  </si>
  <si>
    <t>sponge</t>
  </si>
  <si>
    <t>blazeandcave:adventure/sponge_miner</t>
  </si>
  <si>
    <t>House of Psychos</t>
  </si>
  <si>
    <t>Find a Woodland Mansion</t>
  </si>
  <si>
    <t>dark_oak_door</t>
  </si>
  <si>
    <t>blazeandcave:adventure/house_of_psychos</t>
  </si>
  <si>
    <t>Heeere's Johnny!</t>
  </si>
  <si>
    <t>Kill a Vindicator that is within the bounding-box of a Woodland Mansion</t>
  </si>
  <si>
    <t>Kill a Vindicator in a Woodland Mansion</t>
  </si>
  <si>
    <t>blazeandcave:adventure/heres_johnny</t>
  </si>
  <si>
    <t>The Shielding</t>
  </si>
  <si>
    <t>Block a Vindicator's attack with a shield</t>
  </si>
  <si>
    <t>A shield does no better than a locked door</t>
  </si>
  <si>
    <t>blazeandcave:adventure/the_shielding</t>
  </si>
  <si>
    <t>Ghostbuster!</t>
  </si>
  <si>
    <t>Bust a Vex summoned by an Evoker</t>
  </si>
  <si>
    <t>blazeandcave:adventure/ghostbuster</t>
  </si>
  <si>
    <t>Wololo!</t>
  </si>
  <si>
    <t>Kill an Evoker that is within the bounding-box of a Woodland Mansion</t>
  </si>
  <si>
    <t>Defeat an Evoker in a Woodland Mansion</t>
  </si>
  <si>
    <t>blazeandcave:adventure/wololo</t>
  </si>
  <si>
    <t>Postmortal</t>
  </si>
  <si>
    <t>Use a Totem of Undying to cheat death</t>
  </si>
  <si>
    <t>minecraft:adventure/totem_of_undying</t>
  </si>
  <si>
    <t>Minecraft: Trial(s) Edition</t>
  </si>
  <si>
    <t>Step foot in a Trial Chamber</t>
  </si>
  <si>
    <t>chiseled_tuff</t>
  </si>
  <si>
    <t>minecraft:adventure/minecraft_trials_edition</t>
  </si>
  <si>
    <t>This will be a breeze!</t>
  </si>
  <si>
    <t>Famous last words. Get killed by a Breeze</t>
  </si>
  <si>
    <t>trial_spawner</t>
  </si>
  <si>
    <t>blazeandcave:adventure/this_will_be_a_breeze</t>
  </si>
  <si>
    <t>Break Wind</t>
  </si>
  <si>
    <t>3 Breeze Rods</t>
  </si>
  <si>
    <t>Defeat a Breeze</t>
  </si>
  <si>
    <t>Defeat a Breeze in the Trial Chambers</t>
  </si>
  <si>
    <t>breeze_rod</t>
  </si>
  <si>
    <t>blazeandcave:adventure/break_wind</t>
  </si>
  <si>
    <t>Who Needs Rockets?</t>
  </si>
  <si>
    <t>8 Wind Charges</t>
  </si>
  <si>
    <t>Be launched upward at least 8 blocks from a player-thrown Wind Charge</t>
  </si>
  <si>
    <t>Use a Wind Charge to launch yourself upward at least 8 blocks</t>
  </si>
  <si>
    <t>wind_charge</t>
  </si>
  <si>
    <t>minecraft:adventure/who_needs_rockets</t>
  </si>
  <si>
    <t>Breeze Suppressor</t>
  </si>
  <si>
    <t>8 Breeze Rods</t>
  </si>
  <si>
    <t>Obtain 64 Breeze Rods</t>
  </si>
  <si>
    <t>Defeat enough Breezes to collect a stack of Breeze Rods</t>
  </si>
  <si>
    <t>breeze_spawn_egg</t>
  </si>
  <si>
    <t>blazeandcave:adventure/breeze_suppressor</t>
  </si>
  <si>
    <t>From Under Your Feet</t>
  </si>
  <si>
    <t>The Wind Charge must hit the mob and damage it</t>
  </si>
  <si>
    <t>Throw a Wind Charge at a mob that is standing on top of a trapdoor</t>
  </si>
  <si>
    <t>oxidized_copper_trapdoor</t>
  </si>
  <si>
    <t>blazeandcave:adventure/from_under_your_feet</t>
  </si>
  <si>
    <t>Blowback</t>
  </si>
  <si>
    <t>Hit a breeze-fired Wind Charge back at a Breeze such that it kills it. Note: They only do half a heart of damage</t>
  </si>
  <si>
    <t>Kill a Breeze with a deflected Wind Charge</t>
  </si>
  <si>
    <t>minecraft:adventure/blowback</t>
  </si>
  <si>
    <t>Under Lock and Key</t>
  </si>
  <si>
    <t>1 Trial Key</t>
  </si>
  <si>
    <t>Unlock a Vault using a Trial Key</t>
  </si>
  <si>
    <t>trial_key</t>
  </si>
  <si>
    <t>minecraft:adventure/under_lock_and_key</t>
  </si>
  <si>
    <t>Hard Mode Activated</t>
  </si>
  <si>
    <t>Get the Trial Omen effect</t>
  </si>
  <si>
    <t>Drink an Ominous Bottle in a Trial Chamber to cast a greater challenge</t>
  </si>
  <si>
    <t>blazeandcave:adventure/hard_mode_activated</t>
  </si>
  <si>
    <t>Revaulting</t>
  </si>
  <si>
    <t>1 Ominous Trial Key (2 extra if you have obtained "Vault Hunter")</t>
  </si>
  <si>
    <t>Unlock an Ominous Vault with an Ominous Trial Key</t>
  </si>
  <si>
    <t>ominous_trial_key</t>
  </si>
  <si>
    <t>minecraft:adventure/revaulting</t>
  </si>
  <si>
    <t>Vault Hunter</t>
  </si>
  <si>
    <t>2 Trial Keys (also 2 Ominous Trial Keys if you have obtained "Revaulting")</t>
  </si>
  <si>
    <t>This counts both Vaults and Ominous Vaults</t>
  </si>
  <si>
    <t>Unlock 25 Vaults across Trial Chambers</t>
  </si>
  <si>
    <t>vault</t>
  </si>
  <si>
    <t>blazeandcave:adventure/vault_hunter</t>
  </si>
  <si>
    <t>Keys to Success</t>
  </si>
  <si>
    <t>Obtain 64 Trial Keys and 64 Ominous Trial Keys</t>
  </si>
  <si>
    <t>Collect a stack of all kinds of keys</t>
  </si>
  <si>
    <t>blazeandcave:adventure/keys_to_success</t>
  </si>
  <si>
    <t>Tricky Treasures</t>
  </si>
  <si>
    <t>Collect every kind of treasure item that can only be found in Trial Chambers</t>
  </si>
  <si>
    <t>music_disc_creator</t>
  </si>
  <si>
    <t>blazeandcave:adventure/tricky_treasures</t>
  </si>
  <si>
    <t>Omniscient</t>
  </si>
  <si>
    <t>Obtain 64 Ominous Bottles of a single kind, so that they stack into a single slot</t>
  </si>
  <si>
    <t>Collect a stack of one tier of Ominous Bottles</t>
  </si>
  <si>
    <t>blazeandcave:adventure/omniscient</t>
  </si>
  <si>
    <t>Redstone</t>
  </si>
  <si>
    <t>Cracking contraptions</t>
  </si>
  <si>
    <t>blazeandcave:redstone/root</t>
  </si>
  <si>
    <t>Click!</t>
  </si>
  <si>
    <t>Press any button</t>
  </si>
  <si>
    <t>Place and push a button</t>
  </si>
  <si>
    <t>oak_button</t>
  </si>
  <si>
    <t>blazeandcave:redstone/click</t>
  </si>
  <si>
    <t>Leveraging Synergy</t>
  </si>
  <si>
    <t>Flick a lever</t>
  </si>
  <si>
    <t>blazeandcave:redstone/leveraging_synergy</t>
  </si>
  <si>
    <t>Under Pressure</t>
  </si>
  <si>
    <t>Step on any pressure plate</t>
  </si>
  <si>
    <t>Step on a pressure plate</t>
  </si>
  <si>
    <t>stone_pressure_plate</t>
  </si>
  <si>
    <t>blazeandcave:redstone/under_pressure</t>
  </si>
  <si>
    <t>Pressure Detector</t>
  </si>
  <si>
    <t>Obtain a Detector Rail</t>
  </si>
  <si>
    <t>Use a pressure plate to craft a detector rail</t>
  </si>
  <si>
    <t>detector_rail</t>
  </si>
  <si>
    <t>blazeandcave:redstone/pressure_detector</t>
  </si>
  <si>
    <t>Metal Plate</t>
  </si>
  <si>
    <t>Obtain a Heavy Weighted Pressure Plate</t>
  </si>
  <si>
    <t>Craft an iron weighted pressure plate</t>
  </si>
  <si>
    <t>heavy_weighted_pressure_plate</t>
  </si>
  <si>
    <t>blazeandcave:redstone/metal_plate</t>
  </si>
  <si>
    <t>Bling Plate</t>
  </si>
  <si>
    <t>Obtain a Light Weighted Pressure Plate</t>
  </si>
  <si>
    <t>Craft a golden weighted pressure plate</t>
  </si>
  <si>
    <t>light_weighted_pressure_plate</t>
  </si>
  <si>
    <t>blazeandcave:redstone/bling_plate</t>
  </si>
  <si>
    <t>Tripping Over</t>
  </si>
  <si>
    <t>Stand on an attached line of tripwire that has not been defused</t>
  </si>
  <si>
    <t>Place a line of string between two tripwire hooks, and trigger it</t>
  </si>
  <si>
    <t>blazeandcave:redstone/tripping_over</t>
  </si>
  <si>
    <t>Troll Chest</t>
  </si>
  <si>
    <t>Open a Trapped Chest</t>
  </si>
  <si>
    <t>Trigger a trapped chest. Good for trolling your friends!</t>
  </si>
  <si>
    <t>trapped_chest</t>
  </si>
  <si>
    <t>blazeandcave:redstone/troll_chest</t>
  </si>
  <si>
    <t>Powerful Light</t>
  </si>
  <si>
    <t>4 Redstone Torches</t>
  </si>
  <si>
    <t>Place a Redstone Torch</t>
  </si>
  <si>
    <t>Craft and place a redstone torch</t>
  </si>
  <si>
    <t>blazeandcave:redstone/powerful_light</t>
  </si>
  <si>
    <t>Repeating Repeater</t>
  </si>
  <si>
    <t>Obtain a Redstone Repeater</t>
  </si>
  <si>
    <t>Craft a redstone repeater for delaying signals</t>
  </si>
  <si>
    <t>repeater</t>
  </si>
  <si>
    <t>blazeandcave:redstone/repeating_repeater</t>
  </si>
  <si>
    <t>Quirky Quartz</t>
  </si>
  <si>
    <t>4 Nether Quartz</t>
  </si>
  <si>
    <t>Obtain Nether Quartz</t>
  </si>
  <si>
    <t>Mine Nether Quartz</t>
  </si>
  <si>
    <t>quartz</t>
  </si>
  <si>
    <t>blazeandcave:redstone/quirky_quartz</t>
  </si>
  <si>
    <t>Comparing Comparator</t>
  </si>
  <si>
    <t>Obtain a Redstone Comparator</t>
  </si>
  <si>
    <t>Craft a redstone comparator</t>
  </si>
  <si>
    <t>comparator</t>
  </si>
  <si>
    <t>blazeandcave:redstone/comparing_comparator</t>
  </si>
  <si>
    <t>The Power of Books</t>
  </si>
  <si>
    <t>Place a comparator facing outwards from a Chiseled Bookshelf OR place a Chiseled Bookshelf behind a comparator</t>
  </si>
  <si>
    <t>Read the power signal of a Chiseled Bookshelf using a comparator</t>
  </si>
  <si>
    <t>minecraft:adventure/read_power_of_chiseled_bookshelf</t>
  </si>
  <si>
    <t>Solar Power</t>
  </si>
  <si>
    <t>Obtain a Daylight Detector</t>
  </si>
  <si>
    <t>Craft a daylight sensor</t>
  </si>
  <si>
    <t>daylight_detector</t>
  </si>
  <si>
    <t>blazeandcave:redstone/solar_power</t>
  </si>
  <si>
    <t>Observer Buddy</t>
  </si>
  <si>
    <t>Obtain an Observer</t>
  </si>
  <si>
    <t>Craft an observer</t>
  </si>
  <si>
    <t>observer</t>
  </si>
  <si>
    <t>blazeandcave:redstone/observer_buddy</t>
  </si>
  <si>
    <t>Quartz Miner</t>
  </si>
  <si>
    <t>8 Quartz Blocks</t>
  </si>
  <si>
    <t>Obtain 64 Quartz Blocks</t>
  </si>
  <si>
    <t>Mine enough nether quartz to craft a stack of nether quartz blocks</t>
  </si>
  <si>
    <t>quartz_block</t>
  </si>
  <si>
    <t>blazeandcave:redstone/quartz_miner</t>
  </si>
  <si>
    <t>Space Hopper</t>
  </si>
  <si>
    <t>Obtain a Hopper</t>
  </si>
  <si>
    <t>Craft a hopper for item transportation</t>
  </si>
  <si>
    <t>hopper</t>
  </si>
  <si>
    <t>blazeandcave:redstone/space_hopper</t>
  </si>
  <si>
    <t>Space Dropper</t>
  </si>
  <si>
    <t>Obtain a Dropper</t>
  </si>
  <si>
    <t>Craft a dropper for item transportation</t>
  </si>
  <si>
    <t>dropper</t>
  </si>
  <si>
    <t>blazeandcave:redstone/space_dropper</t>
  </si>
  <si>
    <t>Dispense With This</t>
  </si>
  <si>
    <t>Obtain a Dispenser</t>
  </si>
  <si>
    <t>Construct a dispenser</t>
  </si>
  <si>
    <t>dispenser</t>
  </si>
  <si>
    <t>blazeandcave:redstone/dispense_with_this</t>
  </si>
  <si>
    <t>We Have Liftoff!</t>
  </si>
  <si>
    <t>32 TNT</t>
  </si>
  <si>
    <t>An explosion from TNT must launch you at least 100 blocks upward</t>
  </si>
  <si>
    <t>Build a redstone machine that uses TNT to launch you at least 100 blocks into the stratosphere</t>
  </si>
  <si>
    <t>blazeandcave:redstone/we_have_liftoff</t>
  </si>
  <si>
    <t>Target Acquired</t>
  </si>
  <si>
    <t>Place a Target</t>
  </si>
  <si>
    <t>Put up a Target for archery practise</t>
  </si>
  <si>
    <t>target</t>
  </si>
  <si>
    <t>blazeandcave:redstone/target_acquired</t>
  </si>
  <si>
    <t>Target Practise</t>
  </si>
  <si>
    <t>Hit a Target with all types of projectiles</t>
  </si>
  <si>
    <t>blazeandcave:redstone/target_practise</t>
  </si>
  <si>
    <t>Bullseye</t>
  </si>
  <si>
    <t>16 Arrows, 1 Infinity Enchanted Book</t>
  </si>
  <si>
    <t>Output a signal strength of 15 on a Target using an arrow from 30 blocks away</t>
  </si>
  <si>
    <t>Hit the bullseye of a Target Block with an arrow</t>
  </si>
  <si>
    <t>minecraft:adventure/bullseye</t>
  </si>
  <si>
    <t>Craftception</t>
  </si>
  <si>
    <t>1 Crafter</t>
  </si>
  <si>
    <t>Obtain a Crafter</t>
  </si>
  <si>
    <t>Craft a Crafter</t>
  </si>
  <si>
    <t>crafter</t>
  </si>
  <si>
    <t>blazeandcave:redstone/craftception</t>
  </si>
  <si>
    <t>Crafters Crafting Crafters</t>
  </si>
  <si>
    <t>3 Crafters</t>
  </si>
  <si>
    <t>Be near a Crafter when it crafts a Crafter</t>
  </si>
  <si>
    <t>crafting_table</t>
  </si>
  <si>
    <t>minecraft:adventure/crafters_crafting_crafters</t>
  </si>
  <si>
    <t>Factorio</t>
  </si>
  <si>
    <t>8 Bows</t>
  </si>
  <si>
    <t>Be near a Crafter when it crafts a Dispenser 64 times</t>
  </si>
  <si>
    <t>blazeandcave:redstone/factorio</t>
  </si>
  <si>
    <t>Moving Parts</t>
  </si>
  <si>
    <t>Obtain a piston</t>
  </si>
  <si>
    <t>Craft a piston so you can push things</t>
  </si>
  <si>
    <t>piston</t>
  </si>
  <si>
    <t>blazeandcave:redstone/moving_parts</t>
  </si>
  <si>
    <t>Sticky Parts</t>
  </si>
  <si>
    <t>Obtain a sticky piston</t>
  </si>
  <si>
    <t>Craft a sticky piston so you can pull things</t>
  </si>
  <si>
    <t>sticky_piston</t>
  </si>
  <si>
    <t>blazeandcave:redstone/sticky_parts</t>
  </si>
  <si>
    <t>Engineer</t>
  </si>
  <si>
    <t>64 Redstone</t>
  </si>
  <si>
    <t>Craft all types of redstone components</t>
  </si>
  <si>
    <t>blazeandcave:redstone/engineer</t>
  </si>
  <si>
    <t>Master Engineer</t>
  </si>
  <si>
    <t>16 Redstone Blocks</t>
  </si>
  <si>
    <t>Craft a stack of all types of redstone components</t>
  </si>
  <si>
    <t>blazeandcave:redstone/master_engineer</t>
  </si>
  <si>
    <t>Mozart</t>
  </si>
  <si>
    <t>Obtain a note block</t>
  </si>
  <si>
    <t>Craft a note block</t>
  </si>
  <si>
    <t>blazeandcave:redstone/mozart</t>
  </si>
  <si>
    <t>Take Notes</t>
  </si>
  <si>
    <t>8 Note Blocks</t>
  </si>
  <si>
    <t>Tune a Note Block through every possible note</t>
  </si>
  <si>
    <t>blazeandcave:redstone/take_notes</t>
  </si>
  <si>
    <t>Noteworthy</t>
  </si>
  <si>
    <t>Play every possible instrument on a Note Block</t>
  </si>
  <si>
    <t>blazeandcave:redstone/noteworthy</t>
  </si>
  <si>
    <t>Travelling Bard</t>
  </si>
  <si>
    <t>16 Note Blocks</t>
  </si>
  <si>
    <t>Play a Note Block in every type of biome</t>
  </si>
  <si>
    <t>blazeandcave:redstone/travelling_bard</t>
  </si>
  <si>
    <t>Monstrous Music</t>
  </si>
  <si>
    <t>1 Brown Shulker Box containing 32 Note Blocks and 1 of each type of head</t>
  </si>
  <si>
    <t>Play a note block with a Zombie, Skeleton, Wither Skeleton, Creeper, Piglin and Dragon Head on top</t>
  </si>
  <si>
    <t>Play Note Blocks with each type of mob head above it</t>
  </si>
  <si>
    <t>piglin_head</t>
  </si>
  <si>
    <t>blazeandcave:redstone/monstrous_music</t>
  </si>
  <si>
    <t>All Aboard!</t>
  </si>
  <si>
    <t>16 Rails</t>
  </si>
  <si>
    <t>Ride a Minecart</t>
  </si>
  <si>
    <t>Craft and board a Minecart for railway journeys</t>
  </si>
  <si>
    <t>minecart</t>
  </si>
  <si>
    <t>blazeandcave:redstone/all_aboard</t>
  </si>
  <si>
    <t>Fuel Engine</t>
  </si>
  <si>
    <t>Use coal or charcoal on a Minecart with Furnace</t>
  </si>
  <si>
    <t>Craft a Minecart with Furnace and use coal or charcoal to send it chugging</t>
  </si>
  <si>
    <t>furnace_minecart</t>
  </si>
  <si>
    <t>blazeandcave:redstone/fuel_engine</t>
  </si>
  <si>
    <t>Moving Storage</t>
  </si>
  <si>
    <t>Obtain a Minecart with Chest</t>
  </si>
  <si>
    <t>Put a chest in a minecart</t>
  </si>
  <si>
    <t>blazeandcave:redstone/moving_storage</t>
  </si>
  <si>
    <t>Moving Moving Storage</t>
  </si>
  <si>
    <t>Obtain a Minecart with Hopper</t>
  </si>
  <si>
    <t>Put a hopper in a minecart</t>
  </si>
  <si>
    <t>hopper_minecart</t>
  </si>
  <si>
    <t>blazeandcave:redstone/moving_moving_storage</t>
  </si>
  <si>
    <t>Mobile Explosion</t>
  </si>
  <si>
    <t>Obtain a Minecart with TNT</t>
  </si>
  <si>
    <t>Put TNT in a minecart</t>
  </si>
  <si>
    <t>tnt_minecart</t>
  </si>
  <si>
    <t>blazeandcave:redstone/mobile_explosion</t>
  </si>
  <si>
    <t>Electric Rails</t>
  </si>
  <si>
    <t>6 Powered Rails</t>
  </si>
  <si>
    <t>Obtain a Powered Rail</t>
  </si>
  <si>
    <t>Making furnace minecarts completely useless</t>
  </si>
  <si>
    <t>powered_rail</t>
  </si>
  <si>
    <t>blazeandcave:redstone/electric_rails</t>
  </si>
  <si>
    <t>Railwayman</t>
  </si>
  <si>
    <t>32 Rails</t>
  </si>
  <si>
    <t>Obtain 64 of each of Rails, Powered Rails, Detector Rails and Activator Rails</t>
  </si>
  <si>
    <t>Craft a stack of all the different types of rails</t>
  </si>
  <si>
    <t>activator_rail</t>
  </si>
  <si>
    <t>blazeandcave:redstone/railwayman</t>
  </si>
  <si>
    <t>On A Rail</t>
  </si>
  <si>
    <t>128 Rails, 16 Powered Rails</t>
  </si>
  <si>
    <t>Travel by Minecart in a straight line to at least 1 km from where you started</t>
  </si>
  <si>
    <t>rail</t>
  </si>
  <si>
    <t>blazeandcave:redstone/on_a_rail</t>
  </si>
  <si>
    <t>Vibe Check</t>
  </si>
  <si>
    <t>3 Sculk Sensors</t>
  </si>
  <si>
    <t>Obtain a Sculk Sensor</t>
  </si>
  <si>
    <t>Use Silk Touch to pick up a Sculk Sensor or find one among Ancient City treasure</t>
  </si>
  <si>
    <t>blazeandcave:redstone/vibe_check</t>
  </si>
  <si>
    <t>Calibration Sensation</t>
  </si>
  <si>
    <t>8 Amethyst Shards</t>
  </si>
  <si>
    <t>Obtain a Calibrated Sculk Sensor</t>
  </si>
  <si>
    <t>Craft a Calibrated Sculk Sensor using Amethyst Shards</t>
  </si>
  <si>
    <t>calibrated_sculk_sensor</t>
  </si>
  <si>
    <t>blazeandcave:redstone/calibration_sensation</t>
  </si>
  <si>
    <t>The Block of Eternal Screaming</t>
  </si>
  <si>
    <t>Obtain a Sculk Shrieker</t>
  </si>
  <si>
    <t>Use Silk Touch to pick up a Sculk Shrieker</t>
  </si>
  <si>
    <t>blazeandcave:redstone/the_block_of_eternal_screaming</t>
  </si>
  <si>
    <t>The Incredible Sculk</t>
  </si>
  <si>
    <t>64 Sculk</t>
  </si>
  <si>
    <t>Collect a stack of: Sculk, Sculk Veins, Sculk Sensors, Sculk Catalysts, Sculk Shriekers and Calibrated Sculk Sensors</t>
  </si>
  <si>
    <t>Collect a stack of all sculk-related blocks</t>
  </si>
  <si>
    <t>sculk_vein</t>
  </si>
  <si>
    <t>blazeandcave:redstone/the_incredible_sculk</t>
  </si>
  <si>
    <t>Sculker Box</t>
  </si>
  <si>
    <t>4 Shulker Shells</t>
  </si>
  <si>
    <t>Hold a Shulker Box that is completely filled with Sculk</t>
  </si>
  <si>
    <t>cyan_shulker_box</t>
  </si>
  <si>
    <t>blazeandcave:redstone/sculker_box</t>
  </si>
  <si>
    <t>Cataclyst</t>
  </si>
  <si>
    <t>8 Sculk Catalysts</t>
  </si>
  <si>
    <t>Kill a Wither near a Sculk Catalyst to unleash a large explosion of sculk</t>
  </si>
  <si>
    <t>blazeandcave:redstone/cataclyst</t>
  </si>
  <si>
    <t>Monstrous Sacrifices</t>
  </si>
  <si>
    <r>
      <rPr>
        <rFont val="Arial"/>
        <b/>
        <i/>
        <color theme="1"/>
      </rPr>
      <t xml:space="preserve">See the requirement notes for "Monsters Hunted" in the Adventure tab. </t>
    </r>
    <r>
      <rPr>
        <rFont val="Arial"/>
        <b/>
        <i/>
        <color rgb="FFFF0000"/>
      </rPr>
      <t>Ender Dragon is not required</t>
    </r>
  </si>
  <si>
    <t>Kill every hostile monster near a Sculk Catalyst</t>
  </si>
  <si>
    <t>blazeandcave:redstone/monstrous_sacrifices</t>
  </si>
  <si>
    <t>Enchanting</t>
  </si>
  <si>
    <t>Enchant an item at an enchanting table</t>
  </si>
  <si>
    <t>Enchant items to give them magical abilities</t>
  </si>
  <si>
    <t>blazeandcave:enchanting/root</t>
  </si>
  <si>
    <t>Librarian</t>
  </si>
  <si>
    <t>2 Bookshelves</t>
  </si>
  <si>
    <t>Obtain a bookshelf</t>
  </si>
  <si>
    <t>Build some bookshelves for your enchanting table</t>
  </si>
  <si>
    <t>bookshelf</t>
  </si>
  <si>
    <t>blazeandcave:enchanting/librarian</t>
  </si>
  <si>
    <t>Magical Stockpile</t>
  </si>
  <si>
    <t>Obtain a full stack of bottles of enchanting</t>
  </si>
  <si>
    <t>blazeandcave:enchanting/magical_stockpile</t>
  </si>
  <si>
    <t>Bow down to me!</t>
  </si>
  <si>
    <t>12 Lapis Lazuli</t>
  </si>
  <si>
    <t>Obtain Power V on any item (Bow or Enchanted Book)</t>
  </si>
  <si>
    <t>Obtain Power V</t>
  </si>
  <si>
    <t>blazeandcave:enchanting/bow_down_to_me</t>
  </si>
  <si>
    <t>To Infinity And Beyond!</t>
  </si>
  <si>
    <t>Obtain Infinity on a bow</t>
  </si>
  <si>
    <t>blazeandcave:enchanting/to_infinity_and_beyond</t>
  </si>
  <si>
    <t>XP</t>
  </si>
  <si>
    <t>Super Efficient</t>
  </si>
  <si>
    <t>Obtain Efficiency V on any item</t>
  </si>
  <si>
    <t>Obtain Efficiency V</t>
  </si>
  <si>
    <t>blazeandcave:enchanting/super_efficient</t>
  </si>
  <si>
    <t>Fortunate Son</t>
  </si>
  <si>
    <t>Obtain Fortune III on any item</t>
  </si>
  <si>
    <t>Obtain Fortune III</t>
  </si>
  <si>
    <t>blazeandcave:enchanting/fortunate_son</t>
  </si>
  <si>
    <t>Pick Like Silk</t>
  </si>
  <si>
    <t>Obtain Diamond Ore or Deepslate Diamond Ore</t>
  </si>
  <si>
    <t>Use a Silk Touch enchanted pickaxe to obtain diamond ore as a block</t>
  </si>
  <si>
    <t>blazeandcave:enchanting/pick_like_silk</t>
  </si>
  <si>
    <t>Needle Sharp</t>
  </si>
  <si>
    <t>Obtain Sharpness V</t>
  </si>
  <si>
    <t>blazeandcave:enchanting/needle_sharp</t>
  </si>
  <si>
    <t>Undead Slayer</t>
  </si>
  <si>
    <t>Obtain Smite V</t>
  </si>
  <si>
    <t>blazeandcave:enchanting/undead_slayer</t>
  </si>
  <si>
    <t>Bane of one-shotting spiders</t>
  </si>
  <si>
    <t>Obtain Bane of Arthropods V</t>
  </si>
  <si>
    <t>blazeandcave:enchanting/bane_of_one_shotting_spiders</t>
  </si>
  <si>
    <t>Newton's Flaming Laser Sword</t>
  </si>
  <si>
    <t>4 Diamonds</t>
  </si>
  <si>
    <t>Have a diamond sword with Fire Aspect II</t>
  </si>
  <si>
    <t>blazeandcave:enchanting/newtons_flaming_laser_sword</t>
  </si>
  <si>
    <t>A rather pointy fence post</t>
  </si>
  <si>
    <t>64 Oak Fences</t>
  </si>
  <si>
    <t>Enchant a wooden sword with Sharpness V. Not really the best weapon, but it could be a minor annoyance to someone</t>
  </si>
  <si>
    <t>blazeandcave:enchanting/a_rather_pointy_fence_post</t>
  </si>
  <si>
    <t>Overkill</t>
  </si>
  <si>
    <t>Deal at least eight hearts of damage with any melee attack</t>
  </si>
  <si>
    <t>Deal eight hearts of damage in a single melee blow without using a Mace</t>
  </si>
  <si>
    <t>blazeandcave:enchanting/overkill</t>
  </si>
  <si>
    <t>Over-Overkill</t>
  </si>
  <si>
    <t>Deal at least sixteen hearts of damage with any melee attack</t>
  </si>
  <si>
    <t>Deal 16 hearts of damage in a single melee blow without using a Mace</t>
  </si>
  <si>
    <t>netherite_axe</t>
  </si>
  <si>
    <t>blazeandcave:enchanting/over_overkill</t>
  </si>
  <si>
    <t>Shotbow</t>
  </si>
  <si>
    <t>Shoot a crossbow with Multishot</t>
  </si>
  <si>
    <t>Shoot three arrows at once with a crossbow</t>
  </si>
  <si>
    <t>blazeandcave:enchanting/shotbow</t>
  </si>
  <si>
    <t>Machine Bow</t>
  </si>
  <si>
    <t>Shoot a crossbow with Quick Charge III</t>
  </si>
  <si>
    <t>Fire a crossbow as rapidly as possible</t>
  </si>
  <si>
    <t>blazeandcave:enchanting/machine_bow</t>
  </si>
  <si>
    <t>Arbalistic</t>
  </si>
  <si>
    <t>Kill five unique mobs with one crossbow shot</t>
  </si>
  <si>
    <t>minecraft:adventure/arbalistic</t>
  </si>
  <si>
    <t>Boomerang</t>
  </si>
  <si>
    <t>Turn your trident into a boomerang by getting Loyalty on it</t>
  </si>
  <si>
    <t>blazeandcave:enchanting/boomerang</t>
  </si>
  <si>
    <t>Do A Barrel Roll!</t>
  </si>
  <si>
    <t>Use a Riptide-enchanted trident while in water or rain</t>
  </si>
  <si>
    <t>Use Riptide to give yourself a boost</t>
  </si>
  <si>
    <t>blazeandcave:enchanting/do_a_barrel_roll</t>
  </si>
  <si>
    <t>Zeus</t>
  </si>
  <si>
    <t>Obtain Channeling on a trident</t>
  </si>
  <si>
    <t>blazeandcave:enchanting/zeus</t>
  </si>
  <si>
    <t>Very Very Frightening</t>
  </si>
  <si>
    <t>Strike a Villager with lightning</t>
  </si>
  <si>
    <t>dragon_breath</t>
  </si>
  <si>
    <t>minecraft:adventure/very_very_frightening</t>
  </si>
  <si>
    <t>Mace Windu</t>
  </si>
  <si>
    <t>16 Wind Charges</t>
  </si>
  <si>
    <t>Obtain the Wind Burst enchantment on a Mace</t>
  </si>
  <si>
    <t>blazeandcave:enchanting/mace_windu</t>
  </si>
  <si>
    <t>Whack-a-mole</t>
  </si>
  <si>
    <t>48 Wind Charges</t>
  </si>
  <si>
    <t>Using a Mace enchanted with Wind Burst, hit eight Armadillos consecutively without touching the ground</t>
  </si>
  <si>
    <t>armadillo_spawn_egg</t>
  </si>
  <si>
    <t>blazeandcave:enchanting/whack_a_mole</t>
  </si>
  <si>
    <t>Like a Cat</t>
  </si>
  <si>
    <t>Obtain boots enchanted with Feather Falling</t>
  </si>
  <si>
    <t>iron_boots</t>
  </si>
  <si>
    <t>blazeandcave:enchanting/like_a_cat</t>
  </si>
  <si>
    <t>Armor for the masses</t>
  </si>
  <si>
    <t>Obtain all protection related enchantments</t>
  </si>
  <si>
    <t>blazeandcave:enchanting/armor_for_the_masses</t>
  </si>
  <si>
    <t>Knocking your socks off</t>
  </si>
  <si>
    <t>Obtain Knockback and Punch on any non-book item(s)</t>
  </si>
  <si>
    <t>Obtain Knockback and Punch enchantments</t>
  </si>
  <si>
    <t>blazeandcave:enchanting/knocking_your_socks_off</t>
  </si>
  <si>
    <t>Scuba Gear</t>
  </si>
  <si>
    <t>Obtain Respiration, Aqua Affinity and Depth Strider on any non-book item(s)</t>
  </si>
  <si>
    <t>Obtain every water related enchantment</t>
  </si>
  <si>
    <t>blazeandcave:enchanting/scuba_gear</t>
  </si>
  <si>
    <t>Fiery</t>
  </si>
  <si>
    <t>Obtain Fire Protection, Fire Aspect and Flame on any non-book item(s)</t>
  </si>
  <si>
    <t>Obtain every fire related enchantment</t>
  </si>
  <si>
    <t>blazeandcave:enchanting/fiery</t>
  </si>
  <si>
    <t>Like a Ninja</t>
  </si>
  <si>
    <t>1 Echo Shard</t>
  </si>
  <si>
    <t>Obtain an Enchanted Book with Swift Sneak on it</t>
  </si>
  <si>
    <t>Find the Swift Sneak enchantment on an Enchanted Book in an Ancient City</t>
  </si>
  <si>
    <t>blazeandcave:enchanting/like_a_ninja</t>
  </si>
  <si>
    <t>Silent But Deadly</t>
  </si>
  <si>
    <t>Sneak and sprint on sculk with Speed II while wearing Swift Sneak III leggings. Try saying that six times swiftly</t>
  </si>
  <si>
    <t>diamond_leggings</t>
  </si>
  <si>
    <t>blazeandcave:enchanting/silent_but_deadly</t>
  </si>
  <si>
    <t>Gotta Go Fast!</t>
  </si>
  <si>
    <t>16 Gold Ingots</t>
  </si>
  <si>
    <t>Obtain Soul Speed on either boots or an Enchanted Book</t>
  </si>
  <si>
    <t>Obtain the Soul Speed enchantment from a Bastion or bartering with Piglins</t>
  </si>
  <si>
    <t>soul_soil</t>
  </si>
  <si>
    <t>blazeandcave:enchanting/gotta_go_fast</t>
  </si>
  <si>
    <t>Let It Go!</t>
  </si>
  <si>
    <t>Step on Frosted Ice while wearing Frost Walker boots and in any Deep Ocean biome</t>
  </si>
  <si>
    <t>Using Frost Walker boots, walk on frozen water over a deep ocean</t>
  </si>
  <si>
    <t>ice</t>
  </si>
  <si>
    <t>blazeandcave:enchanting/let_it_go</t>
  </si>
  <si>
    <t>Complete Enchanter</t>
  </si>
  <si>
    <t>Get every enchantment throughout your enchanting career</t>
  </si>
  <si>
    <t>blazeandcave:enchanting/complete_enchanter</t>
  </si>
  <si>
    <t>Master Enchanter</t>
  </si>
  <si>
    <t>Get every enchantment at its max level throughout your enchanting career</t>
  </si>
  <si>
    <t>blazeandcave:enchanting/master_enchanter</t>
  </si>
  <si>
    <t>Heavy Metal</t>
  </si>
  <si>
    <t>1 Iron Block</t>
  </si>
  <si>
    <t>Obtain an anvil</t>
  </si>
  <si>
    <t>Craft an anvil</t>
  </si>
  <si>
    <t>anvil</t>
  </si>
  <si>
    <t>blazeandcave:enchanting/heavy_metal</t>
  </si>
  <si>
    <t>Baron of Blacksmiths</t>
  </si>
  <si>
    <t>Get a stack of regular, chipped and damaged Anvils</t>
  </si>
  <si>
    <t>damaged_anvil</t>
  </si>
  <si>
    <t>blazeandcave:enchanting/baron_of_blacksmiths</t>
  </si>
  <si>
    <t>Curses!</t>
  </si>
  <si>
    <t>Obtain Curses of Binding and Vanishing on any item(s)</t>
  </si>
  <si>
    <t>Obtain both types of curses</t>
  </si>
  <si>
    <t>blazeandcave:enchanting/curses</t>
  </si>
  <si>
    <t>Handmade Blinding</t>
  </si>
  <si>
    <t>1 Curse of Binding Enchanted Book</t>
  </si>
  <si>
    <t>Wear a carved pumpkin enchanted with Curse of Binding</t>
  </si>
  <si>
    <t>blazeandcave:enchanting/handmade_blinding</t>
  </si>
  <si>
    <t>This name sounds cooler</t>
  </si>
  <si>
    <t>1 Diamond, 1 Sharpness II Enchanted Book</t>
  </si>
  <si>
    <t>Hold the named item in your mainhand</t>
  </si>
  <si>
    <t>Name your Diamond Sword 'Diamond Edge'</t>
  </si>
  <si>
    <t>blazeandcave:enchanting/this_name_sounds_cooler</t>
  </si>
  <si>
    <t>I'll be back</t>
  </si>
  <si>
    <t>32 Arrows, 1 Power II Enchanted Book</t>
  </si>
  <si>
    <t>Name your Bow 'Terminator'</t>
  </si>
  <si>
    <t>black_stained_glass</t>
  </si>
  <si>
    <t>blazeandcave:enchanting/ill_be_back</t>
  </si>
  <si>
    <t>God of Thunder</t>
  </si>
  <si>
    <t>Name your Trident with Loyalty III and Channeling 'Mjolnir'</t>
  </si>
  <si>
    <t>blazeandcave:enchanting/god_of_thunder</t>
  </si>
  <si>
    <t>Unbreakable</t>
  </si>
  <si>
    <t>Obtain Mending on an item</t>
  </si>
  <si>
    <t>blazeandcave:enchanting/unbreakable</t>
  </si>
  <si>
    <t>Master Miner</t>
  </si>
  <si>
    <t>Create a pickaxe with all possible enchantments at max level</t>
  </si>
  <si>
    <t>blazeandcave:enchanting/master_miner</t>
  </si>
  <si>
    <t>Master Digger</t>
  </si>
  <si>
    <t>Create a shovel with all possible enchantments at max level</t>
  </si>
  <si>
    <t>blazeandcave:enchanting/master_digger</t>
  </si>
  <si>
    <t>Master Axeman</t>
  </si>
  <si>
    <t>Create a axe with all possible enchantments at max level</t>
  </si>
  <si>
    <t>blazeandcave:enchanting/master_axeman</t>
  </si>
  <si>
    <t>Master Farmer</t>
  </si>
  <si>
    <t>Create a hoe with all possible enchantments at max level</t>
  </si>
  <si>
    <t>blazeandcave:enchanting/master_farmer</t>
  </si>
  <si>
    <t>Master Knight</t>
  </si>
  <si>
    <t>Create a sword with all possible enchantments at max level</t>
  </si>
  <si>
    <t>blazeandcave:enchanting/master_knight</t>
  </si>
  <si>
    <t>Master Sniper</t>
  </si>
  <si>
    <t>Create a bow with all possible enchantments at max level</t>
  </si>
  <si>
    <t>blazeandcave:enchanting/master_sniper</t>
  </si>
  <si>
    <t>Master Arbalist</t>
  </si>
  <si>
    <t>Create a crossbow with all possible enchantments at max level</t>
  </si>
  <si>
    <t>blazeandcave:enchanting/master_arbalist</t>
  </si>
  <si>
    <t>Master Armorer</t>
  </si>
  <si>
    <t>Create a full suit of armor with all possible enchantments at max level</t>
  </si>
  <si>
    <t>blazeandcave:enchanting/master_armorer</t>
  </si>
  <si>
    <t>Master Fisher</t>
  </si>
  <si>
    <t>Create a fishing rod with all possible enchantments at max level</t>
  </si>
  <si>
    <t>blazeandcave:enchanting/master_fisher</t>
  </si>
  <si>
    <t>Master Tridenteer</t>
  </si>
  <si>
    <t>Create a trident with all possible enchantments at max level</t>
  </si>
  <si>
    <t>blazeandcave:enchanting/master_tridenteer</t>
  </si>
  <si>
    <t>Master Macerator</t>
  </si>
  <si>
    <t>Create a mace with all possible enchantments at max level</t>
  </si>
  <si>
    <t>blazeandcave:enchanting/master_macerator</t>
  </si>
  <si>
    <t>Statistics</t>
  </si>
  <si>
    <t>Once you obtain diamonds OR enter the Nether OR enter the End</t>
  </si>
  <si>
    <t>If your numbers go up, you're having more fun</t>
  </si>
  <si>
    <t>blazeandcave:statistics/root</t>
  </si>
  <si>
    <t>Out for a stroll</t>
  </si>
  <si>
    <t>Walk 10km</t>
  </si>
  <si>
    <t>blazeandcave:statistics/out_for_a_stroll</t>
  </si>
  <si>
    <t>Who needs cars?</t>
  </si>
  <si>
    <t>Walk 50km</t>
  </si>
  <si>
    <t>blazeandcave:statistics/who_needs_cars</t>
  </si>
  <si>
    <t>Walk 250km</t>
  </si>
  <si>
    <t>blazeandcave:statistics/i_enjoy_long_walks_and_playing_minecraft</t>
  </si>
  <si>
    <t>Natural Sprinter</t>
  </si>
  <si>
    <t>Sprint 10km</t>
  </si>
  <si>
    <t>red_terracotta</t>
  </si>
  <si>
    <t>blazeandcave:statistics/natural_sprinter</t>
  </si>
  <si>
    <t>Marathon</t>
  </si>
  <si>
    <t>Sprint 42.195km</t>
  </si>
  <si>
    <t>blazeandcave:statistics/marathon</t>
  </si>
  <si>
    <t>Sprint 250km</t>
  </si>
  <si>
    <t>blazeandcave:statistics/your_legs_must_be_tired</t>
  </si>
  <si>
    <t>Spring in your step</t>
  </si>
  <si>
    <t>Jump 1000 times</t>
  </si>
  <si>
    <t>blazeandcave:statistics/spring_in_your_step</t>
  </si>
  <si>
    <t>Boing, Boing</t>
  </si>
  <si>
    <t>Jump 10,000 times</t>
  </si>
  <si>
    <t>acacia_leaves</t>
  </si>
  <si>
    <t>blazeandcave:statistics/boing_boing</t>
  </si>
  <si>
    <t>Jump 100,000 times</t>
  </si>
  <si>
    <t>cyan_carpet</t>
  </si>
  <si>
    <t>blazeandcave:statistics/jumping_jacks</t>
  </si>
  <si>
    <t>Sneaky Snitch</t>
  </si>
  <si>
    <t>Sneak 100m</t>
  </si>
  <si>
    <t>blazeandcave:statistics/sneaky_snitch</t>
  </si>
  <si>
    <t>Black Belt Ninja</t>
  </si>
  <si>
    <t>Sneak 1km</t>
  </si>
  <si>
    <t>blazeandcave:statistics/black_belt_ninja</t>
  </si>
  <si>
    <t>Sneak 10km</t>
  </si>
  <si>
    <t>panda_spawn_egg</t>
  </si>
  <si>
    <t>blazeandcave:statistics/ancient_kung_fu_master</t>
  </si>
  <si>
    <t>Laps in the pool</t>
  </si>
  <si>
    <t>3 Pufferfish</t>
  </si>
  <si>
    <t>"Swim" is defined as sprint-swimming</t>
  </si>
  <si>
    <t>Swim 1km</t>
  </si>
  <si>
    <t>blazeandcave:statistics/laps_in_the_pool</t>
  </si>
  <si>
    <t>Olympic Athlete</t>
  </si>
  <si>
    <t>8 Pufferfish</t>
  </si>
  <si>
    <t>Swim 10km</t>
  </si>
  <si>
    <t>blazeandcave:statistics/olympic_athlete</t>
  </si>
  <si>
    <t>24 Pufferfish</t>
  </si>
  <si>
    <t>Swim 50km</t>
  </si>
  <si>
    <t>blazeandcave:statistics/olympic_gold_medallist</t>
  </si>
  <si>
    <t>Minecart Rider</t>
  </si>
  <si>
    <t>8 Iron Ingots</t>
  </si>
  <si>
    <t>Ride 1km in a minecart</t>
  </si>
  <si>
    <t>blazeandcave:statistics/minecart_rider</t>
  </si>
  <si>
    <t>I Like Trains</t>
  </si>
  <si>
    <t>24 Iron Ingots</t>
  </si>
  <si>
    <t>Ride 10km in a minecart</t>
  </si>
  <si>
    <t>blazeandcave:statistics/i_like_trains</t>
  </si>
  <si>
    <t>Ride 50km in a minecart</t>
  </si>
  <si>
    <t>command_block_minecart</t>
  </si>
  <si>
    <t>blazeandcave:statistics/global_railway_network</t>
  </si>
  <si>
    <t>Pig Training</t>
  </si>
  <si>
    <t>1 Saddle, 8 Raw Porkchops</t>
  </si>
  <si>
    <t>Ride 100 m on a pig</t>
  </si>
  <si>
    <t>blazeandcave:statistics/pig_training</t>
  </si>
  <si>
    <t>Snout 500</t>
  </si>
  <si>
    <t>24 Carrots, 24 Raw Porkchops</t>
  </si>
  <si>
    <t>Ride 1 km on a pig</t>
  </si>
  <si>
    <t>blazeandcave:statistics/snout_500</t>
  </si>
  <si>
    <t>1 Saddle, 64 Raw Porkchops</t>
  </si>
  <si>
    <t>Ride 10 km on a pig</t>
  </si>
  <si>
    <t>blazeandcave:statistics/lightning_mcpig</t>
  </si>
  <si>
    <t>Horse Training</t>
  </si>
  <si>
    <t>1 Iron Horse Armor, 8 Leather</t>
  </si>
  <si>
    <t>Ride 1 km on a horse</t>
  </si>
  <si>
    <t>iron_horse_armor</t>
  </si>
  <si>
    <t>blazeandcave:statistics/horse_training</t>
  </si>
  <si>
    <t>Sheriff Firearm</t>
  </si>
  <si>
    <t>1 Gold Horse Armor, 24 Leather</t>
  </si>
  <si>
    <t>Ride 10 km on a horse</t>
  </si>
  <si>
    <t>golden_horse_armor</t>
  </si>
  <si>
    <t>blazeandcave:statistics/sheriff_firearm</t>
  </si>
  <si>
    <t>1 Diamond Horse Armor, 64 Leather</t>
  </si>
  <si>
    <t>Ride 50 km on a horse</t>
  </si>
  <si>
    <t>blazeandcave:statistics/scourge_of_the_west</t>
  </si>
  <si>
    <t>Luxury Cruise</t>
  </si>
  <si>
    <t>Sail 1km in a boat</t>
  </si>
  <si>
    <t>oak_boat</t>
  </si>
  <si>
    <t>blazeandcave:statistics/luxury_cruise</t>
  </si>
  <si>
    <t>Pirate Captain</t>
  </si>
  <si>
    <t>3 Nautilus Shells</t>
  </si>
  <si>
    <t>Sail 10km in a boat</t>
  </si>
  <si>
    <t>spruce_boat</t>
  </si>
  <si>
    <t>blazeandcave:statistics/pirate_captain</t>
  </si>
  <si>
    <t>8 Nautilus Shells, 1 Heart of the Sea</t>
  </si>
  <si>
    <t>Sail 50km in a boat</t>
  </si>
  <si>
    <t>dark_oak_boat</t>
  </si>
  <si>
    <t>blazeandcave:statistics/sailor_of_the_seven_seas</t>
  </si>
  <si>
    <t>Taking It In Stride</t>
  </si>
  <si>
    <t>3 Warped Fungus</t>
  </si>
  <si>
    <t>Ride 100m on a Strider</t>
  </si>
  <si>
    <t>blazeandcave:statistics/taking_it_in_stride</t>
  </si>
  <si>
    <t>Who Needs Boats?</t>
  </si>
  <si>
    <t>8 Warped Fungus</t>
  </si>
  <si>
    <t>Ride 1km on a Strider</t>
  </si>
  <si>
    <t>warped_fungus_on_a_stick</t>
  </si>
  <si>
    <t>blazeandcave:statistics/who_needs_boats</t>
  </si>
  <si>
    <t>24 Warped Fungus</t>
  </si>
  <si>
    <t>Ride 10km on a Strider</t>
  </si>
  <si>
    <t>strider_spawn_egg</t>
  </si>
  <si>
    <t>blazeandcave:statistics/this_ride_is_lit_yo</t>
  </si>
  <si>
    <t>Take to the Skies</t>
  </si>
  <si>
    <t>64 Firework Rockets (Flight Duration: 1)</t>
  </si>
  <si>
    <t>Fly 10 km with elytra</t>
  </si>
  <si>
    <t>blazeandcave:statistics/take_to_the_skies</t>
  </si>
  <si>
    <t>End Explorer 
(100k)</t>
  </si>
  <si>
    <t>Supersonic</t>
  </si>
  <si>
    <t>192 Firework Rockets (Flight Duration: 2)</t>
  </si>
  <si>
    <t>Fly 100km with elytra</t>
  </si>
  <si>
    <t>elytra</t>
  </si>
  <si>
    <t>blazeandcave:statistics/supersonic</t>
  </si>
  <si>
    <t>A Shulker Box containing 9 stacks of 64 Firework Rockets (Flight Duration: 3)</t>
  </si>
  <si>
    <t>Fly 1000km with elytra</t>
  </si>
  <si>
    <t>blazeandcave:statistics/frequent_flyer</t>
  </si>
  <si>
    <t>Mob Hunter</t>
  </si>
  <si>
    <t>Sharpness II Enchanted Book</t>
  </si>
  <si>
    <t>Defeat 250 mobs</t>
  </si>
  <si>
    <t>blazeandcave:statistics/mob_hunter</t>
  </si>
  <si>
    <t>Bloodthirsty</t>
  </si>
  <si>
    <t>Sharpness IV Enchanted Book</t>
  </si>
  <si>
    <t>Defeat 2500 mobs</t>
  </si>
  <si>
    <t>blazeandcave:statistics/bloodthirsty</t>
  </si>
  <si>
    <t>Sharpness V Enchanted Book, Mending Enchanted Book</t>
  </si>
  <si>
    <t>Defeat 25,000 mobs</t>
  </si>
  <si>
    <t>blazeandcave:statistics/kill_or_be_killed</t>
  </si>
  <si>
    <t>The Parrots and the Bats</t>
  </si>
  <si>
    <t>32 Wheat</t>
  </si>
  <si>
    <t>Breed 100 animals</t>
  </si>
  <si>
    <t>blazeandcave:statistics/the_parrots_and_the_bats</t>
  </si>
  <si>
    <t>Cupid</t>
  </si>
  <si>
    <t>16 Hay Blocks, 2 Golden Apples</t>
  </si>
  <si>
    <t>Breed 500 animals</t>
  </si>
  <si>
    <t>blazeandcave:statistics/cupid</t>
  </si>
  <si>
    <t>Two By Two</t>
  </si>
  <si>
    <t>64 Hay Blocks, 4 Golden Apples</t>
  </si>
  <si>
    <t>Breed 2500 animals</t>
  </si>
  <si>
    <t>blazeandcave:statistics/two_by_two</t>
  </si>
  <si>
    <t>Om Nom Nom</t>
  </si>
  <si>
    <t>Milk, Potions and Water Bottles do not increment this number</t>
  </si>
  <si>
    <t>Eat 200 food items</t>
  </si>
  <si>
    <t>blazeandcave:statistics/om_nom_nom</t>
  </si>
  <si>
    <t>Yum Yum Yummo</t>
  </si>
  <si>
    <t>Eat 1000 food items</t>
  </si>
  <si>
    <t>blazeandcave:statistics/yum_yum_yummo</t>
  </si>
  <si>
    <t>Eat 5000 food items</t>
  </si>
  <si>
    <t>blazeandcave:statistics/food_glorious_food</t>
  </si>
  <si>
    <t>The Haggler</t>
  </si>
  <si>
    <t>Trade with villagers 100 times</t>
  </si>
  <si>
    <t>blazeandcave:statistics/the_haggler</t>
  </si>
  <si>
    <t>Big Spender</t>
  </si>
  <si>
    <t>24 Emeralds</t>
  </si>
  <si>
    <t>Trade with villagers 500 times</t>
  </si>
  <si>
    <t>blazeandcave:statistics/big_spender</t>
  </si>
  <si>
    <t>64 Emeralds</t>
  </si>
  <si>
    <t>Trade with villagers 2500 times</t>
  </si>
  <si>
    <t>blazeandcave:statistics/stonks</t>
  </si>
  <si>
    <t>Loot ‘Em!</t>
  </si>
  <si>
    <t>This number is incremented when you generate a container's loot by opening it</t>
  </si>
  <si>
    <t>Open 10 loot chests</t>
  </si>
  <si>
    <t>blazeandcave:statistics/loot_em</t>
  </si>
  <si>
    <t>More For Me</t>
  </si>
  <si>
    <t>In other words, when you open a loot chest that has never been opened before</t>
  </si>
  <si>
    <t>Open 100 loot chests</t>
  </si>
  <si>
    <t>blazeandcave:statistics/more_for_me</t>
  </si>
  <si>
    <t>Open 500 loot chests</t>
  </si>
  <si>
    <t>ender_chest</t>
  </si>
  <si>
    <t>blazeandcave:statistics/i_heart_chests</t>
  </si>
  <si>
    <t>Novice Enchanter</t>
  </si>
  <si>
    <t>Enchant 10 items</t>
  </si>
  <si>
    <t>blazeandcave:statistics/novice_enchanter</t>
  </si>
  <si>
    <t>Journeyman Enchanter</t>
  </si>
  <si>
    <t>64 Lapis Lazuli</t>
  </si>
  <si>
    <t>Enchant 50 items</t>
  </si>
  <si>
    <t>blazeandcave:statistics/journeyman_enchanter</t>
  </si>
  <si>
    <t>20 Lapis Lazuli Blocks</t>
  </si>
  <si>
    <t>Enchant 250 items</t>
  </si>
  <si>
    <t>blazeandcave:statistics/elderly_enchanter</t>
  </si>
  <si>
    <t>Level Up</t>
  </si>
  <si>
    <t>Reach 30 experience levels</t>
  </si>
  <si>
    <t>blazeandcave:statistics/level_up</t>
  </si>
  <si>
    <t>Overlevelling</t>
  </si>
  <si>
    <t>Reach 100 experience levels</t>
  </si>
  <si>
    <t>blazeandcave:statistics/overlevelling</t>
  </si>
  <si>
    <t>XP Grinder</t>
  </si>
  <si>
    <t>Reach 300 experience levels</t>
  </si>
  <si>
    <t>blazeandcave:statistics/xp_grinder</t>
  </si>
  <si>
    <t>The First Night</t>
  </si>
  <si>
    <t>Be in the world at sunrise</t>
  </si>
  <si>
    <t>Survive the first night in your brand new world</t>
  </si>
  <si>
    <t>sunflower</t>
  </si>
  <si>
    <t>blazeandcave:statistics/the_first_night</t>
  </si>
  <si>
    <t>Passing the Time</t>
  </si>
  <si>
    <t>100 Minecraft days, not real-life days.</t>
  </si>
  <si>
    <t>Play for 100 days</t>
  </si>
  <si>
    <t>blazeandcave:statistics/passing_the_time</t>
  </si>
  <si>
    <t>A new day is added to all online players' score at sunrise</t>
  </si>
  <si>
    <t>Play for a whole year!</t>
  </si>
  <si>
    <t>blazeandcave:statistics/happy_new_year</t>
  </si>
  <si>
    <t>Nether</t>
  </si>
  <si>
    <t>Be in the Nether dimension</t>
  </si>
  <si>
    <t>Bring summer clothes</t>
  </si>
  <si>
    <t>minecraft:nether/root</t>
  </si>
  <si>
    <t>Stem Research</t>
  </si>
  <si>
    <t>2 Stems of the type that you picked up</t>
  </si>
  <si>
    <t>Obtain either Crimson Stem or Warped Stem</t>
  </si>
  <si>
    <t>Attack a huge Nether Fungi until a stem pops out</t>
  </si>
  <si>
    <t>crimson_stem</t>
  </si>
  <si>
    <t>blazeandcave:nether/stem_research</t>
  </si>
  <si>
    <t>What a Fungi!</t>
  </si>
  <si>
    <t>Pick up Crimson or Warped Fungus</t>
  </si>
  <si>
    <t>warped_fungus</t>
  </si>
  <si>
    <t>blazeandcave:nether/what_a_fungi</t>
  </si>
  <si>
    <t>I am Root</t>
  </si>
  <si>
    <t>Pick up some crimson roots</t>
  </si>
  <si>
    <t>crimson_roots</t>
  </si>
  <si>
    <t>blazeandcave:nether/i_am_root</t>
  </si>
  <si>
    <t>Don't Blink</t>
  </si>
  <si>
    <t>Climb on some Weeping Vines</t>
  </si>
  <si>
    <t>weeping_vines</t>
  </si>
  <si>
    <t>blazeandcave:nether/dont_blink</t>
  </si>
  <si>
    <t>Twisted</t>
  </si>
  <si>
    <t>Climb on some Twisted Vines</t>
  </si>
  <si>
    <t>twisting_vines</t>
  </si>
  <si>
    <t>blazeandcave:nether/twisted</t>
  </si>
  <si>
    <t>What about Corruption Planks?</t>
  </si>
  <si>
    <t>16 Crimson Stems</t>
  </si>
  <si>
    <t>Craft every item made out of crimson wood</t>
  </si>
  <si>
    <t>crimson_planks</t>
  </si>
  <si>
    <t>blazeandcave:nether/what_about_corruption_planks</t>
  </si>
  <si>
    <t>Welcome to Warp Zone!</t>
  </si>
  <si>
    <t>16 Warped Stems</t>
  </si>
  <si>
    <t>Craft every item made out of warped wood</t>
  </si>
  <si>
    <t>warped_planks</t>
  </si>
  <si>
    <t>blazeandcave:nether/welcome_to_warp_zone</t>
  </si>
  <si>
    <t>Hot Tourist Destination</t>
  </si>
  <si>
    <t>Explore every Nether biome</t>
  </si>
  <si>
    <t>golden_boots</t>
  </si>
  <si>
    <t>minecraft:nether/explore_nether</t>
  </si>
  <si>
    <t>Hell Botanist</t>
  </si>
  <si>
    <t>8 Crimson Fungus, 8 Warped Fungus</t>
  </si>
  <si>
    <t>Gather a stack of every Nether plant</t>
  </si>
  <si>
    <t>warped_roots</t>
  </si>
  <si>
    <t>blazeandcave:nether/hell_botanist</t>
  </si>
  <si>
    <t>Spreading Corruption</t>
  </si>
  <si>
    <t>4 Ancient Debris</t>
  </si>
  <si>
    <t>Place one of every Nether block in the Overworld</t>
  </si>
  <si>
    <t>basalt</t>
  </si>
  <si>
    <t>blazeandcave:nether/spreading_corruption</t>
  </si>
  <si>
    <t>The Struggle Nether Ends</t>
  </si>
  <si>
    <t>Place one of every Nether block in The End</t>
  </si>
  <si>
    <t>blazeandcave:nether/the_struggle_nether_ends</t>
  </si>
  <si>
    <t>Roadhog</t>
  </si>
  <si>
    <t>Hunt a Hoglin for food</t>
  </si>
  <si>
    <t>blazeandcave:nether/roadhog</t>
  </si>
  <si>
    <t>When Hoglins Breed</t>
  </si>
  <si>
    <t>2 Crimson Fungus</t>
  </si>
  <si>
    <t>Breed a baby Hoglin using Crimson Fungi</t>
  </si>
  <si>
    <t>crimson_fungus</t>
  </si>
  <si>
    <t>blazeandcave:nether/when_hoglins_breed</t>
  </si>
  <si>
    <t>Whole Hog</t>
  </si>
  <si>
    <t>Get mauled by a Hoglin</t>
  </si>
  <si>
    <t>blazeandcave:nether/whole_hog</t>
  </si>
  <si>
    <t>Giddy Up!</t>
  </si>
  <si>
    <t>Punch a baby Hoglin that is being ridden by a baby Piglin</t>
  </si>
  <si>
    <t>hoglin_spawn_egg</t>
  </si>
  <si>
    <t>blazeandcave:nether/giddy_up</t>
  </si>
  <si>
    <t>Nether Mobs</t>
  </si>
  <si>
    <t>Zork Chop</t>
  </si>
  <si>
    <t>Kill a Zoglin</t>
  </si>
  <si>
    <t>Bring a Hoglin into the Overworld to zombify it, then kill it for zorkchops</t>
  </si>
  <si>
    <t>blazeandcave:nether/zork_chop</t>
  </si>
  <si>
    <t>Oh, Shiny!</t>
  </si>
  <si>
    <t>Drop any golden item (in the piglin_loved tag) and have an adult Piglin pick it up. The player cannot be wearing any golden armor while doing this</t>
  </si>
  <si>
    <t>Distract Piglins with gold</t>
  </si>
  <si>
    <t>minecraft:nether/distract_piglin</t>
  </si>
  <si>
    <t>Cultural Misunderstandings</t>
  </si>
  <si>
    <t>Kill a Piglin or a Piglin Brute</t>
  </si>
  <si>
    <t>Slay a Piglin in battle... or an accidental incursion</t>
  </si>
  <si>
    <t>golden_sword</t>
  </si>
  <si>
    <t>blazeandcave:nether/cultural_misunderstandings</t>
  </si>
  <si>
    <t>We Got a Live One!</t>
  </si>
  <si>
    <t>Bring a Piglin into the Overworld then spare it from an eternity of zombification</t>
  </si>
  <si>
    <t>piglin_spawn_egg</t>
  </si>
  <si>
    <t>blazeandcave:nether/we_got_a_live_one</t>
  </si>
  <si>
    <t>When Piglins Fly</t>
  </si>
  <si>
    <t>8 Gold Ingots</t>
  </si>
  <si>
    <t>Give a piglin elytra then kill it</t>
  </si>
  <si>
    <t>blazeandcave:nether/when_piglins_fly</t>
  </si>
  <si>
    <t>Hung, Drawn and Bartered</t>
  </si>
  <si>
    <t>Barter for every possible type of item with Piglins</t>
  </si>
  <si>
    <t>blazeandcave:nether/hung_drawn_and_bartered</t>
  </si>
  <si>
    <t>A Piglin's Best Friend</t>
  </si>
  <si>
    <t>50 Gold Ingots</t>
  </si>
  <si>
    <t>Give a total of 500 gold to Piglins during your nether adventures</t>
  </si>
  <si>
    <t>blazeandcave:nether/a_piglins_best_friend</t>
  </si>
  <si>
    <t>Barter</t>
  </si>
  <si>
    <t>Piglin Peril</t>
  </si>
  <si>
    <t>Obtain a Piglin Head</t>
  </si>
  <si>
    <t>Obtain a Piglin Head by blowing up a Piglin with a Charged Creeper</t>
  </si>
  <si>
    <t>blazeandcave:nether/piglin_peril</t>
  </si>
  <si>
    <t>Those Were The Days</t>
  </si>
  <si>
    <t>Enter a Bastion Remnant</t>
  </si>
  <si>
    <t>Fight your way into a Bastion Remnant</t>
  </si>
  <si>
    <t>minecraft:nether/find_bastion</t>
  </si>
  <si>
    <t>Brute Force</t>
  </si>
  <si>
    <t>Defeat a Piglin Brute in a Bastion Remnant</t>
  </si>
  <si>
    <t>golden_axe</t>
  </si>
  <si>
    <t>blazeandcave:nether/brute_force</t>
  </si>
  <si>
    <t>Et tu, Brute?</t>
  </si>
  <si>
    <t>Get murdered by Piglin Brutes</t>
  </si>
  <si>
    <t>blazeandcave:nether/et_tu_brute</t>
  </si>
  <si>
    <t>Astrobrute</t>
  </si>
  <si>
    <t>Kill a Piglin Brute in the End</t>
  </si>
  <si>
    <t>Send a Piglin Brute to the End and kill it there before it zombifies</t>
  </si>
  <si>
    <t>blazeandcave:nether/astrobrute</t>
  </si>
  <si>
    <t>War Pigs</t>
  </si>
  <si>
    <t>Open any Bastion Remnant chest for the first time</t>
  </si>
  <si>
    <t>Loot a chest in a Bastion Remnant</t>
  </si>
  <si>
    <t>minecraft:nether/loot_bastion</t>
  </si>
  <si>
    <t>Gilty!</t>
  </si>
  <si>
    <t>4 Gilded Blackstone</t>
  </si>
  <si>
    <t>Obtain Gilded Blackstone</t>
  </si>
  <si>
    <t>Mine some Gilded Blackstone from a Bastion Remnant</t>
  </si>
  <si>
    <t>gilded_blackstone</t>
  </si>
  <si>
    <t>blazeandcave:nether/gilty</t>
  </si>
  <si>
    <t>Gilded Miner</t>
  </si>
  <si>
    <t>8 Gilded Blackstone</t>
  </si>
  <si>
    <t>Obtain 64 Gilded Blackstone</t>
  </si>
  <si>
    <t>Mine a stack of Gilded Blackstone from Bastion Remnants</t>
  </si>
  <si>
    <t>gold_nugget</t>
  </si>
  <si>
    <t>blazeandcave:nether/gilded_miner</t>
  </si>
  <si>
    <t>Time to Upgrade!</t>
  </si>
  <si>
    <t>1 Netherite Upgrade Smithing Template</t>
  </si>
  <si>
    <t>Obtain a Netherite Upgrade Smithing Template</t>
  </si>
  <si>
    <t>Find a Netherite Upgrade Smithing Template in a Bastion Remnant</t>
  </si>
  <si>
    <t>netherite_upgrade_smithing_template</t>
  </si>
  <si>
    <t>blazeandcave:nether/time_to_upgrade</t>
  </si>
  <si>
    <t>Wub wub wub!</t>
  </si>
  <si>
    <t>Obtain the Pigstep music disc from a Bastion Remnant</t>
  </si>
  <si>
    <t>music_disc_pigstep</t>
  </si>
  <si>
    <t>blazeandcave:nether/wub_wub_wub</t>
  </si>
  <si>
    <t>Hot Reels!</t>
  </si>
  <si>
    <t>Hook a Strider with a Fishing Rod then right-click to reel it in</t>
  </si>
  <si>
    <t>Reel in a Strider using a Fishing Rod</t>
  </si>
  <si>
    <t>blazeandcave:nether/hot_reels</t>
  </si>
  <si>
    <t>This Boat Has Legs</t>
  </si>
  <si>
    <t>4 Warped Fungus</t>
  </si>
  <si>
    <t>Obtain a Warped Fungus on a Stick AND ride a strider</t>
  </si>
  <si>
    <t>Ride a Strider with a Warped Fungus on a Stick</t>
  </si>
  <si>
    <t>minecraft:nether/ride_strider</t>
  </si>
  <si>
    <t>Feels Like Home</t>
  </si>
  <si>
    <t>Ride a Strider at least 50 blocks horizontally away from your starting position, all on lava and in the Overworld</t>
  </si>
  <si>
    <t>Take a Strider for a loooong ride on a lava lake in the Overworld</t>
  </si>
  <si>
    <t>minecraft:nether/ride_strider_in_overworld_lava</t>
  </si>
  <si>
    <t>Bobbleheads</t>
  </si>
  <si>
    <t>Breed two Striders using Warped Fungus</t>
  </si>
  <si>
    <t>blazeandcave:nether/bobbleheads</t>
  </si>
  <si>
    <t>This One’s Mine!</t>
  </si>
  <si>
    <t>4 Gold Ingots, 4 Warped Fungus</t>
  </si>
  <si>
    <t>Kill a Zombified Piglin that is riding a Strider AND ride a strider that was formerly ridden by one</t>
  </si>
  <si>
    <t>Kill a Zombified Piglin that is riding a Strider and take its steed</t>
  </si>
  <si>
    <t>blazeandcave:nether/this_ones_mine</t>
  </si>
  <si>
    <t>Jenga</t>
  </si>
  <si>
    <t>16 Warped Fungus</t>
  </si>
  <si>
    <t>Ride a Strider riding another Strider riding a boat riding a minecart</t>
  </si>
  <si>
    <t>acacia_boat</t>
  </si>
  <si>
    <t>blazeandcave:nether/jenga</t>
  </si>
  <si>
    <t>From Whence It Came!</t>
  </si>
  <si>
    <t>Stand in a Ruined Portal in the Nether</t>
  </si>
  <si>
    <t>Find a broken Nether Portal in the Nether</t>
  </si>
  <si>
    <t>blazeandcave:nether/from_whence_it_came</t>
  </si>
  <si>
    <t>Ancient Restoration</t>
  </si>
  <si>
    <t>4 Obsidian</t>
  </si>
  <si>
    <t>Stand in a Nether Portal block while within the bounding box of a Ruined Portal structure</t>
  </si>
  <si>
    <t>Rebuild and reactivate a Ruined Portal</t>
  </si>
  <si>
    <t>blazeandcave:nether/ancient_restoration</t>
  </si>
  <si>
    <t>Who is Cutting Onions?</t>
  </si>
  <si>
    <t>Obtain Crying Obsidian from a Ruined Portal or bartering with Piglins</t>
  </si>
  <si>
    <t>minecraft:nether/obtain_crying_obsidian</t>
  </si>
  <si>
    <t>Anchorman</t>
  </si>
  <si>
    <t>6 Crying Obsidian</t>
  </si>
  <si>
    <t>Place a Respawn Anchor</t>
  </si>
  <si>
    <t>Craft a Respawn Anchor using Crying Obsidian and Glowstone then place it down</t>
  </si>
  <si>
    <t>respawn_anchor</t>
  </si>
  <si>
    <t>blazeandcave:nether/anchorman</t>
  </si>
  <si>
    <t>Not Quite 'Nine' Lives</t>
  </si>
  <si>
    <t>8 Glowstone</t>
  </si>
  <si>
    <t>Place Glowstone into a Respawn Anchor such that it reaches maximum charge</t>
  </si>
  <si>
    <t>Charge a Respawn Anchor to the maximum</t>
  </si>
  <si>
    <t>minecraft:nether/charge_respawn_anchor</t>
  </si>
  <si>
    <t>The Tribal Snouts</t>
  </si>
  <si>
    <t>8 Golden Nuggets</t>
  </si>
  <si>
    <t>Kill a zombie pigman</t>
  </si>
  <si>
    <t>blazeandcave:nether/the_tribal_snouts</t>
  </si>
  <si>
    <t>High Temperature Fluid Monster</t>
  </si>
  <si>
    <t>3 Magma Cream</t>
  </si>
  <si>
    <t>Kill a magma cube</t>
  </si>
  <si>
    <t>magma_cream</t>
  </si>
  <si>
    <t>blazeandcave:nether/high_temperature_fluid_monster</t>
  </si>
  <si>
    <t>Legend of Hell Chicken Riders</t>
  </si>
  <si>
    <t>8 Cooked Chicken</t>
  </si>
  <si>
    <t>Kill a chicken with a zombified piglin passenger or a zombified piglin riding a chicken</t>
  </si>
  <si>
    <t>Kill a chicken jockey in the nether</t>
  </si>
  <si>
    <t>blazeandcave:nether/legend_of_hell_chicken_riders</t>
  </si>
  <si>
    <t>Magma Cube Squisher</t>
  </si>
  <si>
    <t>8 Magma Cream, 1 Fire Aspect I Enchanted Book</t>
  </si>
  <si>
    <t>Collect a stack of magma cream</t>
  </si>
  <si>
    <t>magma_cube_spawn_egg</t>
  </si>
  <si>
    <t>blazeandcave:nether/magma_cube_squisher</t>
  </si>
  <si>
    <t>Giant Floating Jellyfish</t>
  </si>
  <si>
    <t>1 Ghast Tear</t>
  </si>
  <si>
    <t>Kill a ghast</t>
  </si>
  <si>
    <t>Shoot down a ghast</t>
  </si>
  <si>
    <t>blazeandcave:nether/giant_floating_jellyfish</t>
  </si>
  <si>
    <t>Fire Blast Shield</t>
  </si>
  <si>
    <t>Block the explosion of a Ghast's fireball</t>
  </si>
  <si>
    <t>blazeandcave:nether/fire_blast_shield</t>
  </si>
  <si>
    <t>Is it a Balloon?</t>
  </si>
  <si>
    <t>Look at a Ghast through a Spyglass</t>
  </si>
  <si>
    <t>minecraft:adventure/spyglass_at_ghast</t>
  </si>
  <si>
    <t>Return to Sender</t>
  </si>
  <si>
    <t>Destroy a Ghast with its fireball</t>
  </si>
  <si>
    <t>minecraft:nether/return_to_sender</t>
  </si>
  <si>
    <t>Bring Down The Beast</t>
  </si>
  <si>
    <t>2 Ghast Tears</t>
  </si>
  <si>
    <t>Kill a ghast using a direct melee attack while holding a sword</t>
  </si>
  <si>
    <t>Bring down a ghast with a sword</t>
  </si>
  <si>
    <t>blazeandcave:nether/bring_down_the_beast</t>
  </si>
  <si>
    <t>Ghast Slayer</t>
  </si>
  <si>
    <t>8 Ghast Tears, 16 Gunpowder, 1 Punch I Enchanted Book</t>
  </si>
  <si>
    <t>Collect a stack of ghast tears</t>
  </si>
  <si>
    <t>ghast_spawn_egg</t>
  </si>
  <si>
    <t>blazeandcave:nether/ghast_slayer</t>
  </si>
  <si>
    <t>Uneasy Alliance</t>
  </si>
  <si>
    <t>4 Ghast Tears</t>
  </si>
  <si>
    <t>Kill a ghast in the Overworld</t>
  </si>
  <si>
    <t>Rescue a Ghast from the Nether, bring it safely back home to the Overworld... and then kill it</t>
  </si>
  <si>
    <t>minecraft:nether/uneasy_alliance</t>
  </si>
  <si>
    <t>16 Ghast Tears</t>
  </si>
  <si>
    <t>Strike a ghast with lightning using the Channeling enchantment</t>
  </si>
  <si>
    <t>Smite a ghast with lightning from the Overworld’s heavens</t>
  </si>
  <si>
    <t>blazeandcave:nether/electrifying_alliance</t>
  </si>
  <si>
    <t>Hell's Bells</t>
  </si>
  <si>
    <t>Ring a bell in the Nether</t>
  </si>
  <si>
    <t>blazeandcave:nether/hells_bells</t>
  </si>
  <si>
    <t>Hot Spring</t>
  </si>
  <si>
    <t>Sit in a cauldron filled with water in the Nether</t>
  </si>
  <si>
    <t>Sit in water in the Nether</t>
  </si>
  <si>
    <t>blazeandcave:nether/hot_spring</t>
  </si>
  <si>
    <t>Polar Opposites</t>
  </si>
  <si>
    <t>Start freezing from Powder Snow in the Nether</t>
  </si>
  <si>
    <t>Start freezing in the Nether</t>
  </si>
  <si>
    <t>powder_snow_bucket</t>
  </si>
  <si>
    <t>blazeandcave:nether/polar_opposites</t>
  </si>
  <si>
    <t>Nugget in a Biscuit</t>
  </si>
  <si>
    <t>20 Gold Nuggets</t>
  </si>
  <si>
    <t>Mine Nether Gold Ore</t>
  </si>
  <si>
    <t>Mine Nether Gold Ore for a pile of gold nuggets</t>
  </si>
  <si>
    <t>nether_gold_ore</t>
  </si>
  <si>
    <t>blazeandcave:nether/nugget_in_a_biscuit</t>
  </si>
  <si>
    <t>Stepping on Legos</t>
  </si>
  <si>
    <t>8 Magma Blocks</t>
  </si>
  <si>
    <t>Step on a Magma Block in the Nether without sneaking, wearing Frost Walker Boots, or having the Fire Resistance effect</t>
  </si>
  <si>
    <t>Walk on some hot Magma Blocks in the Nether</t>
  </si>
  <si>
    <t>magma_block</t>
  </si>
  <si>
    <t>blazeandcave:nether/stepping_on_legos</t>
  </si>
  <si>
    <t>Dark Ages</t>
  </si>
  <si>
    <t>Mine Blackstone from a Basalt Deltas biome</t>
  </si>
  <si>
    <t>blackstone</t>
  </si>
  <si>
    <t>blazeandcave:nether/dark_ages</t>
  </si>
  <si>
    <t>Nether Rock Collection</t>
  </si>
  <si>
    <t>Mine a stack of Netherrack, Basalt, Blackstone and Magma in the Nether</t>
  </si>
  <si>
    <t>blazeandcave:nether/nether_rock_collection</t>
  </si>
  <si>
    <t>Quicksand</t>
  </si>
  <si>
    <t>8 Soul Sand</t>
  </si>
  <si>
    <t>Stand on soul sand</t>
  </si>
  <si>
    <t>You sink like quicksand, but move slow like mud</t>
  </si>
  <si>
    <t>soul_sand</t>
  </si>
  <si>
    <t>blazeandcave:nether/quicksand</t>
  </si>
  <si>
    <t>Burnt Right Into Your Soul</t>
  </si>
  <si>
    <t>Stand in soul fire</t>
  </si>
  <si>
    <t>Get caught on Soul Fire</t>
  </si>
  <si>
    <t>blazeandcave:nether/burnt_right_into_your_soul</t>
  </si>
  <si>
    <t>A Soul For A Soul</t>
  </si>
  <si>
    <t>Place down a Soul Campfire</t>
  </si>
  <si>
    <t>soul_campfire</t>
  </si>
  <si>
    <t>blazeandcave:nether/a_soul_for_a_soul</t>
  </si>
  <si>
    <t>Seeing Stars</t>
  </si>
  <si>
    <t>5 Glowstone Dust</t>
  </si>
  <si>
    <t>Obtain Glowstone Dust while in the Nether</t>
  </si>
  <si>
    <t>Mine some glowstone dust from the Nether</t>
  </si>
  <si>
    <t>glowstone_dust</t>
  </si>
  <si>
    <t>blazeandcave:nether/seeing_stars</t>
  </si>
  <si>
    <t>Glows in the Dark</t>
  </si>
  <si>
    <t>8 Spectral Arrows</t>
  </si>
  <si>
    <t>Shoot a mob with a spectral arrow</t>
  </si>
  <si>
    <t>blazeandcave:nether/glows_in_the_dark</t>
  </si>
  <si>
    <t>Glowstone Miner</t>
  </si>
  <si>
    <t>8 Glowstone Blocks</t>
  </si>
  <si>
    <t>Obtain a stack of Glowstone blocks</t>
  </si>
  <si>
    <t>Mine and craft a stack of glowstone blocks</t>
  </si>
  <si>
    <t>blazeandcave:nether/glowstone_miner</t>
  </si>
  <si>
    <t>The Descent</t>
  </si>
  <si>
    <t>Be below y=22 in the Nether dimension</t>
  </si>
  <si>
    <t>Dig down into the deepest depths of the Nether</t>
  </si>
  <si>
    <t>blazeandcave:nether/the_descent</t>
  </si>
  <si>
    <t>Nether Say Die</t>
  </si>
  <si>
    <t>Obtain Ancient Debris</t>
  </si>
  <si>
    <t>Excavate out some Ancient Debris from deep beneath the lava oceans</t>
  </si>
  <si>
    <t>ancient_debris</t>
  </si>
  <si>
    <t>minecraft:nether/obtain_ancient_debris</t>
  </si>
  <si>
    <t>Holy Scrap!</t>
  </si>
  <si>
    <t>Obtain Netherite Scrap</t>
  </si>
  <si>
    <t>Smelt Ancient Debris into Netherite Scrap</t>
  </si>
  <si>
    <t>netherite_scrap</t>
  </si>
  <si>
    <t>blazeandcave:nether/holy_scrap</t>
  </si>
  <si>
    <t>Diamonds Are Not Forever</t>
  </si>
  <si>
    <t>Obtain a Netherite Ingot</t>
  </si>
  <si>
    <t>Use Gold Ingots and Netherite Scrap to make a Netherite Ingot</t>
  </si>
  <si>
    <t>netherite_ingot</t>
  </si>
  <si>
    <t>blazeandcave:nether/diamonds_are_not_forever</t>
  </si>
  <si>
    <t>MOAR Upgraded Tools</t>
  </si>
  <si>
    <t>Obtain a Netherite Pickaxe, Axe, Shovel and Hoe</t>
  </si>
  <si>
    <t>Craft a Netherite Pickaxe, Axe, Shovel and Hoe</t>
  </si>
  <si>
    <t>netherite_pickaxe</t>
  </si>
  <si>
    <t>blazeandcave:nether/moar_upgraded_tools</t>
  </si>
  <si>
    <t>A Knight to Nether Forget</t>
  </si>
  <si>
    <t>Obtain a full suit of Netherite Armor</t>
  </si>
  <si>
    <t>Upgrade your diamond armor to netherite armor</t>
  </si>
  <si>
    <t>minecraft:nether/netherite_armor</t>
  </si>
  <si>
    <t>Soul Runnings!</t>
  </si>
  <si>
    <t>Also works with Soul Soil</t>
  </si>
  <si>
    <t>Step on Soul Sand with Netherite Boots enchanted with Soul Speed III</t>
  </si>
  <si>
    <t>netherite_boots</t>
  </si>
  <si>
    <t>blazeandcave:nether/soul_runnings</t>
  </si>
  <si>
    <t>Ludicrous Speed!</t>
  </si>
  <si>
    <t>Achieve an absolutely insane speed by combining the Speed II effect, Dolphin’s Grace, Depth Strider III, Soul Speed III and sprinting</t>
  </si>
  <si>
    <t>red_glazed_terracotta</t>
  </si>
  <si>
    <t>blazeandcave:nether/ludicrous_speed</t>
  </si>
  <si>
    <t>Fool Me Twice</t>
  </si>
  <si>
    <t>Break a Netherite Hoe</t>
  </si>
  <si>
    <t>Completely use up a netherite hoe. Clearly you have chosen... poorly</t>
  </si>
  <si>
    <t>netherite_hoe</t>
  </si>
  <si>
    <t>blazeandcave:nether/fool_me_twice</t>
  </si>
  <si>
    <t>Netherite Miner</t>
  </si>
  <si>
    <t>8 Ancient Debris</t>
  </si>
  <si>
    <t>Mine a stack of Ancient Debris</t>
  </si>
  <si>
    <t>blazeandcave:nether/netherite_miner</t>
  </si>
  <si>
    <t>Master Netherite Miner</t>
  </si>
  <si>
    <t>8 Netherite Ingots</t>
  </si>
  <si>
    <t>Mine enough Ancient Debris to make a stack of Netherite Ingots (don’t worry, this datapack won’t make you mine a stack of Netherite Blocks, I’m not that evil…)</t>
  </si>
  <si>
    <t>blazeandcave:nether/master_netherite_miner</t>
  </si>
  <si>
    <t>Get a Lode Of This!</t>
  </si>
  <si>
    <t>Craft a Lodestone using Chiseled Stone Bricks and a Netherite Ingot</t>
  </si>
  <si>
    <t>lodestone</t>
  </si>
  <si>
    <t>blazeandcave:nether/get_a_lode_of_this</t>
  </si>
  <si>
    <t>Country Lode, Take Me Home</t>
  </si>
  <si>
    <t>1 Compass</t>
  </si>
  <si>
    <t>Obtain a Lodestone Compass</t>
  </si>
  <si>
    <t>Right click on a Lodestone with a Compass to create a Lodestone Compass</t>
  </si>
  <si>
    <t>minecraft:nether/use_lodestone</t>
  </si>
  <si>
    <t>Lodes of Applications</t>
  </si>
  <si>
    <t>1 Lodestone</t>
  </si>
  <si>
    <t>Use a compass on a lodestone in all three dimensions (not all at the same time)</t>
  </si>
  <si>
    <t>Create a Lodestone Compass in all three dimensions</t>
  </si>
  <si>
    <t>end_stone</t>
  </si>
  <si>
    <t>blazeandcave:nether/lodes_of_applications</t>
  </si>
  <si>
    <t>I'm in Lava With You</t>
  </si>
  <si>
    <t>8 Magma Cream</t>
  </si>
  <si>
    <t>Hit something while you and it are in lava</t>
  </si>
  <si>
    <t>blazeandcave:nether/im_in_lava_with_you</t>
  </si>
  <si>
    <t>Limbo Walker</t>
  </si>
  <si>
    <t>Be above y=128 in the Nether dimension</t>
  </si>
  <si>
    <t>Get above the roof in the nether</t>
  </si>
  <si>
    <t>blazeandcave:nether/limbo_walker</t>
  </si>
  <si>
    <t>Subspace Bubble</t>
  </si>
  <si>
    <t>Use the Nether to travel 7km in the Overworld</t>
  </si>
  <si>
    <t>minecraft:nether/fast_travel</t>
  </si>
  <si>
    <t>Let Me Out!</t>
  </si>
  <si>
    <t>Be in the Nether for twenty days (six hours and forty minutes) without leaving</t>
  </si>
  <si>
    <t>Stay in the Nether for twenty ingame days</t>
  </si>
  <si>
    <t>white_bed</t>
  </si>
  <si>
    <t>blazeandcave:nether/let_me_out</t>
  </si>
  <si>
    <t>Inception</t>
  </si>
  <si>
    <t>Be between y=127 and 127.9999 in the Nether dimension in a non-solid block</t>
  </si>
  <si>
    <t>Build a machine that can break a hole in the roof of the Nether</t>
  </si>
  <si>
    <t>blazeandcave:nether/inception</t>
  </si>
  <si>
    <t>Nether Roof</t>
  </si>
  <si>
    <t>A Terrible Fortress</t>
  </si>
  <si>
    <t>Enter a Nether Fortress</t>
  </si>
  <si>
    <t>Break your way into a Nether Fortress</t>
  </si>
  <si>
    <t>nether_bricks</t>
  </si>
  <si>
    <t>minecraft:nether/find_fortress</t>
  </si>
  <si>
    <t>The Hunt Begins</t>
  </si>
  <si>
    <t>3 Bones, 2 Coal</t>
  </si>
  <si>
    <t>Kill a wither skeleton</t>
  </si>
  <si>
    <t>blazeandcave:nether/the_hunt_begins</t>
  </si>
  <si>
    <t>Spooky Scary Skeleton</t>
  </si>
  <si>
    <t>1 Looting II Enchanted Book</t>
  </si>
  <si>
    <t>Obtain a wither skeleton's skull</t>
  </si>
  <si>
    <t>minecraft:nether/get_wither_skull</t>
  </si>
  <si>
    <t>Withering Heights</t>
  </si>
  <si>
    <t>1 Wither Skeleton Skull</t>
  </si>
  <si>
    <t>Summon the wither</t>
  </si>
  <si>
    <t>minecraft:nether/summon_wither</t>
  </si>
  <si>
    <t>Decaying Beauty</t>
  </si>
  <si>
    <t>4 Wither Roses</t>
  </si>
  <si>
    <t>Pick up some Wither Roses from the damage the Wither wrought on your world</t>
  </si>
  <si>
    <t>wither_rose</t>
  </si>
  <si>
    <t>blazeandcave:nether/decaying_beauty</t>
  </si>
  <si>
    <t>Bring Home the Beacon</t>
  </si>
  <si>
    <t>Place a beacon on at least a level 1 pyramid</t>
  </si>
  <si>
    <t>Construct and place a beacon</t>
  </si>
  <si>
    <t>beacon</t>
  </si>
  <si>
    <t>minecraft:nether/create_beacon</t>
  </si>
  <si>
    <t>Beaconator</t>
  </si>
  <si>
    <t>Place a beacon on at least a level 4 pyramid</t>
  </si>
  <si>
    <t>Bring a beacon to full power</t>
  </si>
  <si>
    <t>minecraft:nether/create_full_beacon</t>
  </si>
  <si>
    <t>Instant Mining</t>
  </si>
  <si>
    <t>Hold a Diamond or Netherite Pickaxe enchanted with Efficiency V while under the Haste II effect</t>
  </si>
  <si>
    <t>blazeandcave:nether/instant_mining</t>
  </si>
  <si>
    <t>Beacon Overlord</t>
  </si>
  <si>
    <t>1 Nether Star</t>
  </si>
  <si>
    <t>Obtain Speed, Haste, Resistance, Jump Boost, Strength and Regeneration from beacons</t>
  </si>
  <si>
    <t>Acquire every beacon-induced effect at once</t>
  </si>
  <si>
    <t>blazeandcave:nether/beacon_overlord</t>
  </si>
  <si>
    <t>Into Fire</t>
  </si>
  <si>
    <t>2 Blaze Rods</t>
  </si>
  <si>
    <t>Relieve a Blaze of its rod</t>
  </si>
  <si>
    <t>minecraft:nether/obtain_blaze_rod</t>
  </si>
  <si>
    <t>The Nether's Shield</t>
  </si>
  <si>
    <t>3 Blaze Rods</t>
  </si>
  <si>
    <t>Block a Blaze's fireball with a shield</t>
  </si>
  <si>
    <t>Block some Blaze fireballs</t>
  </si>
  <si>
    <t>blazeandcave:nether/the_nethers_shield</t>
  </si>
  <si>
    <t>Blaze Extinguisher</t>
  </si>
  <si>
    <t>8 Blaze Rods, 1 Flame Enchanted Book</t>
  </si>
  <si>
    <t>Collect a stack of blaze rods</t>
  </si>
  <si>
    <t>blaze_spawn_egg</t>
  </si>
  <si>
    <t>blazeandcave:nether/blaze_extinguisher</t>
  </si>
  <si>
    <t>Time to Fire Back</t>
  </si>
  <si>
    <t>Craft a stack of fire charges</t>
  </si>
  <si>
    <t>blazeandcave:nether/time_to_fire_back</t>
  </si>
  <si>
    <t>Basis of Brewing</t>
  </si>
  <si>
    <t>Obtain nether wart</t>
  </si>
  <si>
    <t>Harvest some nether wart from a nether fortress</t>
  </si>
  <si>
    <t>blazeandcave:nether/basis_of_brewing</t>
  </si>
  <si>
    <t>Local Brewery</t>
  </si>
  <si>
    <t>Obtain a brewing stand</t>
  </si>
  <si>
    <t>Craft a brewing stand for brewing potions</t>
  </si>
  <si>
    <t>minecraft:nether/brew_potion</t>
  </si>
  <si>
    <t>Ender's Chest</t>
  </si>
  <si>
    <t>1 Eye of Ender</t>
  </si>
  <si>
    <t>Obtain an ender chest</t>
  </si>
  <si>
    <t>Craft an ender chest for some extra inventory space</t>
  </si>
  <si>
    <t>blazeandcave:nether/enders_chest</t>
  </si>
  <si>
    <t>Eye Spy</t>
  </si>
  <si>
    <t>2 Eyes of Ender</t>
  </si>
  <si>
    <t>Enter a stronghold</t>
  </si>
  <si>
    <t>Follow an Ender Eye</t>
  </si>
  <si>
    <t>minecraft:story/follow_ender_eye</t>
  </si>
  <si>
    <t>The End?</t>
  </si>
  <si>
    <t>Enter an end portal</t>
  </si>
  <si>
    <t>Enter the End Portal</t>
  </si>
  <si>
    <t>end_portal_frame</t>
  </si>
  <si>
    <t>minecraft:story/enter_the_end</t>
  </si>
  <si>
    <t>Potions</t>
  </si>
  <si>
    <t>Brew any potion in the brewing stand</t>
  </si>
  <si>
    <t>Brewing potions with helpful and hindering effects</t>
  </si>
  <si>
    <t>blazeandcave:potion/root</t>
  </si>
  <si>
    <t>Failed Concoctions</t>
  </si>
  <si>
    <t>Brew a mundane and thick potion in the brewing stand</t>
  </si>
  <si>
    <t>Brew a Mundane and Thick Potion</t>
  </si>
  <si>
    <t>blazeandcave:potion/failed_concoctions</t>
  </si>
  <si>
    <t>Pots</t>
  </si>
  <si>
    <t>Death By Magic</t>
  </si>
  <si>
    <t>Kill a mob with a splash potion</t>
  </si>
  <si>
    <t>blazeandcave:potion/death_by_magic</t>
  </si>
  <si>
    <t>Performance-Enhancing Drugs</t>
  </si>
  <si>
    <t>4 Sugar</t>
  </si>
  <si>
    <t>Take a speed potion out of a brewing stand</t>
  </si>
  <si>
    <t>Brew a Speed Potion for cheating on athletics</t>
  </si>
  <si>
    <t>blazeandcave:potion/performance_enhancing_drugs</t>
  </si>
  <si>
    <t>Super Strength</t>
  </si>
  <si>
    <t>4 Blaze Powder</t>
  </si>
  <si>
    <t>Take a strength potion out of a brewing stand</t>
  </si>
  <si>
    <t>Brew a Strength Potion for cheating on weightlifting</t>
  </si>
  <si>
    <t>blazeandcave:potion/super_strength</t>
  </si>
  <si>
    <t>A Weak Brew</t>
  </si>
  <si>
    <t>Take a weakness potion out of a brewing stand</t>
  </si>
  <si>
    <t>Brew up a potion of Weakness</t>
  </si>
  <si>
    <t>blazeandcave:potion/a_weak_brew</t>
  </si>
  <si>
    <t>Zombie Doctor</t>
  </si>
  <si>
    <t>1 Golden Apple</t>
  </si>
  <si>
    <t>Cure a zombie villager</t>
  </si>
  <si>
    <t>minecraft:story/cure_zombie_villager</t>
  </si>
  <si>
    <t>Mad Scientist</t>
  </si>
  <si>
    <t>16 Golden Apples, 16 Fermented Spider Eyes</t>
  </si>
  <si>
    <t>Cure a zombie villager of every profession</t>
  </si>
  <si>
    <t>blazeandcave:potion/mad_scientist</t>
  </si>
  <si>
    <t>Medic!</t>
  </si>
  <si>
    <t>3 Glistering Melons</t>
  </si>
  <si>
    <t>Take a healing potion out of a brewing stand</t>
  </si>
  <si>
    <t>Brew a healing potion</t>
  </si>
  <si>
    <t>glistering_melon_slice</t>
  </si>
  <si>
    <t>blazeandcave:potion/medic</t>
  </si>
  <si>
    <t>Hyper-healing</t>
  </si>
  <si>
    <t>Brew and drink a regeneration potion</t>
  </si>
  <si>
    <t>blazeandcave:potion/hyper_healing</t>
  </si>
  <si>
    <t>Nocturnal</t>
  </si>
  <si>
    <t>Brew and drink a night vision potion</t>
  </si>
  <si>
    <t>blazeandcave:potion/nocturnal</t>
  </si>
  <si>
    <t>The Invisible Player</t>
  </si>
  <si>
    <t>Brew and drink an invisibility potion</t>
  </si>
  <si>
    <t>blazeandcave:potion/the_invisible_player</t>
  </si>
  <si>
    <t>Stealth Takedown</t>
  </si>
  <si>
    <t>Kill a Creeper that is less than 5 blocks away while you are invisible</t>
  </si>
  <si>
    <t>Dispatch a Creeper at melee range while you are invisible</t>
  </si>
  <si>
    <t>blazeandcave:potion/stealth_takedown</t>
  </si>
  <si>
    <t>True Feather Falling</t>
  </si>
  <si>
    <t>Brew and drink a slow falling potion</t>
  </si>
  <si>
    <t>blazeandcave:potion/true_feather_falling</t>
  </si>
  <si>
    <t>Tank</t>
  </si>
  <si>
    <t>3 Scutes</t>
  </si>
  <si>
    <t>Drink a Potion of the Turtle Master</t>
  </si>
  <si>
    <t>Become nearly invincible to all damage using a Turtle Master Potion</t>
  </si>
  <si>
    <t>blazeandcave:potion/tank</t>
  </si>
  <si>
    <t>Secret of the Ooze</t>
  </si>
  <si>
    <t>1 Slime Block</t>
  </si>
  <si>
    <t>Take an oozing potion out of a brewing stand</t>
  </si>
  <si>
    <t>Use a Slime Block to brew a Potion of Oozing</t>
  </si>
  <si>
    <t>blazeandcave:potion/secret_of_the_ooze</t>
  </si>
  <si>
    <t>Final Shout</t>
  </si>
  <si>
    <t>Kill a mob that has the Wind Charged, Weaving and Oozing effects</t>
  </si>
  <si>
    <t>blazeandcave:potion/final_shout</t>
  </si>
  <si>
    <t>You Need a Mint</t>
  </si>
  <si>
    <t>4 Dragon's Breath</t>
  </si>
  <si>
    <t>Obtain dragon's breath</t>
  </si>
  <si>
    <t>Collect dragon's breath in a glass bottle</t>
  </si>
  <si>
    <t>minecraft:end/dragon_breath</t>
  </si>
  <si>
    <t>Noxious Fumes</t>
  </si>
  <si>
    <t>8 Dragon's Breath</t>
  </si>
  <si>
    <t>Obtain a lingering potion</t>
  </si>
  <si>
    <t>Use dragon's breath to brew up lingering potions</t>
  </si>
  <si>
    <t>lingering_potion</t>
  </si>
  <si>
    <t>blazeandcave:potion/noxious_fumes</t>
  </si>
  <si>
    <t>Gas!</t>
  </si>
  <si>
    <t>Kill a mob using a lingering potion</t>
  </si>
  <si>
    <t>blazeandcave:potion/gas</t>
  </si>
  <si>
    <t>Imbued Projectiles</t>
  </si>
  <si>
    <t>They must be crafted - not just obtained</t>
  </si>
  <si>
    <t>Craft some Tipped Arrows using arrows and a Lingering Potion</t>
  </si>
  <si>
    <t>blazeandcave:potion/imbued_projectiles</t>
  </si>
  <si>
    <t>Furious Ammunition</t>
  </si>
  <si>
    <t>64 Dragon's Breath</t>
  </si>
  <si>
    <t>Craft every type of tipped arrow</t>
  </si>
  <si>
    <t>blazeandcave:potion/furious_ammunition</t>
  </si>
  <si>
    <t>Stayin' Frosty</t>
  </si>
  <si>
    <t>2 Magma Cream</t>
  </si>
  <si>
    <t>Be in lava while having the Fire Resistance effect</t>
  </si>
  <si>
    <t>Swim in lava while having the Fire Resistance effect</t>
  </si>
  <si>
    <t>blazeandcave:potion/stayin_frosty</t>
  </si>
  <si>
    <t>Marine Marauder</t>
  </si>
  <si>
    <t>Be in water while having the Water Breathing effect</t>
  </si>
  <si>
    <t>Swim in water while having the Water Breathing effect</t>
  </si>
  <si>
    <t>blazeandcave:potion/marine_marauder</t>
  </si>
  <si>
    <t>Hopping Mad</t>
  </si>
  <si>
    <t>1 Rabbit's Foot</t>
  </si>
  <si>
    <t>Get the jump boost effect</t>
  </si>
  <si>
    <t>Get jump boost from a beacon or potion</t>
  </si>
  <si>
    <t>blazeandcave:potion/hopping_mad</t>
  </si>
  <si>
    <t>A Furious Cocktail</t>
  </si>
  <si>
    <t>Have every potion effect applied at the same time</t>
  </si>
  <si>
    <t>minecraft:nether/all_potions</t>
  </si>
  <si>
    <t>A much more doable challenge</t>
  </si>
  <si>
    <t>Get all the effects possible during your life (not all at the same time)</t>
  </si>
  <si>
    <t>glass_bottle</t>
  </si>
  <si>
    <t>blazeandcave:potion/a_much_more_doable_challenge</t>
  </si>
  <si>
    <t>A Furious Test Subject</t>
  </si>
  <si>
    <t>Get attacked by a mob with every potion effect</t>
  </si>
  <si>
    <t>blazeandcave:potion/a_furious_test_subject</t>
  </si>
  <si>
    <t>Gas Bomb</t>
  </si>
  <si>
    <t>Ignite a Creeper of each possible effect using Flint and Steel</t>
  </si>
  <si>
    <t>blazeandcave:potion/gas_bomb</t>
  </si>
  <si>
    <t>The End</t>
  </si>
  <si>
    <t>Be in the End dimension</t>
  </si>
  <si>
    <t>Or the beginning?</t>
  </si>
  <si>
    <t>End</t>
  </si>
  <si>
    <t>minecraft:end/root</t>
  </si>
  <si>
    <t>Dragon Shield</t>
  </si>
  <si>
    <t>Block an attack from the Ender Dragon with your shield</t>
  </si>
  <si>
    <t>Attempt to block the dragon's attacks</t>
  </si>
  <si>
    <t>blazeandcave:end/dragon_shield</t>
  </si>
  <si>
    <t>Is it a Plane?</t>
  </si>
  <si>
    <t>Look at the Ender Dragon through a Spyglass</t>
  </si>
  <si>
    <t>minecraft:adventure/spyglass_at_dragon</t>
  </si>
  <si>
    <t>Free the End</t>
  </si>
  <si>
    <t>Land the killing blow on the Ender Dragon</t>
  </si>
  <si>
    <t>Good luck</t>
  </si>
  <si>
    <t>dragon_head</t>
  </si>
  <si>
    <t>minecraft:end/kill_dragon</t>
  </si>
  <si>
    <t>The Actual End</t>
  </si>
  <si>
    <t>Get killed by an Enderman in the End</t>
  </si>
  <si>
    <t>blazeandcave:end/the_actual_end</t>
  </si>
  <si>
    <t>The Point of No Return</t>
  </si>
  <si>
    <t>Be under y=0 in the End dimension</t>
  </si>
  <si>
    <t>Fall into the void</t>
  </si>
  <si>
    <t>blazeandcave:end/the_point_of_no_return</t>
  </si>
  <si>
    <t>Event Horizon</t>
  </si>
  <si>
    <t>64 Firework Rockets (Flight Duration: 3)</t>
  </si>
  <si>
    <t>Fly under y=-64 for about a second then get up above y=0 without dying. Only works in the End</t>
  </si>
  <si>
    <t>Survive void damage</t>
  </si>
  <si>
    <t>blazeandcave:end/event_horizon</t>
  </si>
  <si>
    <t>Cow Jumped Over The Moon</t>
  </si>
  <si>
    <t>Kill a Cow in the End</t>
  </si>
  <si>
    <t>Bring a cow from the overworld to the End and then kill it</t>
  </si>
  <si>
    <t>blazeandcave:end/cow_jumped_over_the_moon</t>
  </si>
  <si>
    <t>The Void Frogs</t>
  </si>
  <si>
    <t>Kill a Frog that has the Slow Falling effect and is below y=0 in the End</t>
  </si>
  <si>
    <t>Lower a Frog into the void using a Slow Falling potion, then kill it so it becomes one with the void</t>
  </si>
  <si>
    <t>pearlescent_froglight</t>
  </si>
  <si>
    <t>blazeandcave:end/the_void_frogs</t>
  </si>
  <si>
    <t>The Next Generation</t>
  </si>
  <si>
    <t>Obtain the Dragon Egg</t>
  </si>
  <si>
    <t>Hold the Dragon Egg</t>
  </si>
  <si>
    <t>dragon_egg</t>
  </si>
  <si>
    <t>minecraft:end/dragon_egg</t>
  </si>
  <si>
    <t>The Start of Something</t>
  </si>
  <si>
    <t>1 End Crystal</t>
  </si>
  <si>
    <t>Obtain an End Crystal</t>
  </si>
  <si>
    <t>Craft your first ender crystal</t>
  </si>
  <si>
    <t>end_crystal</t>
  </si>
  <si>
    <t>blazeandcave:end/the_start_of_something</t>
  </si>
  <si>
    <t>The End... Again</t>
  </si>
  <si>
    <t>Respawn the Ender Dragon</t>
  </si>
  <si>
    <t>minecraft:end/respawn_dragon</t>
  </si>
  <si>
    <t>What For?</t>
  </si>
  <si>
    <t>Craft 64 ender crystals</t>
  </si>
  <si>
    <t>blazeandcave:end/what_for</t>
  </si>
  <si>
    <t>Ring of the End</t>
  </si>
  <si>
    <t>4 Dragon Heads, 32 Diamonds</t>
  </si>
  <si>
    <t>Land the killing blow on the Ender Dragon 20 times</t>
  </si>
  <si>
    <t>Defeat the Ender Dragon 20 times</t>
  </si>
  <si>
    <t>blazeandcave:end/ring_of_the_end</t>
  </si>
  <si>
    <t>Bosses</t>
  </si>
  <si>
    <t>The Beginning</t>
  </si>
  <si>
    <t>Kill the Wither in the End</t>
  </si>
  <si>
    <t>Say goodbye to the Wither</t>
  </si>
  <si>
    <t>blazeandcave:end/the_beginning</t>
  </si>
  <si>
    <t>Remote Getaway</t>
  </si>
  <si>
    <t>Enter an End Gateway OR be beyond 750 or -750 in the x or z direction in the End</t>
  </si>
  <si>
    <t>Escape the island</t>
  </si>
  <si>
    <t>minecraft:end/enter_end_gateway</t>
  </si>
  <si>
    <t>End Bricks!</t>
  </si>
  <si>
    <t>Obtain End Stone Bricks</t>
  </si>
  <si>
    <t>Craft end bricks from end stone</t>
  </si>
  <si>
    <t>end_stone_bricks</t>
  </si>
  <si>
    <t>blazeandcave:end/end_bricks</t>
  </si>
  <si>
    <t>Getting Chorus</t>
  </si>
  <si>
    <t>8 Chorus Fruit and 1 Chorus Flower</t>
  </si>
  <si>
    <t>Obtain Chorus Fruit</t>
  </si>
  <si>
    <t>Attack a chorus tree until it collapses</t>
  </si>
  <si>
    <t>chorus_fruit</t>
  </si>
  <si>
    <t>blazeandcave:end/getting_chorus</t>
  </si>
  <si>
    <t>Extrabiologist</t>
  </si>
  <si>
    <t>4 Chorus Flowers</t>
  </si>
  <si>
    <t>Place a chorus flower in the Overworld</t>
  </si>
  <si>
    <t>Plant a chorus flower in the Overworld for study</t>
  </si>
  <si>
    <t>chorus_flower</t>
  </si>
  <si>
    <t>blazeandcave:end/extrabiologist</t>
  </si>
  <si>
    <t>Purpurfect!</t>
  </si>
  <si>
    <t>Craft or collect purpur blocks, stairs, pillars and slabs</t>
  </si>
  <si>
    <t>purpur_pillar</t>
  </si>
  <si>
    <t>blazeandcave:end/purpurfect</t>
  </si>
  <si>
    <t>A Wizard’s Breakfast</t>
  </si>
  <si>
    <t>Eat 64 chorus fruit with less than five seconds in-between each fruit and no other food eaten</t>
  </si>
  <si>
    <t>Eat a stack of Chorus Fruit in one go</t>
  </si>
  <si>
    <t>popped_chorus_fruit</t>
  </si>
  <si>
    <t>blazeandcave:end/a_wizards_breakfast</t>
  </si>
  <si>
    <t>In Your Face, Neil Armstrong</t>
  </si>
  <si>
    <t>8 Red Sand</t>
  </si>
  <si>
    <t>Place potatoes in the End</t>
  </si>
  <si>
    <t>Colonise the End with potato crops</t>
  </si>
  <si>
    <t>blazeandcave:end/in_your_face_neil_armstrong</t>
  </si>
  <si>
    <t>I'm Coming Back, Murph!</t>
  </si>
  <si>
    <t>Be beyond 10,000 or -10,000 in the x or z direction in the End</t>
  </si>
  <si>
    <t>Travel far into the End dimension</t>
  </si>
  <si>
    <t>blazeandcave:end/im_coming_back_murph</t>
  </si>
  <si>
    <t>No! Don't let me leave, Murph!</t>
  </si>
  <si>
    <t>Be beyond 100,000 or -100,000 in the x or z direction in the End</t>
  </si>
  <si>
    <t>Travel so far into the End dimension you might as well be on another planet</t>
  </si>
  <si>
    <t>chorus_plant</t>
  </si>
  <si>
    <t>blazeandcave:end/no_dont_let_me_leave_murph</t>
  </si>
  <si>
    <t>Void Walker</t>
  </si>
  <si>
    <t>Enter The End, Small End Islands, End Midlands, End Highlands and End Barrens</t>
  </si>
  <si>
    <t>Explore every End biome</t>
  </si>
  <si>
    <t>blazeandcave:end/void_walker</t>
  </si>
  <si>
    <t>Unending Hell</t>
  </si>
  <si>
    <t>Enter the End's exit portal but arrive in the Nether by having your spawn set to a Respawn Anchor</t>
  </si>
  <si>
    <t>Travel directly from the End to the Nether</t>
  </si>
  <si>
    <t>crimson_nylium</t>
  </si>
  <si>
    <t>blazeandcave:end/unending_hell</t>
  </si>
  <si>
    <t>Dimension Penetration</t>
  </si>
  <si>
    <t>Get hit by an arrow that has visited every dimension during its lifetime</t>
  </si>
  <si>
    <t>blazeandcave:end/dimension_penetration</t>
  </si>
  <si>
    <t>The City at the End of the Game</t>
  </si>
  <si>
    <t>1 Shulker Shell</t>
  </si>
  <si>
    <t>Enter an End City</t>
  </si>
  <si>
    <t>Go on in, what could happen?</t>
  </si>
  <si>
    <t>purpur_block</t>
  </si>
  <si>
    <t>minecraft:end/find_end_city</t>
  </si>
  <si>
    <t>For Mother, Clarence</t>
  </si>
  <si>
    <t>Kill a shulker</t>
  </si>
  <si>
    <t>shulker_box</t>
  </si>
  <si>
    <t>blazeandcave:end/for_mother_clarence</t>
  </si>
  <si>
    <t>Portable Storage</t>
  </si>
  <si>
    <t>2 Shulker Shells</t>
  </si>
  <si>
    <t>Obtain a shulker box of any color</t>
  </si>
  <si>
    <t>Use shulker shells to craft a shulker box</t>
  </si>
  <si>
    <t>purple_shulker_box</t>
  </si>
  <si>
    <t>blazeandcave:end/portable_storage</t>
  </si>
  <si>
    <t>Organizational Wizard</t>
  </si>
  <si>
    <t>Obtain a shulker box of any color that is named "Blocks"</t>
  </si>
  <si>
    <t>Name a Shulker Box 'Blocks' for storing your blocks</t>
  </si>
  <si>
    <t>blazeandcave:end/organizational_wizard</t>
  </si>
  <si>
    <t>Somewhere Over the Rainbow...</t>
  </si>
  <si>
    <t>8 Shulker Shells</t>
  </si>
  <si>
    <t>Craft all 16 shulker box types</t>
  </si>
  <si>
    <t>lime_shulker_box</t>
  </si>
  <si>
    <t>blazeandcave:end/somewhere_over_the_rainbow</t>
  </si>
  <si>
    <t>Shouldn't my shield levitate too?</t>
  </si>
  <si>
    <t>3 Shulker Shells</t>
  </si>
  <si>
    <t>Block a Shulker's bullet with your shield</t>
  </si>
  <si>
    <t>blazeandcave:end/shouldnt_my_shield_levitate_too</t>
  </si>
  <si>
    <t>Shulker Breaker</t>
  </si>
  <si>
    <t>Collect a stack of shulker shells</t>
  </si>
  <si>
    <t>shulker_spawn_egg</t>
  </si>
  <si>
    <t>blazeandcave:end/shulker_breaker</t>
  </si>
  <si>
    <t>Great View From Up Here</t>
  </si>
  <si>
    <t>Levitate up a distance of 50 metres</t>
  </si>
  <si>
    <t>shulker_shell</t>
  </si>
  <si>
    <t>minecraft:end/levitate</t>
  </si>
  <si>
    <t>Dogfight</t>
  </si>
  <si>
    <t>1 Power III Enchanted Book</t>
  </si>
  <si>
    <t>Kill a Skeleton or Stray while both you and it have levitation</t>
  </si>
  <si>
    <t>blazeandcave:end/dogfight</t>
  </si>
  <si>
    <t>Anti-Gravity Generator</t>
  </si>
  <si>
    <t>6 Shulker Shells</t>
  </si>
  <si>
    <t>Get levitation in the Overworld</t>
  </si>
  <si>
    <t>Bring a Shulker into the Overworld and let it give you anti-gravity</t>
  </si>
  <si>
    <t>light_blue_shulker_box</t>
  </si>
  <si>
    <t>blazeandcave:end/anti_gravity_generator</t>
  </si>
  <si>
    <t>Off With His Head!</t>
  </si>
  <si>
    <t>Obtain a Dragon Head</t>
  </si>
  <si>
    <t>Collect a dragon's head from the bow of an end ship</t>
  </si>
  <si>
    <t>blazeandcave:end/off_with_his_head</t>
  </si>
  <si>
    <t>Dragon vs Dragon</t>
  </si>
  <si>
    <t>1 Elytra</t>
  </si>
  <si>
    <t>Upon the Ender Dragon's summon be wearing a Dragon Head for the whole fight, and deal the killing blow</t>
  </si>
  <si>
    <t>Kill the Ender Dragon while wearing a Dragon Head</t>
  </si>
  <si>
    <t>blazeandcave:end/dragon_vs_dragon</t>
  </si>
  <si>
    <t>Sky's the Limit</t>
  </si>
  <si>
    <t>Find an Elytra</t>
  </si>
  <si>
    <t>minecraft:end/elytra</t>
  </si>
  <si>
    <t>Some Breakthrough</t>
  </si>
  <si>
    <t>4 Phantom Membranes</t>
  </si>
  <si>
    <t>Use up an elytra</t>
  </si>
  <si>
    <t>Exhaust your elytra</t>
  </si>
  <si>
    <t>blazeandcave:end/some_breakthrough</t>
  </si>
  <si>
    <t>Rocketman</t>
  </si>
  <si>
    <t>64 Gunpowder</t>
  </si>
  <si>
    <t>All inventory slots, including your hotbar and offhand, must be filled, hence requiring 37 stacks of rockets</t>
  </si>
  <si>
    <t>Fill your inventory with full stacks of firework rockets</t>
  </si>
  <si>
    <t>blazeandcave:end/rocketman</t>
  </si>
  <si>
    <t>Sky High</t>
  </si>
  <si>
    <t>Be above y=325</t>
  </si>
  <si>
    <t>Climb up to the world height limit</t>
  </si>
  <si>
    <t>blazeandcave:end/sky_high</t>
  </si>
  <si>
    <t>Uh, Houston? We have a problem</t>
  </si>
  <si>
    <t>32 Firework Rockets (Flight Duration: 1), 1 Feather Falling IV Enchanted Book</t>
  </si>
  <si>
    <t>Be above y=1000</t>
  </si>
  <si>
    <t>Fly up to a ridiculous height</t>
  </si>
  <si>
    <t>blazeandcave:end/uh_houston_we_have_a_problem</t>
  </si>
  <si>
    <t>Diver's Dozen</t>
  </si>
  <si>
    <t>Kill 12 mobs while airborne using Elytra. Stopping flight or touching liquid will reset your progress</t>
  </si>
  <si>
    <t>blazeandcave:end/divers_dozen</t>
  </si>
  <si>
    <t>Super Challenges</t>
  </si>
  <si>
    <t>Land the killing blow on the Ender Dragon OR leave the End through the exit portal OR obtain the "Remote Getaway" OR "Sky's the Limit" advancements</t>
  </si>
  <si>
    <t>Good luck completing... any of these ;)</t>
  </si>
  <si>
    <t>blazeandcave:challenges/root</t>
  </si>
  <si>
    <t>All the Blocks!</t>
  </si>
  <si>
    <r>
      <rPr>
        <rFont val="Arial"/>
      </rPr>
      <t xml:space="preserve">Obtain the blocks listed on this page: </t>
    </r>
    <r>
      <rPr>
        <rFont val="Arial"/>
        <color rgb="FF1155CC"/>
        <u/>
      </rPr>
      <t>https://minecraft.wiki/w/Block#List_of_blocks</t>
    </r>
  </si>
  <si>
    <t>Obtain all the blocks!</t>
  </si>
  <si>
    <t>polished_andesite</t>
  </si>
  <si>
    <t>blazeandcave:challenges/all_the_blocks</t>
  </si>
  <si>
    <t>All the Items!</t>
  </si>
  <si>
    <r>
      <rPr>
        <rFont val="Arial"/>
      </rPr>
      <t xml:space="preserve">Obtain the items listed on this page: </t>
    </r>
    <r>
      <rPr>
        <rFont val="Arial"/>
        <color rgb="FF1155CC"/>
        <u/>
      </rPr>
      <t>https://minecraft.wiki/w/Item#List_of_items</t>
    </r>
  </si>
  <si>
    <t>Obtain all the items!</t>
  </si>
  <si>
    <t>blazeandcave:challenges/all_the_items</t>
  </si>
  <si>
    <t>Stack all the Blocks!</t>
  </si>
  <si>
    <r>
      <rPr>
        <rFont val="Arial"/>
        <color theme="1"/>
      </rPr>
      <t xml:space="preserve">Obtain the maximum possible stack size for each block from "All the Blocks". </t>
    </r>
    <r>
      <rPr>
        <rFont val="Arial"/>
        <b/>
        <i/>
        <color theme="1"/>
      </rPr>
      <t>See requirement notes below for some exceptions</t>
    </r>
  </si>
  <si>
    <t>Obtain a stack of all the blocks!</t>
  </si>
  <si>
    <t>blazeandcave:challenges/stack_all_the_blocks</t>
  </si>
  <si>
    <t>Stack all the Items!</t>
  </si>
  <si>
    <r>
      <rPr>
        <rFont val="Arial"/>
        <color theme="1"/>
      </rPr>
      <t xml:space="preserve">Obtain the maximum possible stack size for each item from "All the Items". </t>
    </r>
    <r>
      <rPr>
        <rFont val="Arial"/>
        <b/>
        <i/>
        <color theme="1"/>
      </rPr>
      <t>See requirement notes below for some exceptions</t>
    </r>
  </si>
  <si>
    <t>Obtain a stack of all the items!</t>
  </si>
  <si>
    <t>blazeandcave:challenges/stack_all_the_items</t>
  </si>
  <si>
    <t>Telescopic</t>
  </si>
  <si>
    <t>Look at every mob using a Spyglass, each from at least 25 blocks away</t>
  </si>
  <si>
    <t>blazeandcave:challenges/telescopic</t>
  </si>
  <si>
    <t>Send every mob to the Nether... and kill them all there</t>
  </si>
  <si>
    <t>blazeandcave:challenges/highway_to_hell</t>
  </si>
  <si>
    <t>Send every mob to the End... and kill them all there</t>
  </si>
  <si>
    <t>blazeandcave:challenges/endergeddon</t>
  </si>
  <si>
    <t>Kill every mob in the game with splash potions</t>
  </si>
  <si>
    <t>blazeandcave:challenges/potion_master</t>
  </si>
  <si>
    <t>Kill every mob in the game with lingering potions</t>
  </si>
  <si>
    <t>blazeandcave:challenges/biological_warfare</t>
  </si>
  <si>
    <t>Strike a Pig, Mooshroom, Villager and Creeper at the same time with the lightning bolt from a Channeling Trident</t>
  </si>
  <si>
    <t>Strike every mob that can transform with lightning at once</t>
  </si>
  <si>
    <t>blazeandcave:challenges/nuclear_fusion</t>
  </si>
  <si>
    <t>Zombie Apocalypse</t>
  </si>
  <si>
    <t>Obtain a stack of Zombie Heads</t>
  </si>
  <si>
    <t>blazeandcave:challenges/zombie_apocalypse</t>
  </si>
  <si>
    <t>Rise of the Skeletons</t>
  </si>
  <si>
    <t>Obtain a stack of Skeleton Skulls</t>
  </si>
  <si>
    <t>blazeandcave:challenges/rise_of_the_skeletons</t>
  </si>
  <si>
    <t>Creepergeddon</t>
  </si>
  <si>
    <t>Obtain a stack of Creeper Heads</t>
  </si>
  <si>
    <t>blazeandcave:challenges/creepergeddon</t>
  </si>
  <si>
    <t>Poglin!</t>
  </si>
  <si>
    <t>Obtain a stack of Piglin Heads</t>
  </si>
  <si>
    <t>blazeandcave:challenges/poglin</t>
  </si>
  <si>
    <t>Dragon Army</t>
  </si>
  <si>
    <t>Obtain a stack of Ender Dragon Heads</t>
  </si>
  <si>
    <t>blazeandcave:challenges/dragon_army</t>
  </si>
  <si>
    <t>Constellation</t>
  </si>
  <si>
    <t>Collect 64 Nether Stars</t>
  </si>
  <si>
    <t>blazeandcave:challenges/constellation</t>
  </si>
  <si>
    <t>Warlock</t>
  </si>
  <si>
    <t>Obtain a stack of Beacons</t>
  </si>
  <si>
    <t>blazeandcave:challenges/warlock</t>
  </si>
  <si>
    <t>Hearts of the Stack</t>
  </si>
  <si>
    <t>Collect 64 Hearts of the Sea</t>
  </si>
  <si>
    <t>heart_of_the_sea</t>
  </si>
  <si>
    <t>blazeandcave:challenges/hearts_of_the_stack</t>
  </si>
  <si>
    <t>Abyss Lord</t>
  </si>
  <si>
    <t>Obtain a stack of Conduits</t>
  </si>
  <si>
    <t>conduit</t>
  </si>
  <si>
    <t>blazeandcave:challenges/abyss_lord</t>
  </si>
  <si>
    <t>We're in the endgame now</t>
  </si>
  <si>
    <t>You have to both start a raid in the End and finish a raid in the End to gain this advancement</t>
  </si>
  <si>
    <t>Construct a village in the End and defend it from a raid</t>
  </si>
  <si>
    <t>blazeandcave:challenges/were_in_the_endgame_now</t>
  </si>
  <si>
    <t>Dragon vs Dragon II</t>
  </si>
  <si>
    <t>Once the Ender Dragon becomes attackable you must not be touching the ground AND be wearing a Dragon Head for the whole fight, and deal the killing blow. It also resets if you ride any vehicle OR touch water or lava</t>
  </si>
  <si>
    <t>Defeat the Ender Dragon while wearing a dragon head... without touching the ground</t>
  </si>
  <si>
    <t>blazeandcave:challenges/dragon_vs_dragon_ii_electric_boogaloo</t>
  </si>
  <si>
    <t>Dragon vs Wither: Pre-Sequel</t>
  </si>
  <si>
    <t>Once the Wither becomes attackable you must not be touching the ground AND be wearing a Dragon Head for the whole fight, and deal the killing blow. It also resets if you ride any vehicle OR touch water, lava or a climbable block such as ladders</t>
  </si>
  <si>
    <t>Defeat the Wither while wearing a Dragon head... without touching the ground</t>
  </si>
  <si>
    <t>blazeandcave:challenges/dragon_vs_wither_the_pre_sequel</t>
  </si>
  <si>
    <t>Summon the Ender Dragon, the Wither, and a Raid within thirty seconds of each other, then defeat all of them without taking damage</t>
  </si>
  <si>
    <t>leather_helmet</t>
  </si>
  <si>
    <t>blazeandcave:challenges/the_perfect_run</t>
  </si>
  <si>
    <t>Riddle Me This</t>
  </si>
  <si>
    <t>See below for description and walkthrough (as it is very long)</t>
  </si>
  <si>
    <t>blazeandcave:challenges/riddle_me_this</t>
  </si>
  <si>
    <t>Riddle</t>
  </si>
  <si>
    <t>16 Diamonds</t>
  </si>
  <si>
    <t>Open up every type of loot chest</t>
  </si>
  <si>
    <t>blazeandcave:challenges/i_am_loot</t>
  </si>
  <si>
    <t>The World Is Ending</t>
  </si>
  <si>
    <t>At least ten withers must be in existence up to 128 blocks away from you (checked once every ten seconds)</t>
  </si>
  <si>
    <t>Summon ten withers at once</t>
  </si>
  <si>
    <t>blazeandcave:challenges/the_world_is_ending</t>
  </si>
  <si>
    <t>Overwarden</t>
  </si>
  <si>
    <t>Have fifty Wardens present within 100 blocks of you</t>
  </si>
  <si>
    <t>blazeandcave:challenges/overwarden</t>
  </si>
  <si>
    <t>Immortal</t>
  </si>
  <si>
    <t>All inventory slots, including your hotbar and offhand, must be filled, hence requiring 37 totems of undying</t>
  </si>
  <si>
    <t>Fill your entire inventory with Totems of Undying</t>
  </si>
  <si>
    <t>blazeandcave:challenges/immortal</t>
  </si>
  <si>
    <t>Get killed by every mob that can kill you</t>
  </si>
  <si>
    <t>mossy_cobblestone_wall</t>
  </si>
  <si>
    <t>blazeandcave:challenges/death_from_all</t>
  </si>
  <si>
    <t>Collect every type of enchantment at every level</t>
  </si>
  <si>
    <t>blazeandcave:challenges/ultimate_enchanter</t>
  </si>
  <si>
    <t>Stockbroker</t>
  </si>
  <si>
    <t>48 Emeralds</t>
  </si>
  <si>
    <t>Trade with every profession from every biome type</t>
  </si>
  <si>
    <t>blazeandcave:challenges/stockbroker</t>
  </si>
  <si>
    <t>Cure a zombie villager of every profession... from every biome</t>
  </si>
  <si>
    <t>blazeandcave:challenges/global_vaccination</t>
  </si>
  <si>
    <t>How Did We Get Here?</t>
  </si>
  <si>
    <t>Have every effect applied at the same time</t>
  </si>
  <si>
    <t>minecraft:nether/all_effects</t>
  </si>
  <si>
    <t>HDWGH</t>
  </si>
  <si>
    <t>Ad Astra</t>
  </si>
  <si>
    <t>1 Unbreaking III Elytra</t>
  </si>
  <si>
    <t>Be above y=10,000</t>
  </si>
  <si>
    <t>Reach an altitude of 10,000 blocks above the world</t>
  </si>
  <si>
    <t>blazeandcave:challenges/ad_astra</t>
  </si>
  <si>
    <t>1 million</t>
  </si>
  <si>
    <t>I'm in Space!</t>
  </si>
  <si>
    <t>Levitate up a distance of 256 blocks</t>
  </si>
  <si>
    <t>blazeandcave:challenges/im_in_space</t>
  </si>
  <si>
    <t>The Devil's Distance</t>
  </si>
  <si>
    <t>Use the Nether to travel 666km in the Overworld</t>
  </si>
  <si>
    <t>blazeandcave:challenges/the_devils_distance</t>
  </si>
  <si>
    <t>A Million Blocks Away</t>
  </si>
  <si>
    <t>Travel a million blocks away from spawn</t>
  </si>
  <si>
    <t>blazeandcave:challenges/a_million_blocks_away</t>
  </si>
  <si>
    <t>Explorer of Worlds</t>
  </si>
  <si>
    <t>Discover every biome in every dimension</t>
  </si>
  <si>
    <t>blazeandcave:challenges/explorer_of_worlds</t>
  </si>
  <si>
    <t>Biomes</t>
  </si>
  <si>
    <t>All around the world!</t>
  </si>
  <si>
    <t>blazeandcave:biomes/root</t>
  </si>
  <si>
    <t>For you, my sweet</t>
  </si>
  <si>
    <t>A blessing in love</t>
  </si>
  <si>
    <t>Obtain any flower</t>
  </si>
  <si>
    <t>Pick a flower for someone special</t>
  </si>
  <si>
    <t>poppy</t>
  </si>
  <si>
    <t>blazeandcave:biomes/for_you_my_sweet</t>
  </si>
  <si>
    <t>There's a zombie on the lawn</t>
  </si>
  <si>
    <t>4 Sunflowers</t>
  </si>
  <si>
    <t>Enter a sunflower plains biome</t>
  </si>
  <si>
    <t>Find a sunflower plains</t>
  </si>
  <si>
    <t>blazeandcave:biomes/theres_a_zombie_on_the_lawn</t>
  </si>
  <si>
    <t>Enchanted Forest</t>
  </si>
  <si>
    <t>Enter a flower forest biome</t>
  </si>
  <si>
    <t>Find a flower forest</t>
  </si>
  <si>
    <t>allium</t>
  </si>
  <si>
    <t>blazeandcave:biomes/enchanted_forest</t>
  </si>
  <si>
    <t>Pretty in Pink</t>
  </si>
  <si>
    <t>Enter a Cherry Grove biome</t>
  </si>
  <si>
    <t>Find a Cherry Grove</t>
  </si>
  <si>
    <t>cherry_leaves</t>
  </si>
  <si>
    <t>blazeandcave:biomes/pretty_in_pink</t>
  </si>
  <si>
    <t>Flower Power</t>
  </si>
  <si>
    <t>Collect all types of flowers</t>
  </si>
  <si>
    <t>rose_bush</t>
  </si>
  <si>
    <t>blazeandcave:biomes/flower_power</t>
  </si>
  <si>
    <t>The Mighty Jungle</t>
  </si>
  <si>
    <t>8 Jungle Logs</t>
  </si>
  <si>
    <t>Enter any jungle biome (including bamboo jungle biomes)</t>
  </si>
  <si>
    <t>Go for a safari in the jungle</t>
  </si>
  <si>
    <t>jungle_leaves</t>
  </si>
  <si>
    <t>blazeandcave:biomes/the_mighty_jungle</t>
  </si>
  <si>
    <t>Tarzan</t>
  </si>
  <si>
    <t>Enter a vine block</t>
  </si>
  <si>
    <t>Swing (or climb) on some vines</t>
  </si>
  <si>
    <t>vine</t>
  </si>
  <si>
    <t>blazeandcave:biomes/tarzan</t>
  </si>
  <si>
    <t>Lion Hunter</t>
  </si>
  <si>
    <t>2 Cod</t>
  </si>
  <si>
    <t>Feed an Ocelot fish to try and gain its trust</t>
  </si>
  <si>
    <t>blazeandcave:biomes/lion_hunter</t>
  </si>
  <si>
    <t>Simba</t>
  </si>
  <si>
    <t>Breed a baby ocelot</t>
  </si>
  <si>
    <t>ocelot_spawn_egg</t>
  </si>
  <si>
    <t>blazeandcave:biomes/simba</t>
  </si>
  <si>
    <t>Bamboom!</t>
  </si>
  <si>
    <t>Obtain bamboo</t>
  </si>
  <si>
    <t>Break down some bamboo</t>
  </si>
  <si>
    <t>blazeandcave:biomes/bamboom</t>
  </si>
  <si>
    <t>Construction Worker</t>
  </si>
  <si>
    <t>Place scaffolding</t>
  </si>
  <si>
    <t>Craft and use some scaffolding</t>
  </si>
  <si>
    <t>scaffolding</t>
  </si>
  <si>
    <t>blazeandcave:biomes/construction_worker</t>
  </si>
  <si>
    <t>Top of the World</t>
  </si>
  <si>
    <t>64 Scaffolding</t>
  </si>
  <si>
    <t>Place scaffolding at y=319 in the Overworld or y=255 in the Nether or End</t>
  </si>
  <si>
    <t>Place scaffolding to the world limit</t>
  </si>
  <si>
    <t>light_blue_dye</t>
  </si>
  <si>
    <t>blazeandcave:biomes/top_of_the_world</t>
  </si>
  <si>
    <t>Zoologist</t>
  </si>
  <si>
    <t>8 Bamboo</t>
  </si>
  <si>
    <t>Breed two pandas to get a baby panda</t>
  </si>
  <si>
    <t>blazeandcave:biomes/zoologist</t>
  </si>
  <si>
    <t>Kung Fu Panda!</t>
  </si>
  <si>
    <t>Get killed by a panda</t>
  </si>
  <si>
    <t>Get beaten up by an angry panda</t>
  </si>
  <si>
    <t>blazeandcave:biomes/kung_fu_panda</t>
  </si>
  <si>
    <t>Qinling</t>
  </si>
  <si>
    <t>Breed two pandas and have the offspring be a brown panda</t>
  </si>
  <si>
    <t>Breed a rare brown panda</t>
  </si>
  <si>
    <t>brown_dye</t>
  </si>
  <si>
    <t>blazeandcave:biomes/qinling</t>
  </si>
  <si>
    <t>Pandamonium</t>
  </si>
  <si>
    <t>Have all seven panda personalities pick up cake that you dropped on the ground</t>
  </si>
  <si>
    <t>Feed cake to every type of panda</t>
  </si>
  <si>
    <t>blazeandcave:biomes/pandamonium</t>
  </si>
  <si>
    <t>Smooth Operator</t>
  </si>
  <si>
    <t>Step on ice</t>
  </si>
  <si>
    <t>Slip and slide on some ice</t>
  </si>
  <si>
    <t>blazeandcave:biomes/smooth_operator</t>
  </si>
  <si>
    <t>This Snow is Snowier</t>
  </si>
  <si>
    <t>Enter a block of powder snow</t>
  </si>
  <si>
    <t>Fall into some Powder Snow</t>
  </si>
  <si>
    <t>blazeandcave:biomes/this_snow_is_snowier</t>
  </si>
  <si>
    <t>Light as a Rabbit</t>
  </si>
  <si>
    <t>Walk on powder snow while wearing Leather Boots</t>
  </si>
  <si>
    <t>Walk on Powder Snow… without sinking in it</t>
  </si>
  <si>
    <t>minecraft:adventure/walk_on_powder_snow_with_leather_boots</t>
  </si>
  <si>
    <t>Captain America</t>
  </si>
  <si>
    <t>For 20 minutes in a row, stand inside two blocks of Powder Snow (one at your feet, one at your head) without wearing any leather armor (such that you're taking damage from freezing)</t>
  </si>
  <si>
    <t>Get completely frozen inside two blocks of Powder Snow for a loooong time. Big question is: Can you do this all day?</t>
  </si>
  <si>
    <t>blazeandcave:biomes/captain_america</t>
  </si>
  <si>
    <t>Powder-full</t>
  </si>
  <si>
    <t>Pick up some Powder Snow in a Bucket</t>
  </si>
  <si>
    <t>blazeandcave:biomes/powder_full</t>
  </si>
  <si>
    <t>Thin Ice!</t>
  </si>
  <si>
    <t>3 Ice</t>
  </si>
  <si>
    <t>Obtain ice</t>
  </si>
  <si>
    <t>Mine some ice using a silk touch pickaxe</t>
  </si>
  <si>
    <t>blazeandcave:biomes/thin_ice</t>
  </si>
  <si>
    <t>Spike Ice!</t>
  </si>
  <si>
    <t>3 Packed Ice</t>
  </si>
  <si>
    <t>Obtain packed ice</t>
  </si>
  <si>
    <t>Break down an ice spike using a silk touch pickaxe</t>
  </si>
  <si>
    <t>blazeandcave:biomes/spike_ice</t>
  </si>
  <si>
    <t>Thick Ice!</t>
  </si>
  <si>
    <t>3 Blue Ice</t>
  </si>
  <si>
    <t>Obtain blue ice</t>
  </si>
  <si>
    <t>Craft or mine a blue ice block from an iceberg</t>
  </si>
  <si>
    <t>blazeandcave:biomes/thick_ice</t>
  </si>
  <si>
    <t>Everybody Loves Ice!</t>
  </si>
  <si>
    <t>64 Ice</t>
  </si>
  <si>
    <t>Obtain 64 ice, 64 packed ice, and 64 blue ice</t>
  </si>
  <si>
    <t>Obtain a stack of every type of ice in your inventory</t>
  </si>
  <si>
    <t>blazeandcave:biomes/everybody_loves_ice</t>
  </si>
  <si>
    <t>Barbearian</t>
  </si>
  <si>
    <t>Kill a polar bear</t>
  </si>
  <si>
    <t>It may be illegal to hunt polar bears in real life, but not in Minecraft</t>
  </si>
  <si>
    <t>polar_bear_spawn_egg</t>
  </si>
  <si>
    <t>blazeandcave:biomes/barbearian</t>
  </si>
  <si>
    <t>We’re Going on a Bear Hunt</t>
  </si>
  <si>
    <t>Get killed by a polar bear</t>
  </si>
  <si>
    <t>Get hunted by a Polar Bear</t>
  </si>
  <si>
    <t>snow</t>
  </si>
  <si>
    <t>blazeandcave:biomes/were_going_on_a_bear_hunt</t>
  </si>
  <si>
    <t>Just Keep Swimming</t>
  </si>
  <si>
    <t>Enter water</t>
  </si>
  <si>
    <t>Go for a swim</t>
  </si>
  <si>
    <t>blazeandcave:biomes/just_keep_swimming</t>
  </si>
  <si>
    <t>The sea calls you...</t>
  </si>
  <si>
    <t>Enter any ocean biome (See note 8)</t>
  </si>
  <si>
    <t>Find an ocean</t>
  </si>
  <si>
    <t>blazeandcave:biomes/the_sea_calls_you</t>
  </si>
  <si>
    <t>Boaty McBoatface</t>
  </si>
  <si>
    <t>Enter a boat or chest boat</t>
  </si>
  <si>
    <t>Craft and ride a boat to sail on the high seas</t>
  </si>
  <si>
    <t>blazeandcave:biomes/boaty_mcboatface</t>
  </si>
  <si>
    <t>Dive Bomb</t>
  </si>
  <si>
    <t>Fall at least 50 blocks and land in water</t>
  </si>
  <si>
    <t>Dive into water from a cliff at least 50 blocks tall</t>
  </si>
  <si>
    <t>blazeandcave:biomes/dive_bomb</t>
  </si>
  <si>
    <t>Free Diver</t>
  </si>
  <si>
    <t>1 Aqua Affinity Enchanted Book</t>
  </si>
  <si>
    <t>See warning below</t>
  </si>
  <si>
    <t>Stay underwater for 2 minutes</t>
  </si>
  <si>
    <t>tube_coral_fan</t>
  </si>
  <si>
    <t>blazeandcave:biomes/free_diver</t>
  </si>
  <si>
    <t>Sleep with the Fishes</t>
  </si>
  <si>
    <t>1 Respiration III Enchanted Book</t>
  </si>
  <si>
    <t>Spend a day underwater</t>
  </si>
  <si>
    <t>drowned_spawn_egg</t>
  </si>
  <si>
    <t>blazeandcave:biomes/sleep_with_the_fishes</t>
  </si>
  <si>
    <t>Ores</t>
  </si>
  <si>
    <t>Cargo Carrier</t>
  </si>
  <si>
    <t>Enter a chest boat</t>
  </si>
  <si>
    <t>Ride a Boat with a Chest in it</t>
  </si>
  <si>
    <t>spruce_chest_boat</t>
  </si>
  <si>
    <t>blazeandcave:biomes/cargo_carrier</t>
  </si>
  <si>
    <t>Flipper</t>
  </si>
  <si>
    <t>Have a Dolphin nudge an item that you threw</t>
  </si>
  <si>
    <t>Give a Dolphin something to play with</t>
  </si>
  <si>
    <t>blazeandcave:biomes/flipper</t>
  </si>
  <si>
    <t>Dolphin Dasher</t>
  </si>
  <si>
    <t>Get the Dolphin's Grace effect</t>
  </si>
  <si>
    <t>Get a speed boost from your friendly underwater companions</t>
  </si>
  <si>
    <t>dolphin_spawn_egg</t>
  </si>
  <si>
    <t>blazeandcave:biomes/dolphin_dasher</t>
  </si>
  <si>
    <t>So Long &amp; Thanks For The Fish</t>
  </si>
  <si>
    <t>Get murdered by dolphins</t>
  </si>
  <si>
    <t>blazeandcave:biomes/so_long_and_thanks_for_all_the_fish</t>
  </si>
  <si>
    <t>The Great Blocky Reef</t>
  </si>
  <si>
    <t>Enter a Warm Ocean biome</t>
  </si>
  <si>
    <t>Come across a coral reef in an ocean</t>
  </si>
  <si>
    <t>brain_coral</t>
  </si>
  <si>
    <t>blazeandcave:biomes/the_great_blocky_reef</t>
  </si>
  <si>
    <t>In a Pickle</t>
  </si>
  <si>
    <t>Obtain sea pickles</t>
  </si>
  <si>
    <t>Collect some sea pickles from a coral reef</t>
  </si>
  <si>
    <t>blazeandcave:biomes/in_a_pickle</t>
  </si>
  <si>
    <t>Just a sample</t>
  </si>
  <si>
    <t>Obtain dead or living coral, coral fan or coral block in any color</t>
  </si>
  <si>
    <t>Collect some coral from a coral reef</t>
  </si>
  <si>
    <t>fire_coral_fan</t>
  </si>
  <si>
    <t>blazeandcave:biomes/just_a_sample</t>
  </si>
  <si>
    <t>No Reefing!</t>
  </si>
  <si>
    <t>Collect all colors of coral blocks, coral plants and coral fans (including dead ones)</t>
  </si>
  <si>
    <t>dead_brain_coral_block</t>
  </si>
  <si>
    <t>blazeandcave:biomes/no_reefing</t>
  </si>
  <si>
    <t>Echolocation</t>
  </si>
  <si>
    <t>4 Cod</t>
  </si>
  <si>
    <t>Feed a dolphin fish to have it lead you to treasure</t>
  </si>
  <si>
    <t>blazeandcave:biomes/echolocation</t>
  </si>
  <si>
    <t>Pushed Around</t>
  </si>
  <si>
    <t>Enter a bubble column</t>
  </si>
  <si>
    <t>blazeandcave:biomes/pushed_around</t>
  </si>
  <si>
    <t>Atlantis?</t>
  </si>
  <si>
    <t>Enter an Ocean Ruin</t>
  </si>
  <si>
    <t>Explore some Underwater Ruins</t>
  </si>
  <si>
    <t>chiseled_stone_bricks</t>
  </si>
  <si>
    <t>blazeandcave:biomes/atlantis</t>
  </si>
  <si>
    <t>Ahoy!</t>
  </si>
  <si>
    <t>Come across a sunken ship</t>
  </si>
  <si>
    <t>spruce_fence</t>
  </si>
  <si>
    <t>blazeandcave:biomes/ahoy</t>
  </si>
  <si>
    <t>Boatception</t>
  </si>
  <si>
    <t>1 Water Bucket</t>
  </si>
  <si>
    <t>Start riding a boat that is inside a shipwreck</t>
  </si>
  <si>
    <t>Get in a boat within a shipwreck</t>
  </si>
  <si>
    <t>blazeandcave:biomes/boatception</t>
  </si>
  <si>
    <t>Titanic</t>
  </si>
  <si>
    <t>2 Nautilus Shells</t>
  </si>
  <si>
    <t>Enter a Shipwreck in a Frozen Ocean or Deep Frozen Ocean biome</t>
  </si>
  <si>
    <t>Find a shipwreck in an iceberg biome</t>
  </si>
  <si>
    <t>dark_oak_fence</t>
  </si>
  <si>
    <t>blazeandcave:biomes/titanic</t>
  </si>
  <si>
    <t>X Marks the Spot</t>
  </si>
  <si>
    <t>Open a Buried Treasure chest for the first time</t>
  </si>
  <si>
    <t>Use a treasure map to find Buried Treasure</t>
  </si>
  <si>
    <t>blazeandcave:biomes/x_marks_the_spot</t>
  </si>
  <si>
    <t>Moskstraumen</t>
  </si>
  <si>
    <t>Construct a Conduit in the ocean</t>
  </si>
  <si>
    <t>blazeandcave:biomes/moskstraumen</t>
  </si>
  <si>
    <t>Kilometre Walk</t>
  </si>
  <si>
    <t>Travel beyond 1000 or -1000 in the x or z direction</t>
  </si>
  <si>
    <t>Travel at least 1000 blocks from the centre of the world in any direction. It's not that far in real life</t>
  </si>
  <si>
    <t>blazeandcave:biomes/kilometre_walk</t>
  </si>
  <si>
    <t>Ten Thousand Blocks</t>
  </si>
  <si>
    <t>Travel beyond 10000 or -10000 in the x or z direction</t>
  </si>
  <si>
    <t>Travel at least 10,000 blocks from the centre of the world in any direction. A journey that long begins with a simple step</t>
  </si>
  <si>
    <t>blazeandcave:biomes/ten_thousand_blocks</t>
  </si>
  <si>
    <t>Voyage</t>
  </si>
  <si>
    <t>Travel beyond 100000 or -100000 in the x or z direction</t>
  </si>
  <si>
    <t>A hundred kilometres!</t>
  </si>
  <si>
    <t>blazeandcave:biomes/voyage</t>
  </si>
  <si>
    <t>One with the forest</t>
  </si>
  <si>
    <t>Discover every forest biome</t>
  </si>
  <si>
    <t>blazeandcave:biomes/one_with_the_forest</t>
  </si>
  <si>
    <t>Warm Feet</t>
  </si>
  <si>
    <t>Discover every dry biome</t>
  </si>
  <si>
    <t>blazeandcave:biomes/warm_feet</t>
  </si>
  <si>
    <t>Cold Feet</t>
  </si>
  <si>
    <t>Discover every snow biome</t>
  </si>
  <si>
    <t>blazeandcave:biomes/cold_feet</t>
  </si>
  <si>
    <t>Overgrown!</t>
  </si>
  <si>
    <t>Discover every overgrown biome</t>
  </si>
  <si>
    <t>blazeandcave:biomes/overgrown</t>
  </si>
  <si>
    <t>High Feet</t>
  </si>
  <si>
    <t>Discover every mountain biome</t>
  </si>
  <si>
    <t>blazeandcave:biomes/high_feet</t>
  </si>
  <si>
    <t>Wet Feet</t>
  </si>
  <si>
    <t>Discover every wet biome</t>
  </si>
  <si>
    <t>blazeandcave:biomes/wet_feet</t>
  </si>
  <si>
    <t>Adventuring Time</t>
  </si>
  <si>
    <t>Discover each type of surface biome in the Overworld</t>
  </si>
  <si>
    <t>minecraft:adventure/adventuring_time</t>
  </si>
  <si>
    <t>BlazeandCave's Advancements</t>
  </si>
  <si>
    <t>Obtained automatically when entering the world</t>
  </si>
  <si>
    <t>Loads of brand new advancements for your Minecraft world!</t>
  </si>
  <si>
    <t>B&amp;C Advancements</t>
  </si>
  <si>
    <t>blazeandcave:bacap/root</t>
  </si>
  <si>
    <t>Getting Wood</t>
  </si>
  <si>
    <t>2 Logs of the type you picked up</t>
  </si>
  <si>
    <t>Obtain any type of log, wood, stripped log, or stripped wood</t>
  </si>
  <si>
    <t>Attack a tree until a block of wood pops out</t>
  </si>
  <si>
    <t>blazeandcave:bacap/getting_wood</t>
  </si>
  <si>
    <t>Benchmarking</t>
  </si>
  <si>
    <t>Obtain a crafting table</t>
  </si>
  <si>
    <t>Construct a crafting bench</t>
  </si>
  <si>
    <t>minecraft:story/root</t>
  </si>
  <si>
    <t>Time to Mine!</t>
  </si>
  <si>
    <t>Obtain a wooden, stone, iron, gold, diamond or netherite pickaxe</t>
  </si>
  <si>
    <t>Use planks and sticks to make a pickaxe</t>
  </si>
  <si>
    <t>blazeandcave:bacap/time_to_mine</t>
  </si>
  <si>
    <t>Time to Strike!</t>
  </si>
  <si>
    <t>Obtain a wooden, stone, iron, gold, diamond or netherite sword</t>
  </si>
  <si>
    <t>Use planks and sticks to make a sword</t>
  </si>
  <si>
    <t>wooden_sword</t>
  </si>
  <si>
    <t>blazeandcave:bacap/time_to_strike</t>
  </si>
  <si>
    <t>Time to Chop!</t>
  </si>
  <si>
    <t>Obtain a wooden, stone, iron, gold, diamond or netherite axe</t>
  </si>
  <si>
    <t>Use planks and sticks to make an axe</t>
  </si>
  <si>
    <t>wooden_axe</t>
  </si>
  <si>
    <t>blazeandcave:bacap/time_to_chop</t>
  </si>
  <si>
    <t>Time to Dig!</t>
  </si>
  <si>
    <t>Obtain a wooden, stone, iron, gold, diamond or netherite shovel</t>
  </si>
  <si>
    <t>Use planks and sticks to make a shovel</t>
  </si>
  <si>
    <t>wooden_shovel</t>
  </si>
  <si>
    <t>blazeandcave:bacap/time_to_dig</t>
  </si>
  <si>
    <t>Time to Farm!</t>
  </si>
  <si>
    <t>Obtain a wooden, stone, iron, gold, diamond or netherite hoe</t>
  </si>
  <si>
    <t>Use planks and sticks to make a hoe</t>
  </si>
  <si>
    <t>wooden_hoe</t>
  </si>
  <si>
    <t>blazeandcave:bacap/time_to_farm</t>
  </si>
  <si>
    <t>Super Set</t>
  </si>
  <si>
    <t>Mining Milestone</t>
  </si>
  <si>
    <r>
      <rPr>
        <rFont val="Arial"/>
        <color theme="1"/>
      </rPr>
      <t xml:space="preserve">For all of these, </t>
    </r>
    <r>
      <rPr>
        <rFont val="Arial"/>
        <b/>
        <color theme="1"/>
      </rPr>
      <t>hidden advancements</t>
    </r>
    <r>
      <rPr>
        <rFont val="Arial"/>
        <color theme="1"/>
      </rPr>
      <t xml:space="preserve"> are </t>
    </r>
    <r>
      <rPr>
        <rFont val="Arial"/>
        <b/>
        <color theme="1"/>
      </rPr>
      <t>not required</t>
    </r>
  </si>
  <si>
    <t>Complete every advancement in the Mining tab</t>
  </si>
  <si>
    <t>blazeandcave:bacap/mining_milestone</t>
  </si>
  <si>
    <t>Building Milestone</t>
  </si>
  <si>
    <t>Complete every advancement in the Building tab</t>
  </si>
  <si>
    <t>blazeandcave:bacap/building_milestone</t>
  </si>
  <si>
    <t>Farming Milestone</t>
  </si>
  <si>
    <t>Complete every advancement in the Farming tab</t>
  </si>
  <si>
    <t>blazeandcave:bacap/farming_milestone</t>
  </si>
  <si>
    <t>Animal Milestone</t>
  </si>
  <si>
    <t>Complete every advancement in the Animal tab</t>
  </si>
  <si>
    <t>blazeandcave:bacap/animal_milestone</t>
  </si>
  <si>
    <t>Monsters Milestone</t>
  </si>
  <si>
    <t>Complete every advancement in the Monsters tab</t>
  </si>
  <si>
    <t>blazeandcave:bacap/monsters_milestone</t>
  </si>
  <si>
    <t>Weaponry Milestone</t>
  </si>
  <si>
    <t>Complete every advancement in the Weaponry tab</t>
  </si>
  <si>
    <t>blazeandcave:bacap/weaponry_milestone</t>
  </si>
  <si>
    <t>Biomes Milestone</t>
  </si>
  <si>
    <t>Complete every advancement in the Biomes tab</t>
  </si>
  <si>
    <t>blazeandcave:bacap/biomes_milestone</t>
  </si>
  <si>
    <t>Adventure Milestone</t>
  </si>
  <si>
    <t>Complete every advancement in the Adventure tab</t>
  </si>
  <si>
    <t>blazeandcave:bacap/adventure_milestone</t>
  </si>
  <si>
    <t>Redstone Milestone</t>
  </si>
  <si>
    <t>Complete every advancement in the Redstone tab</t>
  </si>
  <si>
    <t>blazeandcave:bacap/redstone_milestone</t>
  </si>
  <si>
    <t>Enchanting Milestone</t>
  </si>
  <si>
    <t>Complete every advancement in the Enchanting tab</t>
  </si>
  <si>
    <t>blazeandcave:bacap/enchanting_milestone</t>
  </si>
  <si>
    <t>Statistics Milestone</t>
  </si>
  <si>
    <t>Complete every advancement in the Statistics tab</t>
  </si>
  <si>
    <t>blazeandcave:bacap/statistics_milestone</t>
  </si>
  <si>
    <t>Nether Milestone</t>
  </si>
  <si>
    <t>Complete every advancement in the Nether tab</t>
  </si>
  <si>
    <t>blazeandcave:bacap/nether_milestone</t>
  </si>
  <si>
    <t>Potions Milestone</t>
  </si>
  <si>
    <t>Complete every advancement in the Potions tab</t>
  </si>
  <si>
    <t>blazeandcave:bacap/potion_milestone</t>
  </si>
  <si>
    <t>End Milestone</t>
  </si>
  <si>
    <t>Complete every advancement in the End tab</t>
  </si>
  <si>
    <t>blazeandcave:bacap/end_milestone</t>
  </si>
  <si>
    <t>Super Challenges Milestone</t>
  </si>
  <si>
    <t>Complete every advancement in the Super Challenges tab. Good luck with this one ;)</t>
  </si>
  <si>
    <t>blazeandcave:bacap/challenges_milestone</t>
  </si>
  <si>
    <t>Advancement Legend</t>
  </si>
  <si>
    <t>Every advancement except for "Advancement Legend", of course ;)</t>
  </si>
  <si>
    <t>Complete every single advancement in BlazeandCave's Advancements Pack</t>
  </si>
  <si>
    <t>blazeandcave:bacap/advancement_legend</t>
  </si>
  <si>
    <t>Group</t>
  </si>
  <si>
    <t>Block</t>
  </si>
  <si>
    <t>Qty</t>
  </si>
  <si>
    <t>Internal Name</t>
  </si>
  <si>
    <t>Acacia Boat</t>
  </si>
  <si>
    <t>Acacia Button</t>
  </si>
  <si>
    <t>acacia_button</t>
  </si>
  <si>
    <t>Acacia Chest Boat</t>
  </si>
  <si>
    <t>acacia_chest_boat</t>
  </si>
  <si>
    <t>Acacia Door</t>
  </si>
  <si>
    <t>acacia_door</t>
  </si>
  <si>
    <t>Acacia Fence</t>
  </si>
  <si>
    <t>acacia_fence</t>
  </si>
  <si>
    <t>Acacia Fence Gate</t>
  </si>
  <si>
    <t>acacia_fence_gate</t>
  </si>
  <si>
    <t>Acacia Hanging Sign</t>
  </si>
  <si>
    <t>acacia_hanging_sign</t>
  </si>
  <si>
    <t>Acacia Leaves</t>
  </si>
  <si>
    <t>Acacia Log</t>
  </si>
  <si>
    <t>Acacia Planks</t>
  </si>
  <si>
    <t>acacia_planks</t>
  </si>
  <si>
    <t>Acacia Pressure Plate</t>
  </si>
  <si>
    <t>acacia_pressure_plate</t>
  </si>
  <si>
    <t>Acacia Sapling</t>
  </si>
  <si>
    <t>Acacia Sign</t>
  </si>
  <si>
    <t>acacia_sign</t>
  </si>
  <si>
    <t>Acacia Slab</t>
  </si>
  <si>
    <t>acacia_slab</t>
  </si>
  <si>
    <t>Acacia Stairs</t>
  </si>
  <si>
    <t>acacia_stairs</t>
  </si>
  <si>
    <t>Acacia Trapdoor</t>
  </si>
  <si>
    <t>acacia_trapdoor</t>
  </si>
  <si>
    <t>Acacia Wood</t>
  </si>
  <si>
    <t>acacia_wood</t>
  </si>
  <si>
    <t>Activator Rail</t>
  </si>
  <si>
    <t>Allium</t>
  </si>
  <si>
    <t>Amethyst Block</t>
  </si>
  <si>
    <t>Amethyst Cluster</t>
  </si>
  <si>
    <t>Amethyst Shard</t>
  </si>
  <si>
    <t>Netherite</t>
  </si>
  <si>
    <t>Ancient Debris</t>
  </si>
  <si>
    <t>Andesite</t>
  </si>
  <si>
    <t>andesite</t>
  </si>
  <si>
    <t>Andesite Slab</t>
  </si>
  <si>
    <t>andesite_slab</t>
  </si>
  <si>
    <t>Andesite Stairs</t>
  </si>
  <si>
    <t>andesite_stairs</t>
  </si>
  <si>
    <t>Andesite Wall</t>
  </si>
  <si>
    <t>andesite_wall</t>
  </si>
  <si>
    <t>Angler Pottery Sherd</t>
  </si>
  <si>
    <t>angler_pottery_sherd</t>
  </si>
  <si>
    <t>Anvil</t>
  </si>
  <si>
    <t>Apple</t>
  </si>
  <si>
    <t>Archer Pottery Sherd</t>
  </si>
  <si>
    <t>archer_pottery_sherd</t>
  </si>
  <si>
    <t>Armadillo Scute</t>
  </si>
  <si>
    <t>Armor Stand</t>
  </si>
  <si>
    <t>Arms Up Pottery Sherd</t>
  </si>
  <si>
    <t>arms_up_pottery_sherd</t>
  </si>
  <si>
    <t>Arrow</t>
  </si>
  <si>
    <t>Axolotl Bucket</t>
  </si>
  <si>
    <t>Azalea</t>
  </si>
  <si>
    <t>azalea</t>
  </si>
  <si>
    <t>Azalea Leaves</t>
  </si>
  <si>
    <t>azalea_leaves</t>
  </si>
  <si>
    <t>Azure Bluet</t>
  </si>
  <si>
    <t>Baked Potato</t>
  </si>
  <si>
    <t>baked_potato</t>
  </si>
  <si>
    <t>Bamboo</t>
  </si>
  <si>
    <t>Bamboo Block</t>
  </si>
  <si>
    <t>bamboo_block</t>
  </si>
  <si>
    <t>Bamboo Button</t>
  </si>
  <si>
    <t>bamboo_button</t>
  </si>
  <si>
    <t>Bamboo Chest Raft</t>
  </si>
  <si>
    <t>bamboo_chest_raft</t>
  </si>
  <si>
    <t>Bamboo Door</t>
  </si>
  <si>
    <t>bamboo_door</t>
  </si>
  <si>
    <t>Bamboo Fence</t>
  </si>
  <si>
    <t>bamboo_fence</t>
  </si>
  <si>
    <t>Bamboo Fence Gate</t>
  </si>
  <si>
    <t>bamboo_fence_gate</t>
  </si>
  <si>
    <t>Bamboo Hanging Sign</t>
  </si>
  <si>
    <t>bamboo_hanging_sign</t>
  </si>
  <si>
    <t>Bamboo Mosaic</t>
  </si>
  <si>
    <t>bamboo_mosaic</t>
  </si>
  <si>
    <t>Bamboo Mosaic Slab</t>
  </si>
  <si>
    <t>bamboo_mosaic_slab</t>
  </si>
  <si>
    <t>Bamboo Mosaic Stairs</t>
  </si>
  <si>
    <t>bamboo_mosaic_stairs</t>
  </si>
  <si>
    <t>Bamboo Planks</t>
  </si>
  <si>
    <t>bamboo_planks</t>
  </si>
  <si>
    <t>Bamboo Pressure Plate</t>
  </si>
  <si>
    <t>bamboo_pressure_plate</t>
  </si>
  <si>
    <t>Bamboo Raft</t>
  </si>
  <si>
    <t>bamboo_raft</t>
  </si>
  <si>
    <t>Bamboo Sign</t>
  </si>
  <si>
    <t>bamboo_sign</t>
  </si>
  <si>
    <t>Bamboo Slab</t>
  </si>
  <si>
    <t>bamboo_slab</t>
  </si>
  <si>
    <t>Bamboo Stairs</t>
  </si>
  <si>
    <t>bamboo_stairs</t>
  </si>
  <si>
    <t>Bamboo Trapdoor</t>
  </si>
  <si>
    <t>bamboo_trapdoor</t>
  </si>
  <si>
    <t>Barrel</t>
  </si>
  <si>
    <t>Basalt</t>
  </si>
  <si>
    <t>Beacon</t>
  </si>
  <si>
    <t>Bee Nest</t>
  </si>
  <si>
    <t>Beef</t>
  </si>
  <si>
    <t>Beehive</t>
  </si>
  <si>
    <t>Beetroot</t>
  </si>
  <si>
    <t>beetroot</t>
  </si>
  <si>
    <t>Beetroot Seeds</t>
  </si>
  <si>
    <t>Beetroot Soup</t>
  </si>
  <si>
    <t>Bell</t>
  </si>
  <si>
    <t>Big Dripleaf</t>
  </si>
  <si>
    <t>Birch Boat</t>
  </si>
  <si>
    <t>Birch Button</t>
  </si>
  <si>
    <t>birch_button</t>
  </si>
  <si>
    <t>Birch Chest Boat</t>
  </si>
  <si>
    <t>birch_chest_boat</t>
  </si>
  <si>
    <t>Birch Door</t>
  </si>
  <si>
    <t>birch_door</t>
  </si>
  <si>
    <t>Birch Fence</t>
  </si>
  <si>
    <t>birch_fence</t>
  </si>
  <si>
    <t>Birch Fence Gate</t>
  </si>
  <si>
    <t>birch_fence_gate</t>
  </si>
  <si>
    <t>Birch Hanging Sign</t>
  </si>
  <si>
    <t>birch_hanging_sign</t>
  </si>
  <si>
    <t>Birch Leaves</t>
  </si>
  <si>
    <t>birch_leaves</t>
  </si>
  <si>
    <t>Birch Log</t>
  </si>
  <si>
    <t>Birch Planks</t>
  </si>
  <si>
    <t>birch_planks</t>
  </si>
  <si>
    <t>Birch Pressure Plate</t>
  </si>
  <si>
    <t>birch_pressure_plate</t>
  </si>
  <si>
    <t>Birch Sapling</t>
  </si>
  <si>
    <t>Birch Sign</t>
  </si>
  <si>
    <t>birch_sign</t>
  </si>
  <si>
    <t>Birch Slab</t>
  </si>
  <si>
    <t>birch_slab</t>
  </si>
  <si>
    <t>Birch Stairs</t>
  </si>
  <si>
    <t>birch_stairs</t>
  </si>
  <si>
    <t>Birch Trapdoor</t>
  </si>
  <si>
    <t>birch_trapdoor</t>
  </si>
  <si>
    <t>Birch Wood</t>
  </si>
  <si>
    <t>birch_wood</t>
  </si>
  <si>
    <t>Black Banner</t>
  </si>
  <si>
    <t>Black Bed</t>
  </si>
  <si>
    <t>black_bed</t>
  </si>
  <si>
    <t>Black Candle</t>
  </si>
  <si>
    <t>Black Carpet</t>
  </si>
  <si>
    <t>black_carpet</t>
  </si>
  <si>
    <t>Black Concrete</t>
  </si>
  <si>
    <t>black_concrete</t>
  </si>
  <si>
    <t>Black Concrete Powder</t>
  </si>
  <si>
    <t>Black Dye</t>
  </si>
  <si>
    <t>black_dye</t>
  </si>
  <si>
    <t>Black Glazed Terracotta</t>
  </si>
  <si>
    <t>black_glazed_terracotta</t>
  </si>
  <si>
    <t>Black Shulker Box</t>
  </si>
  <si>
    <t>black_shulker_box</t>
  </si>
  <si>
    <t>Black Stained Glass</t>
  </si>
  <si>
    <t>Black Stained Glass Pane</t>
  </si>
  <si>
    <t>black_stained_glass_pane</t>
  </si>
  <si>
    <t>Black Terracotta</t>
  </si>
  <si>
    <t>black_terracotta</t>
  </si>
  <si>
    <t>Black Wool</t>
  </si>
  <si>
    <t>Blackstone</t>
  </si>
  <si>
    <t>Blackstone Slab</t>
  </si>
  <si>
    <t>blackstone_slab</t>
  </si>
  <si>
    <t>Blackstone Stairs</t>
  </si>
  <si>
    <t>blackstone_stairs</t>
  </si>
  <si>
    <t>Blackstone Wall</t>
  </si>
  <si>
    <t>blackstone_wall</t>
  </si>
  <si>
    <t>Blade Pottery Sherd</t>
  </si>
  <si>
    <t>blade_pottery_sherd</t>
  </si>
  <si>
    <t>Blast Furnace</t>
  </si>
  <si>
    <t>Blaze Powder</t>
  </si>
  <si>
    <t>Blaze Rod</t>
  </si>
  <si>
    <t>Blue Banner</t>
  </si>
  <si>
    <t>Blue Bed</t>
  </si>
  <si>
    <t>blue_bed</t>
  </si>
  <si>
    <t>Blue Candle</t>
  </si>
  <si>
    <t>blue_candle</t>
  </si>
  <si>
    <t>Blue Carpet</t>
  </si>
  <si>
    <t>Blue Concrete</t>
  </si>
  <si>
    <t>blue_concrete</t>
  </si>
  <si>
    <t>Blue Concrete Powder</t>
  </si>
  <si>
    <t>blue_concrete_powder</t>
  </si>
  <si>
    <t>Blue Dye</t>
  </si>
  <si>
    <t>Blue Glazed Terracotta</t>
  </si>
  <si>
    <t>blue_glazed_terracotta</t>
  </si>
  <si>
    <t>Blue Ice</t>
  </si>
  <si>
    <t>Blue Orchid</t>
  </si>
  <si>
    <t>blue_orchid</t>
  </si>
  <si>
    <t>Blue Shulker Box</t>
  </si>
  <si>
    <t>blue_shulker_box</t>
  </si>
  <si>
    <t>Blue Stained Glass</t>
  </si>
  <si>
    <t>blue_stained_glass</t>
  </si>
  <si>
    <t>Blue Stained Glass Pane</t>
  </si>
  <si>
    <t>blue_stained_glass_pane</t>
  </si>
  <si>
    <t>Blue Terracotta</t>
  </si>
  <si>
    <t>blue_terracotta</t>
  </si>
  <si>
    <t>Blue Wool</t>
  </si>
  <si>
    <t>blue_wool</t>
  </si>
  <si>
    <t>Bolt Armor Trim Smithing Template</t>
  </si>
  <si>
    <t>bolt_armor_trim_smithing_template</t>
  </si>
  <si>
    <t>Bone</t>
  </si>
  <si>
    <t>Wither</t>
  </si>
  <si>
    <t>Bone Block</t>
  </si>
  <si>
    <t>Bone Meal</t>
  </si>
  <si>
    <t>Book</t>
  </si>
  <si>
    <t>book</t>
  </si>
  <si>
    <t>Bookshelf</t>
  </si>
  <si>
    <t>Bow</t>
  </si>
  <si>
    <t>Bowl</t>
  </si>
  <si>
    <t>Warm Ocean</t>
  </si>
  <si>
    <t>Brain Coral</t>
  </si>
  <si>
    <t>Brain Coral Block</t>
  </si>
  <si>
    <t>brain_coral_block</t>
  </si>
  <si>
    <t>Brain Coral Fan</t>
  </si>
  <si>
    <t>brain_coral_fan</t>
  </si>
  <si>
    <t>Bread</t>
  </si>
  <si>
    <t>Breeze Rod</t>
  </si>
  <si>
    <t>Brewer Pottery Sherd</t>
  </si>
  <si>
    <t>brewer_pottery_sherd</t>
  </si>
  <si>
    <t>Brewing Stand</t>
  </si>
  <si>
    <t>Brick</t>
  </si>
  <si>
    <t>brick</t>
  </si>
  <si>
    <t>Brick Slab</t>
  </si>
  <si>
    <t>brick_slab</t>
  </si>
  <si>
    <t>Brick Stairs</t>
  </si>
  <si>
    <t>brick_stairs</t>
  </si>
  <si>
    <t>Brick Wall</t>
  </si>
  <si>
    <t>brick_wall</t>
  </si>
  <si>
    <t>Bricks</t>
  </si>
  <si>
    <t>Brown Banner</t>
  </si>
  <si>
    <t>brown_banner</t>
  </si>
  <si>
    <t>Brown Bed</t>
  </si>
  <si>
    <t>brown_bed</t>
  </si>
  <si>
    <t>Brown Candle</t>
  </si>
  <si>
    <t>brown_candle</t>
  </si>
  <si>
    <t>Brown Carpet</t>
  </si>
  <si>
    <t>Brown Concrete</t>
  </si>
  <si>
    <t>brown_concrete</t>
  </si>
  <si>
    <t>Brown Concrete Powder</t>
  </si>
  <si>
    <t>Brown Dye</t>
  </si>
  <si>
    <t>Brown Glazed Terracotta</t>
  </si>
  <si>
    <t>brown_glazed_terracotta</t>
  </si>
  <si>
    <t>Brown Mushroom</t>
  </si>
  <si>
    <t>brown_mushroom</t>
  </si>
  <si>
    <t>Brown Mushroom Block</t>
  </si>
  <si>
    <t>brown_mushroom_block</t>
  </si>
  <si>
    <t>Brown Shulker Box</t>
  </si>
  <si>
    <t>brown_shulker_box</t>
  </si>
  <si>
    <t>Brown Stained Glass</t>
  </si>
  <si>
    <t>brown_stained_glass</t>
  </si>
  <si>
    <t>Brown Stained Glass Pane</t>
  </si>
  <si>
    <t>brown_stained_glass_pane</t>
  </si>
  <si>
    <t>Brown Terracotta</t>
  </si>
  <si>
    <t>brown_terracotta</t>
  </si>
  <si>
    <t>Brown Wool</t>
  </si>
  <si>
    <t>brown_wool</t>
  </si>
  <si>
    <t>Brush</t>
  </si>
  <si>
    <t>Bubble Coral</t>
  </si>
  <si>
    <t>bubble_coral</t>
  </si>
  <si>
    <t>Bubble Coral Block</t>
  </si>
  <si>
    <t>bubble_coral_block</t>
  </si>
  <si>
    <t>Bubble Coral Fan</t>
  </si>
  <si>
    <t>bubble_coral_fan</t>
  </si>
  <si>
    <t>Bucket</t>
  </si>
  <si>
    <t>Burn Pottery Sherd</t>
  </si>
  <si>
    <t>burn_pottery_sherd</t>
  </si>
  <si>
    <t>Cactus</t>
  </si>
  <si>
    <t>Cake</t>
  </si>
  <si>
    <t>Calcite</t>
  </si>
  <si>
    <t>Calibrated Sculk Sensor</t>
  </si>
  <si>
    <t>Campfire</t>
  </si>
  <si>
    <t>Candle</t>
  </si>
  <si>
    <t>Carrot</t>
  </si>
  <si>
    <t>Carrot On A Stick</t>
  </si>
  <si>
    <t>Cartography Table</t>
  </si>
  <si>
    <t>Carved Pumpkin</t>
  </si>
  <si>
    <t>Cauldron</t>
  </si>
  <si>
    <t>Chain</t>
  </si>
  <si>
    <t>Chainmail Boots</t>
  </si>
  <si>
    <t>Chainmail Chestplate</t>
  </si>
  <si>
    <t>Chainmail Helmet</t>
  </si>
  <si>
    <t>Chainmail Leggings</t>
  </si>
  <si>
    <t>Charcoal</t>
  </si>
  <si>
    <t>Cherry Boat</t>
  </si>
  <si>
    <t>cherry_boat</t>
  </si>
  <si>
    <t>Cherry Button</t>
  </si>
  <si>
    <t>cherry_button</t>
  </si>
  <si>
    <t>Cherry Chest Boat</t>
  </si>
  <si>
    <t>cherry_chest_boat</t>
  </si>
  <si>
    <t>Cherry Door</t>
  </si>
  <si>
    <t>cherry_door</t>
  </si>
  <si>
    <t>Cherry Fence</t>
  </si>
  <si>
    <t>cherry_fence</t>
  </si>
  <si>
    <t>Cherry Fence Gate</t>
  </si>
  <si>
    <t>cherry_fence_gate</t>
  </si>
  <si>
    <t>Cherry Hanging Sign</t>
  </si>
  <si>
    <t>cherry_hanging_sign</t>
  </si>
  <si>
    <t>Cherry Leaves</t>
  </si>
  <si>
    <t>Cherry Log</t>
  </si>
  <si>
    <t>cherry_log</t>
  </si>
  <si>
    <t>Cherry Planks</t>
  </si>
  <si>
    <t>cherry_planks</t>
  </si>
  <si>
    <t>Cherry Pressure Plate</t>
  </si>
  <si>
    <t>cherry_pressure_plate</t>
  </si>
  <si>
    <t>Cherry Sapling</t>
  </si>
  <si>
    <t>Cherry Sign</t>
  </si>
  <si>
    <t>cherry_sign</t>
  </si>
  <si>
    <t>Cherry Slab</t>
  </si>
  <si>
    <t>cherry_slab</t>
  </si>
  <si>
    <t>Cherry Stairs</t>
  </si>
  <si>
    <t>cherry_stairs</t>
  </si>
  <si>
    <t>Cherry Trapdoor</t>
  </si>
  <si>
    <t>cherry_trapdoor</t>
  </si>
  <si>
    <t>Cherry Wood</t>
  </si>
  <si>
    <t>cherry_wood</t>
  </si>
  <si>
    <t>Chest</t>
  </si>
  <si>
    <t>Chest Minecart</t>
  </si>
  <si>
    <t>Chicken</t>
  </si>
  <si>
    <t>Chipped Anvil</t>
  </si>
  <si>
    <t>chipped_anvil</t>
  </si>
  <si>
    <t>Chiseled Bookshelf</t>
  </si>
  <si>
    <t>Chiseled Copper</t>
  </si>
  <si>
    <t>chiseled_copper</t>
  </si>
  <si>
    <t>Chiseled Deepslate</t>
  </si>
  <si>
    <t>chiseled_deepslate</t>
  </si>
  <si>
    <t>Chiseled Nether Bricks</t>
  </si>
  <si>
    <t>chiseled_nether_bricks</t>
  </si>
  <si>
    <t>Chiseled Polished Blackstone</t>
  </si>
  <si>
    <t>chiseled_polished_blackstone</t>
  </si>
  <si>
    <t>Chiseled Quartz Block</t>
  </si>
  <si>
    <t>Chiseled Red Sandstone</t>
  </si>
  <si>
    <t>chiseled_red_sandstone</t>
  </si>
  <si>
    <t>Chiseled Sandstone</t>
  </si>
  <si>
    <t>Chiseled Stone Bricks</t>
  </si>
  <si>
    <t>Chiseled Tuff</t>
  </si>
  <si>
    <t>Chiseled Tuff Bricks</t>
  </si>
  <si>
    <t>End Explorer
(100k)</t>
  </si>
  <si>
    <t>Chorus Flower</t>
  </si>
  <si>
    <t>Chorus Fruit</t>
  </si>
  <si>
    <t>Clay</t>
  </si>
  <si>
    <t>clay</t>
  </si>
  <si>
    <t>Clay Ball</t>
  </si>
  <si>
    <t>Clock</t>
  </si>
  <si>
    <t>Coal</t>
  </si>
  <si>
    <t>Coal Block</t>
  </si>
  <si>
    <t>Coal Ore</t>
  </si>
  <si>
    <t>coal_ore</t>
  </si>
  <si>
    <t>Coarse Dirt</t>
  </si>
  <si>
    <t>coarse_dirt</t>
  </si>
  <si>
    <t>Coast Armor Trim</t>
  </si>
  <si>
    <t>coast_armor_trim</t>
  </si>
  <si>
    <t>Cobbled Deepslate</t>
  </si>
  <si>
    <t>cobbled_deepslate</t>
  </si>
  <si>
    <t>Cobbled Deepslate Slab</t>
  </si>
  <si>
    <t>cobbled_deepslate_slab</t>
  </si>
  <si>
    <t>Cobbled Deepslate Stairs</t>
  </si>
  <si>
    <t>cobbled_deepslate_stairs</t>
  </si>
  <si>
    <t>Cobbled Deepslate Wall</t>
  </si>
  <si>
    <t>cobbled_deepslate_wall</t>
  </si>
  <si>
    <t>Cobblestone</t>
  </si>
  <si>
    <t>Cobblestone Slab</t>
  </si>
  <si>
    <t>cobblestone_slab</t>
  </si>
  <si>
    <t>Cobblestone Stairs</t>
  </si>
  <si>
    <t>cobblestone_stairs</t>
  </si>
  <si>
    <t>Cobblestone Wall</t>
  </si>
  <si>
    <t>Cobweb</t>
  </si>
  <si>
    <t>Cocoa Beans</t>
  </si>
  <si>
    <t>Cod</t>
  </si>
  <si>
    <t>Cod Bucket</t>
  </si>
  <si>
    <t>cod_bucket</t>
  </si>
  <si>
    <t>Comparator</t>
  </si>
  <si>
    <t>Compass</t>
  </si>
  <si>
    <t>Composter</t>
  </si>
  <si>
    <t>Conduit</t>
  </si>
  <si>
    <t>Cooked Beef</t>
  </si>
  <si>
    <t>Cooked Chicken</t>
  </si>
  <si>
    <t>Cooked Cod</t>
  </si>
  <si>
    <t>Cooked Mutton</t>
  </si>
  <si>
    <t>Cooked Porkchop</t>
  </si>
  <si>
    <t>Cooked Rabbit</t>
  </si>
  <si>
    <t>Cooked Salmon</t>
  </si>
  <si>
    <t>cooked_salmon</t>
  </si>
  <si>
    <t>Cookie</t>
  </si>
  <si>
    <t>Copper Block</t>
  </si>
  <si>
    <t>Copper Bulb</t>
  </si>
  <si>
    <t>Copper Door</t>
  </si>
  <si>
    <t>copper_door</t>
  </si>
  <si>
    <t>Copper Grate</t>
  </si>
  <si>
    <t>Copper Ingot</t>
  </si>
  <si>
    <t>Copper Ore</t>
  </si>
  <si>
    <t>copper_ore</t>
  </si>
  <si>
    <t>Copper Trapdoor</t>
  </si>
  <si>
    <t>copper_trapdoor</t>
  </si>
  <si>
    <t>Cornflower</t>
  </si>
  <si>
    <t>Cracked Deepslate Bricks</t>
  </si>
  <si>
    <t>cracked_deepslate_bricks</t>
  </si>
  <si>
    <t>Cracked Deepslate Tiles</t>
  </si>
  <si>
    <t>cracked_deepslate_tiles</t>
  </si>
  <si>
    <t>Cracked Nether Bricks</t>
  </si>
  <si>
    <t>cracked_nether_bricks</t>
  </si>
  <si>
    <t>Cracked Polished Blackstone Bricks</t>
  </si>
  <si>
    <t>cracked_polished_blackstone_bricks</t>
  </si>
  <si>
    <t>Cracked Stone Bricks</t>
  </si>
  <si>
    <t>Crafter</t>
  </si>
  <si>
    <t>Crafting Table</t>
  </si>
  <si>
    <t>Creeper Banner Pattern</t>
  </si>
  <si>
    <t>Crimson Button</t>
  </si>
  <si>
    <t>crimson_button</t>
  </si>
  <si>
    <t>Crimson Door</t>
  </si>
  <si>
    <t>crimson_door</t>
  </si>
  <si>
    <t>Crimson Fence</t>
  </si>
  <si>
    <t>crimson_fence</t>
  </si>
  <si>
    <t>Crimson Fence Gate</t>
  </si>
  <si>
    <t>crimson_fence_gate</t>
  </si>
  <si>
    <t>Crimson Fungus</t>
  </si>
  <si>
    <t>Crimson Hanging Sign</t>
  </si>
  <si>
    <t>crimson_hanging_sign</t>
  </si>
  <si>
    <t>Crimson Hyphae</t>
  </si>
  <si>
    <t>crimson_hyphae</t>
  </si>
  <si>
    <t>Crimson Nylium</t>
  </si>
  <si>
    <t>Crimson Planks</t>
  </si>
  <si>
    <t>Crimson Pressure Plate</t>
  </si>
  <si>
    <t>crimson_pressure_plate</t>
  </si>
  <si>
    <t>Crimson Roots</t>
  </si>
  <si>
    <t>Crimson Sign</t>
  </si>
  <si>
    <t>crimson_sign</t>
  </si>
  <si>
    <t>Crimson Slab</t>
  </si>
  <si>
    <t>crimson_slab</t>
  </si>
  <si>
    <t>Crimson Stairs</t>
  </si>
  <si>
    <t>crimson_stairs</t>
  </si>
  <si>
    <t>Crimson Stem</t>
  </si>
  <si>
    <t>Crimson Trapdoor</t>
  </si>
  <si>
    <t>crimson_trapdoor</t>
  </si>
  <si>
    <t>Crossbow</t>
  </si>
  <si>
    <t>Crying Obsidian</t>
  </si>
  <si>
    <t>Cut Copper</t>
  </si>
  <si>
    <t>Cut Copper Slab</t>
  </si>
  <si>
    <t>cut_copper_slab</t>
  </si>
  <si>
    <t>Cut Copper Stairs</t>
  </si>
  <si>
    <t>cut_copper_stairs</t>
  </si>
  <si>
    <t>Cut Red Sandstone</t>
  </si>
  <si>
    <t>cut_red_sandstone</t>
  </si>
  <si>
    <t>Cut Red Sandstone Slab</t>
  </si>
  <si>
    <t>cut_red_sandstone_slab</t>
  </si>
  <si>
    <t>Cut Sandstone</t>
  </si>
  <si>
    <t>cut_sandstone</t>
  </si>
  <si>
    <t>Cut Sandstone Slab</t>
  </si>
  <si>
    <t>cut_sandstone_slab</t>
  </si>
  <si>
    <t>Cyan Banner</t>
  </si>
  <si>
    <t>Cyan Bed</t>
  </si>
  <si>
    <t>cyan_bed</t>
  </si>
  <si>
    <t>Cyan Candle</t>
  </si>
  <si>
    <t>cyan_candle</t>
  </si>
  <si>
    <t>Cyan Carpet</t>
  </si>
  <si>
    <t>Cyan Concrete</t>
  </si>
  <si>
    <t>cyan_concrete</t>
  </si>
  <si>
    <t>Cyan Concrete Powder</t>
  </si>
  <si>
    <t>cyan_concrete_powder</t>
  </si>
  <si>
    <t>Cyan Dye</t>
  </si>
  <si>
    <t>cyan_dye</t>
  </si>
  <si>
    <t>Cyan Glazed Terracotta</t>
  </si>
  <si>
    <t>cyan_glazed_terracotta</t>
  </si>
  <si>
    <t>Cyan Shulker Box</t>
  </si>
  <si>
    <t>Cyan Stained Glass</t>
  </si>
  <si>
    <t>Cyan Stained Glass Pane</t>
  </si>
  <si>
    <t>cyan_stained_glass_pane</t>
  </si>
  <si>
    <t>Cyan Terracotta</t>
  </si>
  <si>
    <t>cyan_terracotta</t>
  </si>
  <si>
    <t>Cyan Wool</t>
  </si>
  <si>
    <t>cyan_wool</t>
  </si>
  <si>
    <t>Damaged Anvil</t>
  </si>
  <si>
    <t>Dandelion</t>
  </si>
  <si>
    <t>dandelion</t>
  </si>
  <si>
    <t>Danger Pottery Sherd</t>
  </si>
  <si>
    <t>danger_pottery_sherd</t>
  </si>
  <si>
    <t>Dark Oak Boat</t>
  </si>
  <si>
    <t>Dark Oak Button</t>
  </si>
  <si>
    <t>dark_oak_button</t>
  </si>
  <si>
    <t>Dark Oak Chest Boat</t>
  </si>
  <si>
    <t>dark_oak_chest_boat</t>
  </si>
  <si>
    <t>Dark Oak Door</t>
  </si>
  <si>
    <t>Dark Oak Fence</t>
  </si>
  <si>
    <t>Dark Oak Fence Gate</t>
  </si>
  <si>
    <t>dark_oak_fence_gate</t>
  </si>
  <si>
    <t>Dark Oak Hanging Sign</t>
  </si>
  <si>
    <t>dark_oak_hanging_sign</t>
  </si>
  <si>
    <t>Dark Oak Leaves</t>
  </si>
  <si>
    <t>dark_oak_leaves</t>
  </si>
  <si>
    <t>Dark Oak Log</t>
  </si>
  <si>
    <t>dark_oak_log</t>
  </si>
  <si>
    <t>Dark Oak Planks</t>
  </si>
  <si>
    <t>Dark Oak Pressure Plate</t>
  </si>
  <si>
    <t>dark_oak_pressure_plate</t>
  </si>
  <si>
    <t>Dark Oak Sapling</t>
  </si>
  <si>
    <t>Dark Oak Sign</t>
  </si>
  <si>
    <t>dark_oak_sign</t>
  </si>
  <si>
    <t>Dark Oak Slab</t>
  </si>
  <si>
    <t>dark_oak_slab</t>
  </si>
  <si>
    <t>Dark Oak Stairs</t>
  </si>
  <si>
    <t>dark_oak_stairs</t>
  </si>
  <si>
    <t>Dark Oak Trapdoor</t>
  </si>
  <si>
    <t>dark_oak_trapdoor</t>
  </si>
  <si>
    <t>Dark Oak Wood</t>
  </si>
  <si>
    <t>dark_oak_wood</t>
  </si>
  <si>
    <t>Dark Prismarine</t>
  </si>
  <si>
    <t>dark_prismarine</t>
  </si>
  <si>
    <t>Dark Prismarine Slab</t>
  </si>
  <si>
    <t>dark_prismarine_slab</t>
  </si>
  <si>
    <t>Dark Prismarine Stairs</t>
  </si>
  <si>
    <t>dark_prismarine_stairs</t>
  </si>
  <si>
    <t>Daylight Detector</t>
  </si>
  <si>
    <t>Dead Brain Coral</t>
  </si>
  <si>
    <t>dead_brain_coral</t>
  </si>
  <si>
    <t>Dead Brain Coral Block</t>
  </si>
  <si>
    <t>Dead Brain Coral Fan</t>
  </si>
  <si>
    <t>dead_brain_coral_fan</t>
  </si>
  <si>
    <t>Dead Bubble Coral</t>
  </si>
  <si>
    <t>dead_bubble_coral</t>
  </si>
  <si>
    <t>Dead Bubble Coral Block</t>
  </si>
  <si>
    <t>dead_bubble_coral_block</t>
  </si>
  <si>
    <t>Dead Bubble Coral Fan</t>
  </si>
  <si>
    <t>dead_bubble_coral_fan</t>
  </si>
  <si>
    <t>Dead Bush</t>
  </si>
  <si>
    <t>Dead Fire Coral</t>
  </si>
  <si>
    <t>dead_fire_coral</t>
  </si>
  <si>
    <t>Dead Fire Coral Block</t>
  </si>
  <si>
    <t>dead_fire_coral_block</t>
  </si>
  <si>
    <t>Dead Fire Coral Fan</t>
  </si>
  <si>
    <t>dead_fire_coral_fan</t>
  </si>
  <si>
    <t>Dead Horn Coral</t>
  </si>
  <si>
    <t>dead_horn_coral</t>
  </si>
  <si>
    <t>Dead Horn Coral Block</t>
  </si>
  <si>
    <t>dead_horn_coral_block</t>
  </si>
  <si>
    <t>Dead Horn Coral Fan</t>
  </si>
  <si>
    <t>Dead Tube Coral</t>
  </si>
  <si>
    <t>dead_tube_coral</t>
  </si>
  <si>
    <t>Dead Tube Coral Block</t>
  </si>
  <si>
    <t>dead_tube_coral_block</t>
  </si>
  <si>
    <t>Dead Tube Coral Fan</t>
  </si>
  <si>
    <t>dead_tube_coral_fan</t>
  </si>
  <si>
    <t>Decorated Pot</t>
  </si>
  <si>
    <t>Deepslate</t>
  </si>
  <si>
    <t>Deepslate Brick Slab</t>
  </si>
  <si>
    <t>deepslate_brick_slab</t>
  </si>
  <si>
    <t>Deepslate Brick Stairs</t>
  </si>
  <si>
    <t>deepslate_brick_stairs</t>
  </si>
  <si>
    <t>Deepslate Brick Wall</t>
  </si>
  <si>
    <t>deepslate_brick_wall</t>
  </si>
  <si>
    <t>Deepslate Bricks</t>
  </si>
  <si>
    <t>deepslate_bricks</t>
  </si>
  <si>
    <t>Deepslate Coal Ore</t>
  </si>
  <si>
    <t>deepslate_coal_ore</t>
  </si>
  <si>
    <t>Deepslate Copper Ore</t>
  </si>
  <si>
    <t>deepslate_copper_ore</t>
  </si>
  <si>
    <t>Deepslate Diamond Ore</t>
  </si>
  <si>
    <t>deepslate_emerald_ore</t>
  </si>
  <si>
    <t>Deepslate Gold Ore</t>
  </si>
  <si>
    <t>deepslate_gold_ore</t>
  </si>
  <si>
    <t>Deepslate Iron Ore</t>
  </si>
  <si>
    <t>deepslate_iron_ore</t>
  </si>
  <si>
    <t>Deepslate Lapis Ore</t>
  </si>
  <si>
    <t>deepslate_lapis_ore</t>
  </si>
  <si>
    <t>Deepslate Redstone Ore</t>
  </si>
  <si>
    <t>Deepslate Tile Slab</t>
  </si>
  <si>
    <t>deepslate_tile_slab</t>
  </si>
  <si>
    <t>Deepslate Tile Stairs</t>
  </si>
  <si>
    <t>deepslate_tile_stairs</t>
  </si>
  <si>
    <t>Deepslate Tile Wall</t>
  </si>
  <si>
    <t>deepslate_tile_wall</t>
  </si>
  <si>
    <t>Deepslate Tiles</t>
  </si>
  <si>
    <t>Detector Rail</t>
  </si>
  <si>
    <t>Diamond</t>
  </si>
  <si>
    <t>Diamond Axe</t>
  </si>
  <si>
    <t>Diamond Block</t>
  </si>
  <si>
    <t>Diamond Boots</t>
  </si>
  <si>
    <t>Diamond Chestplate</t>
  </si>
  <si>
    <t>Diamond Helmet</t>
  </si>
  <si>
    <t>Diamond Hoe</t>
  </si>
  <si>
    <t>Diamond Horse Armor</t>
  </si>
  <si>
    <t>Diamond Leggings</t>
  </si>
  <si>
    <t>Diamond Ore</t>
  </si>
  <si>
    <t>Diamond Pickaxe</t>
  </si>
  <si>
    <t>Diamond Shovel</t>
  </si>
  <si>
    <t>Diamond Sword</t>
  </si>
  <si>
    <t>Diorite</t>
  </si>
  <si>
    <t>Diorite Slab</t>
  </si>
  <si>
    <t>diorite_slab</t>
  </si>
  <si>
    <t>Diorite Stairs</t>
  </si>
  <si>
    <t>diorite_stairs</t>
  </si>
  <si>
    <t>Diorite Wall</t>
  </si>
  <si>
    <t>diorite_wall</t>
  </si>
  <si>
    <t>Dirt</t>
  </si>
  <si>
    <t>dirt</t>
  </si>
  <si>
    <t>Disc Fragment 5</t>
  </si>
  <si>
    <t>disc_fragment_5</t>
  </si>
  <si>
    <t>Dispenser</t>
  </si>
  <si>
    <t>Dragon Breath</t>
  </si>
  <si>
    <t>Dragon Egg</t>
  </si>
  <si>
    <t>Dragon Head</t>
  </si>
  <si>
    <t>Dried Kelp</t>
  </si>
  <si>
    <t>Drowned Farm</t>
  </si>
  <si>
    <t>Dried Kelp Block</t>
  </si>
  <si>
    <t>Dripstone Block</t>
  </si>
  <si>
    <t>Dropper</t>
  </si>
  <si>
    <t>Dune Armor Trim</t>
  </si>
  <si>
    <t>dune_armor_trim</t>
  </si>
  <si>
    <t>Echo Shard</t>
  </si>
  <si>
    <t>Egg</t>
  </si>
  <si>
    <t>Elytra</t>
  </si>
  <si>
    <t>Emerald</t>
  </si>
  <si>
    <t>Emerald Block</t>
  </si>
  <si>
    <t>Emerald Ore</t>
  </si>
  <si>
    <t>Enchanted Book</t>
  </si>
  <si>
    <t>Enchanted Golden Apple</t>
  </si>
  <si>
    <t>Enchanting Table</t>
  </si>
  <si>
    <t>End Crystal</t>
  </si>
  <si>
    <t>End Rod</t>
  </si>
  <si>
    <t>End Stone</t>
  </si>
  <si>
    <t>End Stone Brick Slab</t>
  </si>
  <si>
    <t>end_stone_brick_slab</t>
  </si>
  <si>
    <t>End Stone Brick Stairs</t>
  </si>
  <si>
    <t>end_stone_brick_stairs</t>
  </si>
  <si>
    <t>End Stone Brick Wall</t>
  </si>
  <si>
    <t>end_stone_brick_wall</t>
  </si>
  <si>
    <t>End Stone Bricks</t>
  </si>
  <si>
    <t>Ender Chest</t>
  </si>
  <si>
    <t>Ender Eye</t>
  </si>
  <si>
    <t>Ender Pearl</t>
  </si>
  <si>
    <t>Experience Bottle</t>
  </si>
  <si>
    <t>Explorer Pottery Sherd</t>
  </si>
  <si>
    <t>explorer_pottery_sherd</t>
  </si>
  <si>
    <t>Exposed Chiseled Copper</t>
  </si>
  <si>
    <t>exposed_chiseled_copper</t>
  </si>
  <si>
    <t>Exposed Copper</t>
  </si>
  <si>
    <t>exposed_copper</t>
  </si>
  <si>
    <t>Exposed Copper Bulb</t>
  </si>
  <si>
    <t>exposed_copper_bulb</t>
  </si>
  <si>
    <t>Exposed Copper Door</t>
  </si>
  <si>
    <t>exposed_copper_door</t>
  </si>
  <si>
    <t>Exposed Copper Grate</t>
  </si>
  <si>
    <t>exposed_copper_grate</t>
  </si>
  <si>
    <t>Exposed Copper Trapdoor</t>
  </si>
  <si>
    <t>exposed_copper_trapdoor</t>
  </si>
  <si>
    <t>Exposed Cut Copper</t>
  </si>
  <si>
    <t>Exposed Cut Copper Slab</t>
  </si>
  <si>
    <t>exposed_cut_copper_slab</t>
  </si>
  <si>
    <t>Exposed Cut Copper Stairs</t>
  </si>
  <si>
    <t>exposed_cut_copper_stairs</t>
  </si>
  <si>
    <t>Eye Armor Trim</t>
  </si>
  <si>
    <t>eye_armor_trim</t>
  </si>
  <si>
    <t>Feather</t>
  </si>
  <si>
    <t>Fermented Spider Eye</t>
  </si>
  <si>
    <t>Fern</t>
  </si>
  <si>
    <t>fern</t>
  </si>
  <si>
    <t>Filled Map</t>
  </si>
  <si>
    <t>Fire Charge</t>
  </si>
  <si>
    <t>Fire Coral</t>
  </si>
  <si>
    <t>fire_coral</t>
  </si>
  <si>
    <t>Fire Coral Block</t>
  </si>
  <si>
    <t>fire_coral_block</t>
  </si>
  <si>
    <t>Fire Coral Fan</t>
  </si>
  <si>
    <t>Firework Rocket</t>
  </si>
  <si>
    <t>Firework Star</t>
  </si>
  <si>
    <t>Fishing Rod</t>
  </si>
  <si>
    <t>Fletching Table</t>
  </si>
  <si>
    <t>Flint</t>
  </si>
  <si>
    <t>Flint And Steel</t>
  </si>
  <si>
    <t>Flow Armor Trim Smithing Template</t>
  </si>
  <si>
    <t>flow_armor_trim_smithing_template</t>
  </si>
  <si>
    <t>Flow Banner Pattern</t>
  </si>
  <si>
    <t>flow_banner_pattern</t>
  </si>
  <si>
    <t>Flow Pottery Sherd</t>
  </si>
  <si>
    <t>flow_pottery_sherd</t>
  </si>
  <si>
    <t>Flower Banner Pattern</t>
  </si>
  <si>
    <t>flower_banner_pattern</t>
  </si>
  <si>
    <t>Flower Pot</t>
  </si>
  <si>
    <t>Flowering Azalea</t>
  </si>
  <si>
    <t>Flowering Azalea Leaves</t>
  </si>
  <si>
    <t>flowering_azalea_leaves</t>
  </si>
  <si>
    <t>Friend Pottery Sherd</t>
  </si>
  <si>
    <t>friend_pottery_sherd</t>
  </si>
  <si>
    <t>Furnace</t>
  </si>
  <si>
    <t>Furnace Minecart</t>
  </si>
  <si>
    <t>Nether Exploring</t>
  </si>
  <si>
    <t>Ghast Tear</t>
  </si>
  <si>
    <t>Gilded Blackstone</t>
  </si>
  <si>
    <t>Glass</t>
  </si>
  <si>
    <t>Glass Bottle</t>
  </si>
  <si>
    <t>Glass Pane</t>
  </si>
  <si>
    <t>Glistering Melon Slice</t>
  </si>
  <si>
    <t>Globe Banner Pattern</t>
  </si>
  <si>
    <t>globe_banner_pattern</t>
  </si>
  <si>
    <t>Glow Berries</t>
  </si>
  <si>
    <t>Glow Ink Sac</t>
  </si>
  <si>
    <t>Glow Item Frame</t>
  </si>
  <si>
    <t>Glow Lichen</t>
  </si>
  <si>
    <t>Glowstone</t>
  </si>
  <si>
    <t>Glowstone Dust</t>
  </si>
  <si>
    <t>Goat Horn</t>
  </si>
  <si>
    <t>Gold Block</t>
  </si>
  <si>
    <t>Gold Ingot</t>
  </si>
  <si>
    <t>Gold Nugget</t>
  </si>
  <si>
    <t>Gold Ore</t>
  </si>
  <si>
    <t>Golden Apple</t>
  </si>
  <si>
    <t>Golden Axe</t>
  </si>
  <si>
    <t>Golden Boots</t>
  </si>
  <si>
    <t>Golden Carrot</t>
  </si>
  <si>
    <t>Golden Chestplate</t>
  </si>
  <si>
    <t>Golden Helmet</t>
  </si>
  <si>
    <t>golden_helmet</t>
  </si>
  <si>
    <t>Golden Hoe</t>
  </si>
  <si>
    <t>golden_hoe</t>
  </si>
  <si>
    <t>Golden Horse Armor</t>
  </si>
  <si>
    <t>Golden Leggings</t>
  </si>
  <si>
    <t>Golden Pickaxe</t>
  </si>
  <si>
    <t>Golden Shovel</t>
  </si>
  <si>
    <t>Golden Sword</t>
  </si>
  <si>
    <t>Granite</t>
  </si>
  <si>
    <t>Granite Slab</t>
  </si>
  <si>
    <t>granite_slab</t>
  </si>
  <si>
    <t>Granite Stairs</t>
  </si>
  <si>
    <t>granite_stairs</t>
  </si>
  <si>
    <t>Granite Wall</t>
  </si>
  <si>
    <t>granite_wall</t>
  </si>
  <si>
    <t>Grass</t>
  </si>
  <si>
    <t>grass</t>
  </si>
  <si>
    <t>Grass Block</t>
  </si>
  <si>
    <t>Gravel</t>
  </si>
  <si>
    <t>Gray Banner</t>
  </si>
  <si>
    <t>gray_banner</t>
  </si>
  <si>
    <t>Gray Bed</t>
  </si>
  <si>
    <t>gray_bed</t>
  </si>
  <si>
    <t>Gray Candle</t>
  </si>
  <si>
    <t>gray_candle</t>
  </si>
  <si>
    <t>Gray Carpet</t>
  </si>
  <si>
    <t>gray_carpet</t>
  </si>
  <si>
    <t>Gray Concrete</t>
  </si>
  <si>
    <t>gray_concrete</t>
  </si>
  <si>
    <t>Gray Concrete Powder</t>
  </si>
  <si>
    <t>gray_concrete_powder</t>
  </si>
  <si>
    <t>Gray Dye</t>
  </si>
  <si>
    <t>gray_dye</t>
  </si>
  <si>
    <t>Gray Glazed Terracotta</t>
  </si>
  <si>
    <t>gray_glazed_terracotta</t>
  </si>
  <si>
    <t>Gray Shulker Box</t>
  </si>
  <si>
    <t>gray_shulker_box</t>
  </si>
  <si>
    <t>Gray Stained Glass</t>
  </si>
  <si>
    <t>gray_stained_glass</t>
  </si>
  <si>
    <t>Gray Stained Glass Pane</t>
  </si>
  <si>
    <t>gray_stained_glass_pane</t>
  </si>
  <si>
    <t>Gray Terracotta</t>
  </si>
  <si>
    <t>gray_terracotta</t>
  </si>
  <si>
    <t>Gray Wool</t>
  </si>
  <si>
    <t>Green Banner</t>
  </si>
  <si>
    <t>green_banner</t>
  </si>
  <si>
    <t>Green Bed</t>
  </si>
  <si>
    <t>green_bed</t>
  </si>
  <si>
    <t>Green Candle</t>
  </si>
  <si>
    <t>green_candle</t>
  </si>
  <si>
    <t>Green Carpet</t>
  </si>
  <si>
    <t>green_carpet</t>
  </si>
  <si>
    <t>Green Concrete</t>
  </si>
  <si>
    <t>green_concrete</t>
  </si>
  <si>
    <t>Green Concrete Powder</t>
  </si>
  <si>
    <t>green_concrete_powder</t>
  </si>
  <si>
    <t>Green Dye</t>
  </si>
  <si>
    <t>Green Glazed Terracotta</t>
  </si>
  <si>
    <t>green_glazed_terracotta</t>
  </si>
  <si>
    <t>Green Shulker Box</t>
  </si>
  <si>
    <t>green_shulker_box</t>
  </si>
  <si>
    <t>Green Stained Glass</t>
  </si>
  <si>
    <t>green_stained_glass</t>
  </si>
  <si>
    <t>Green Stained Glass Pane</t>
  </si>
  <si>
    <t>Green Terracotta</t>
  </si>
  <si>
    <t>green_terracotta</t>
  </si>
  <si>
    <t>Green Wool</t>
  </si>
  <si>
    <t>green_wool</t>
  </si>
  <si>
    <t>Grindstone</t>
  </si>
  <si>
    <t>Gunpowder</t>
  </si>
  <si>
    <t>Guster Banner Pattern</t>
  </si>
  <si>
    <t>guster_banner_pattern</t>
  </si>
  <si>
    <t>Guster Pottery Sherd</t>
  </si>
  <si>
    <t>guster_pottery_sherd</t>
  </si>
  <si>
    <t>Hanging Roots</t>
  </si>
  <si>
    <t>hanging_roots</t>
  </si>
  <si>
    <t>Hay Block</t>
  </si>
  <si>
    <t>Heart Of The Sea</t>
  </si>
  <si>
    <t>Heart Pottery Sherd</t>
  </si>
  <si>
    <t>heart_pottery_sherd</t>
  </si>
  <si>
    <t>Heartbreak Pottery Sherd</t>
  </si>
  <si>
    <t>heartbreak_pottery_sherd</t>
  </si>
  <si>
    <t>Heavy Core</t>
  </si>
  <si>
    <t>heavy_core</t>
  </si>
  <si>
    <t>Heavy Weighted Pressure Plate</t>
  </si>
  <si>
    <t>Honey Block</t>
  </si>
  <si>
    <t>Honey Bottle</t>
  </si>
  <si>
    <t>Honeycomb</t>
  </si>
  <si>
    <t>Honeycomb Block</t>
  </si>
  <si>
    <t>Hopper</t>
  </si>
  <si>
    <t>Hopper Minecart</t>
  </si>
  <si>
    <t>Horn Coral</t>
  </si>
  <si>
    <t>horn_coral</t>
  </si>
  <si>
    <t>Horn Coral Block</t>
  </si>
  <si>
    <t>horn_coral_block</t>
  </si>
  <si>
    <t>Horn Coral Fan</t>
  </si>
  <si>
    <t>horn_coral_fan</t>
  </si>
  <si>
    <t>Host Armor Trim</t>
  </si>
  <si>
    <t>host_armor_trim</t>
  </si>
  <si>
    <t>Howl Pottery Sherd</t>
  </si>
  <si>
    <t>howl_pottery_sherd</t>
  </si>
  <si>
    <t>Ice</t>
  </si>
  <si>
    <t>Ink Sac</t>
  </si>
  <si>
    <t>Iron Axe</t>
  </si>
  <si>
    <t>Iron Bars</t>
  </si>
  <si>
    <t>Iron Block</t>
  </si>
  <si>
    <t>Iron Boots</t>
  </si>
  <si>
    <t>Iron Chestplate</t>
  </si>
  <si>
    <t>Iron Door</t>
  </si>
  <si>
    <t>Iron Helmet</t>
  </si>
  <si>
    <t>Iron Hoe</t>
  </si>
  <si>
    <t>iron_hoe</t>
  </si>
  <si>
    <t>Iron Horse Armor</t>
  </si>
  <si>
    <t>Iron Ingot</t>
  </si>
  <si>
    <t>Iron Leggings</t>
  </si>
  <si>
    <t>iron_leggings</t>
  </si>
  <si>
    <t>Iron Nugget</t>
  </si>
  <si>
    <t>Iron Ore</t>
  </si>
  <si>
    <t>iron_ore</t>
  </si>
  <si>
    <t>Iron Pickaxe</t>
  </si>
  <si>
    <t>Iron Shovel</t>
  </si>
  <si>
    <t>Iron Sword</t>
  </si>
  <si>
    <t>Iron Trapdoor</t>
  </si>
  <si>
    <t>iron_trapdoor</t>
  </si>
  <si>
    <t>Item Frame</t>
  </si>
  <si>
    <t>Jack O Lantern</t>
  </si>
  <si>
    <t>Jukebox</t>
  </si>
  <si>
    <t>Jungle Boat</t>
  </si>
  <si>
    <t>Jungle Button</t>
  </si>
  <si>
    <t>jungle_button</t>
  </si>
  <si>
    <t>Jungle Chest Boat</t>
  </si>
  <si>
    <t>jungle_chest_boat</t>
  </si>
  <si>
    <t>Jungle Door</t>
  </si>
  <si>
    <t>jungle_door</t>
  </si>
  <si>
    <t>Jungle Fence</t>
  </si>
  <si>
    <t>jungle_fence</t>
  </si>
  <si>
    <t>Jungle Fence Gate</t>
  </si>
  <si>
    <t>jungle_fence_gate</t>
  </si>
  <si>
    <t>Jungle Hanging Sign</t>
  </si>
  <si>
    <t>jungle_hanging_sign</t>
  </si>
  <si>
    <t>Jungle Leaves</t>
  </si>
  <si>
    <t>Jungle Log</t>
  </si>
  <si>
    <t>Jungle Planks</t>
  </si>
  <si>
    <t>jungle_planks</t>
  </si>
  <si>
    <t>Jungle Pressure Plate</t>
  </si>
  <si>
    <t>jungle_pressure_plate</t>
  </si>
  <si>
    <t>Jungle Sapling</t>
  </si>
  <si>
    <t>Jungle Sign</t>
  </si>
  <si>
    <t>jungle_sign</t>
  </si>
  <si>
    <t>Jungle Slab</t>
  </si>
  <si>
    <t>jungle_slab</t>
  </si>
  <si>
    <t>Jungle Stairs</t>
  </si>
  <si>
    <t>jungle_stairs</t>
  </si>
  <si>
    <t>Jungle Trapdoor</t>
  </si>
  <si>
    <t>jungle_trapdoor</t>
  </si>
  <si>
    <t>Jungle Wood</t>
  </si>
  <si>
    <t>jungle_wood</t>
  </si>
  <si>
    <t>Kelp</t>
  </si>
  <si>
    <t>Ladder</t>
  </si>
  <si>
    <t>Lantern</t>
  </si>
  <si>
    <t>Lapis Block</t>
  </si>
  <si>
    <t>Lapis Lazuli</t>
  </si>
  <si>
    <t>Lapis Ore</t>
  </si>
  <si>
    <t>lapis_ore</t>
  </si>
  <si>
    <t>Large Amethyst Bud</t>
  </si>
  <si>
    <t>large_amethyst_bud</t>
  </si>
  <si>
    <t>Large Fern</t>
  </si>
  <si>
    <t>Lava Bucket</t>
  </si>
  <si>
    <t>Lead</t>
  </si>
  <si>
    <t>Leather</t>
  </si>
  <si>
    <t>Leather Boots</t>
  </si>
  <si>
    <t>Leather Chestplate</t>
  </si>
  <si>
    <t>Leather Helmet</t>
  </si>
  <si>
    <t>Leather Horse Armor</t>
  </si>
  <si>
    <t>Leather Leggings</t>
  </si>
  <si>
    <t>Lectern</t>
  </si>
  <si>
    <t>Lever</t>
  </si>
  <si>
    <t>Light Blue Banner</t>
  </si>
  <si>
    <t>light_blue_banner</t>
  </si>
  <si>
    <t>Light Blue Bed</t>
  </si>
  <si>
    <t>Light Blue Candle</t>
  </si>
  <si>
    <t>light_blue_candle</t>
  </si>
  <si>
    <t>Light Blue Carpet</t>
  </si>
  <si>
    <t>Light Blue Concrete</t>
  </si>
  <si>
    <t>Light Blue Concrete Powder</t>
  </si>
  <si>
    <t>Light Blue Dye</t>
  </si>
  <si>
    <t>Light Blue Glazed Terracotta</t>
  </si>
  <si>
    <t>light_blue_glazed_terracotta</t>
  </si>
  <si>
    <t>Light Blue Shulker Box</t>
  </si>
  <si>
    <t>Light Blue Stained Glass</t>
  </si>
  <si>
    <t>light_blue_stained_glass</t>
  </si>
  <si>
    <t>Light Blue Stained Glass Pane</t>
  </si>
  <si>
    <t>Light Blue Terracotta</t>
  </si>
  <si>
    <t>light_blue_terracotta</t>
  </si>
  <si>
    <t>Light Blue Wool</t>
  </si>
  <si>
    <t>Light Gray Banner</t>
  </si>
  <si>
    <t>light_gray_banner</t>
  </si>
  <si>
    <t>Light Gray Bed</t>
  </si>
  <si>
    <t>light_gray_bed</t>
  </si>
  <si>
    <t>Light Gray Candle</t>
  </si>
  <si>
    <t>light_gray_candle</t>
  </si>
  <si>
    <t>Light Gray Carpet</t>
  </si>
  <si>
    <t>Light Gray Concrete</t>
  </si>
  <si>
    <t>light_gray_concrete</t>
  </si>
  <si>
    <t>Light Gray Concrete Powder</t>
  </si>
  <si>
    <t>light_gray_concrete_powder</t>
  </si>
  <si>
    <t>Light Gray Dye</t>
  </si>
  <si>
    <t>light_gray_dye</t>
  </si>
  <si>
    <t>Light Gray Glazed Terracotta</t>
  </si>
  <si>
    <t>light_gray_glazed_terracotta</t>
  </si>
  <si>
    <t>Light Gray Shulker Box</t>
  </si>
  <si>
    <t>light_gray_shulker_box</t>
  </si>
  <si>
    <t>Light Gray Stained Glass</t>
  </si>
  <si>
    <t>light_gray_stained_glass</t>
  </si>
  <si>
    <t>Light Gray Stained Glass Pane</t>
  </si>
  <si>
    <t>light_gray_stained_glass_pane</t>
  </si>
  <si>
    <t>Light Gray Terracotta</t>
  </si>
  <si>
    <t>light_gray_terracotta</t>
  </si>
  <si>
    <t>Light Gray Wool</t>
  </si>
  <si>
    <t>Light Weighted Pressure Plate</t>
  </si>
  <si>
    <t>Lightning Rod</t>
  </si>
  <si>
    <t>Lilac</t>
  </si>
  <si>
    <t>lilac</t>
  </si>
  <si>
    <t>Lily Of The Valley</t>
  </si>
  <si>
    <t>Lily Pad</t>
  </si>
  <si>
    <t>Lime Banner</t>
  </si>
  <si>
    <t>lime_banner</t>
  </si>
  <si>
    <t>Lime Bed</t>
  </si>
  <si>
    <t>lime_bed</t>
  </si>
  <si>
    <t>Lime Candle</t>
  </si>
  <si>
    <t>lime_candle</t>
  </si>
  <si>
    <t>Lime Carpet</t>
  </si>
  <si>
    <t>lime_carpet</t>
  </si>
  <si>
    <t>Lime Concrete</t>
  </si>
  <si>
    <t>lime_concrete</t>
  </si>
  <si>
    <t>Lime Concrete Powder</t>
  </si>
  <si>
    <t>lime_concrete_powder</t>
  </si>
  <si>
    <t>Lime Dye</t>
  </si>
  <si>
    <t>lime_dye</t>
  </si>
  <si>
    <t>Lime Glazed Terracotta</t>
  </si>
  <si>
    <t>lime_glazed_terracotta</t>
  </si>
  <si>
    <t>Lime Shulker Box</t>
  </si>
  <si>
    <t>Lime Stained Glass</t>
  </si>
  <si>
    <t>lime_stained_glass</t>
  </si>
  <si>
    <t>Lime Stained Glass Pane</t>
  </si>
  <si>
    <t>lime_stained_glass_pane</t>
  </si>
  <si>
    <t>Lime Terracotta</t>
  </si>
  <si>
    <t>lime_terracotta</t>
  </si>
  <si>
    <t>Lime Wool</t>
  </si>
  <si>
    <t>lime_wool</t>
  </si>
  <si>
    <t>Lingering Potion</t>
  </si>
  <si>
    <t>Lodestone</t>
  </si>
  <si>
    <t>Loom</t>
  </si>
  <si>
    <t>Mace</t>
  </si>
  <si>
    <t>Magenta Banner</t>
  </si>
  <si>
    <t>Magenta Bed</t>
  </si>
  <si>
    <t>Magenta Candle</t>
  </si>
  <si>
    <t>magenta_candle</t>
  </si>
  <si>
    <t>Magenta Carpet</t>
  </si>
  <si>
    <t>Magenta Concrete</t>
  </si>
  <si>
    <t>Magenta Concrete Powder</t>
  </si>
  <si>
    <t>magenta_concrete_powder</t>
  </si>
  <si>
    <t>Magenta Dye</t>
  </si>
  <si>
    <t>magenta_dye</t>
  </si>
  <si>
    <t>Magenta Glazed Terracotta</t>
  </si>
  <si>
    <t>Magenta Shulker Box</t>
  </si>
  <si>
    <t>magenta_shulker_box</t>
  </si>
  <si>
    <t>Magenta Stained Glass</t>
  </si>
  <si>
    <t>Magenta Stained Glass Pane</t>
  </si>
  <si>
    <t>magenta_stained_glass_pane</t>
  </si>
  <si>
    <t>Magenta Terracotta</t>
  </si>
  <si>
    <t>Magenta Wool</t>
  </si>
  <si>
    <t>Magma Block</t>
  </si>
  <si>
    <t>Magma Cream</t>
  </si>
  <si>
    <t>Mangrove Boat</t>
  </si>
  <si>
    <t>mangrove_boat</t>
  </si>
  <si>
    <t>Mangrove Button</t>
  </si>
  <si>
    <t>mangrove_button</t>
  </si>
  <si>
    <t>Mangrove Chest Boat</t>
  </si>
  <si>
    <t>mangrove_chest_boat</t>
  </si>
  <si>
    <t>Mangrove Door</t>
  </si>
  <si>
    <t>mangrove_door</t>
  </si>
  <si>
    <t>Mangrove Fence</t>
  </si>
  <si>
    <t>Mangrove Fence Gate</t>
  </si>
  <si>
    <t>mangrove_fence_gate</t>
  </si>
  <si>
    <t>Mangrove Hanging Sign</t>
  </si>
  <si>
    <t>mangrove_hanging_sign</t>
  </si>
  <si>
    <t>Mangrove Leaves</t>
  </si>
  <si>
    <t>mangrove_leaves</t>
  </si>
  <si>
    <t>Mangrove Log</t>
  </si>
  <si>
    <t>mangrove_log</t>
  </si>
  <si>
    <t>Mangrove Planks</t>
  </si>
  <si>
    <t>mangrove_planks</t>
  </si>
  <si>
    <t>Mangrove Pressure Plate</t>
  </si>
  <si>
    <t>mangrove_pressure_plate</t>
  </si>
  <si>
    <t>Mangrove Propagule</t>
  </si>
  <si>
    <t>Mangrove Roots</t>
  </si>
  <si>
    <t>mangrove_roots</t>
  </si>
  <si>
    <t>Mangrove Sign</t>
  </si>
  <si>
    <t>mangrove_sign</t>
  </si>
  <si>
    <t>Mangrove Slab</t>
  </si>
  <si>
    <t>mangrove_slab</t>
  </si>
  <si>
    <t>Mangrove Stairs</t>
  </si>
  <si>
    <t>mangrove_stairs</t>
  </si>
  <si>
    <t>Mangrove Trapdoor</t>
  </si>
  <si>
    <t>mangrove_trapdoor</t>
  </si>
  <si>
    <t>Mangrove Wood</t>
  </si>
  <si>
    <t>mangrove_wood</t>
  </si>
  <si>
    <t>Map</t>
  </si>
  <si>
    <t>Medium Amethyst Bud</t>
  </si>
  <si>
    <t>medium_amethyst_bud</t>
  </si>
  <si>
    <t>Melon</t>
  </si>
  <si>
    <t>Melon Seeds</t>
  </si>
  <si>
    <t>melon_seeds</t>
  </si>
  <si>
    <t>Melon Slice</t>
  </si>
  <si>
    <t>Milk Bucket</t>
  </si>
  <si>
    <t>Minecart</t>
  </si>
  <si>
    <t>Miner Pottery Sherd</t>
  </si>
  <si>
    <t>miner_pottery_sherd</t>
  </si>
  <si>
    <t>Mojang Banner Pattern</t>
  </si>
  <si>
    <t>mojang_banner_pattern</t>
  </si>
  <si>
    <t>Moss Block</t>
  </si>
  <si>
    <t>Moss Carpet</t>
  </si>
  <si>
    <t>Mossy Cobblestone</t>
  </si>
  <si>
    <t>Mossy Cobblestone Slab</t>
  </si>
  <si>
    <t>mossy_cobblestone_slab</t>
  </si>
  <si>
    <t>Mossy Cobblestone Stairs</t>
  </si>
  <si>
    <t>mossy_cobblestone_stairs</t>
  </si>
  <si>
    <t>Mossy Cobblestone Wall</t>
  </si>
  <si>
    <t>Mossy Stone Brick Slab</t>
  </si>
  <si>
    <t>mossy_stone_brick_slab</t>
  </si>
  <si>
    <t>Mossy Stone Brick Stairs</t>
  </si>
  <si>
    <t>mossy_stone_brick_stairs</t>
  </si>
  <si>
    <t>Mossy Stone Brick Wall</t>
  </si>
  <si>
    <t>mossy_stone_brick_wall</t>
  </si>
  <si>
    <t>Mossy Stone Bricks</t>
  </si>
  <si>
    <t>mossy_stone_bricks</t>
  </si>
  <si>
    <t>Mourner Pottery Sherd</t>
  </si>
  <si>
    <t>mourner_pottery_sherd</t>
  </si>
  <si>
    <t>Mud</t>
  </si>
  <si>
    <t>Mud Brick Slab</t>
  </si>
  <si>
    <t>mud_brick_slab</t>
  </si>
  <si>
    <t>Mud Brick Stairs</t>
  </si>
  <si>
    <t>mud_brick_stairs</t>
  </si>
  <si>
    <t>Mud Brick Wall</t>
  </si>
  <si>
    <t>mud_brick_wall</t>
  </si>
  <si>
    <t>Mud Bricks</t>
  </si>
  <si>
    <t>Muddy Mangrove Roots</t>
  </si>
  <si>
    <t>muddy_mangrove_roots</t>
  </si>
  <si>
    <t>Mushroom Stem</t>
  </si>
  <si>
    <t>mushroom_stem</t>
  </si>
  <si>
    <t>Mushroom Stew</t>
  </si>
  <si>
    <t>Music Disc 11</t>
  </si>
  <si>
    <t>music_disc_11</t>
  </si>
  <si>
    <t>Music Disc 13</t>
  </si>
  <si>
    <t>music_disc_13</t>
  </si>
  <si>
    <t>Music Disc 5</t>
  </si>
  <si>
    <t>Music Disc Blocks</t>
  </si>
  <si>
    <t>music_disc_blocks</t>
  </si>
  <si>
    <t>Music Disc Cat</t>
  </si>
  <si>
    <t>Music Disc Chirp</t>
  </si>
  <si>
    <t>Music Disc Creator</t>
  </si>
  <si>
    <t>Music Disc Creator Music Box</t>
  </si>
  <si>
    <t>music_disc_creator_music_box</t>
  </si>
  <si>
    <t>Music Disc Far</t>
  </si>
  <si>
    <t>music_disc_far</t>
  </si>
  <si>
    <t>Music Disc Mall</t>
  </si>
  <si>
    <t>music_disc_mall</t>
  </si>
  <si>
    <t>Music Disc Mellohi</t>
  </si>
  <si>
    <t>music_disc_mellohi</t>
  </si>
  <si>
    <t>Music Disc Otherside</t>
  </si>
  <si>
    <t>music_disc_otherside</t>
  </si>
  <si>
    <t>Music Disc Pigstep</t>
  </si>
  <si>
    <t>Music Disc Precipice</t>
  </si>
  <si>
    <t>music_disc_precipice</t>
  </si>
  <si>
    <t>Music Disc Relic</t>
  </si>
  <si>
    <t>Music Disc Stal</t>
  </si>
  <si>
    <t>music_disc_stal</t>
  </si>
  <si>
    <t>Music Disc Strad</t>
  </si>
  <si>
    <t>music_disc_strad</t>
  </si>
  <si>
    <t>Music Disc Wait</t>
  </si>
  <si>
    <t>music_disc_wait</t>
  </si>
  <si>
    <t>Music Disc Ward</t>
  </si>
  <si>
    <t>music_disc_ward</t>
  </si>
  <si>
    <t>Mutton</t>
  </si>
  <si>
    <t>mutton</t>
  </si>
  <si>
    <t>Mycelium</t>
  </si>
  <si>
    <t>Nautilus Shell</t>
  </si>
  <si>
    <t>Nether Brick</t>
  </si>
  <si>
    <t>nether_brick</t>
  </si>
  <si>
    <t>Nether Brick Fence</t>
  </si>
  <si>
    <t>nether_brick_fence</t>
  </si>
  <si>
    <t>Nether Brick Slab</t>
  </si>
  <si>
    <t>nether_brick_slab</t>
  </si>
  <si>
    <t>Nether Brick Stairs</t>
  </si>
  <si>
    <t>nether_brick_stairs</t>
  </si>
  <si>
    <t>Nether Brick Wall</t>
  </si>
  <si>
    <t>nether_brick_wall</t>
  </si>
  <si>
    <t>Nether Bricks</t>
  </si>
  <si>
    <t>Nether Gold Ore</t>
  </si>
  <si>
    <t>Nether Quartz Ore</t>
  </si>
  <si>
    <t>nether_quartz_ore</t>
  </si>
  <si>
    <t>Nether Sprouts</t>
  </si>
  <si>
    <t>nether_sprouts</t>
  </si>
  <si>
    <t>Nether Star</t>
  </si>
  <si>
    <t>Nether Wart</t>
  </si>
  <si>
    <t>Nether Wart Block</t>
  </si>
  <si>
    <t>nether_wart_block</t>
  </si>
  <si>
    <t>Netherite Axe</t>
  </si>
  <si>
    <t>Netherite Block</t>
  </si>
  <si>
    <t>netherite_block</t>
  </si>
  <si>
    <t>Netherite Boots</t>
  </si>
  <si>
    <t>Netherite Chestplate</t>
  </si>
  <si>
    <t>Netherite Helmet</t>
  </si>
  <si>
    <t>Netherite Hoe</t>
  </si>
  <si>
    <t>Netherite Ingot</t>
  </si>
  <si>
    <t>Netherite Leggings</t>
  </si>
  <si>
    <t>netherite_leggings</t>
  </si>
  <si>
    <t>Netherite Pickaxe</t>
  </si>
  <si>
    <t>Netherite Scrap</t>
  </si>
  <si>
    <t>Netherite Shovel</t>
  </si>
  <si>
    <t>netherite_shovel</t>
  </si>
  <si>
    <t>Netherite Sword</t>
  </si>
  <si>
    <t>Netherite Upgrade</t>
  </si>
  <si>
    <t>netherite_upgrade</t>
  </si>
  <si>
    <t>Netherrack</t>
  </si>
  <si>
    <t>Note Block</t>
  </si>
  <si>
    <t>Oak Boat</t>
  </si>
  <si>
    <t>Oak Button</t>
  </si>
  <si>
    <t>Oak Chest Boat</t>
  </si>
  <si>
    <t>oak_chest_boat</t>
  </si>
  <si>
    <t>Oak Door</t>
  </si>
  <si>
    <t>Oak Fence</t>
  </si>
  <si>
    <t>Oak Fence Gate</t>
  </si>
  <si>
    <t>oak_fence_gate</t>
  </si>
  <si>
    <t>Oak Hanging Sign</t>
  </si>
  <si>
    <t>Oak Leaves</t>
  </si>
  <si>
    <t>Oak Log</t>
  </si>
  <si>
    <t>Oak Planks</t>
  </si>
  <si>
    <t>Oak Pressure Plate</t>
  </si>
  <si>
    <t>oak_pressure_plate</t>
  </si>
  <si>
    <t>Oak Sapling</t>
  </si>
  <si>
    <t>Oak Sign</t>
  </si>
  <si>
    <t>Oak Slab</t>
  </si>
  <si>
    <t>Oak Stairs</t>
  </si>
  <si>
    <t>oak_stairs</t>
  </si>
  <si>
    <t>Oak Trapdoor</t>
  </si>
  <si>
    <t>Oak Wood</t>
  </si>
  <si>
    <t>Observer</t>
  </si>
  <si>
    <t>Obsidian</t>
  </si>
  <si>
    <t>Ochre Froglight</t>
  </si>
  <si>
    <t>ochre_froglight</t>
  </si>
  <si>
    <t>Ominous Bottle</t>
  </si>
  <si>
    <t>Ominous Trial Key</t>
  </si>
  <si>
    <t>Orange Banner</t>
  </si>
  <si>
    <t>orange_banner</t>
  </si>
  <si>
    <t>Orange Bed</t>
  </si>
  <si>
    <t>orange_bed</t>
  </si>
  <si>
    <t>Orange Candle</t>
  </si>
  <si>
    <t>orange_candle</t>
  </si>
  <si>
    <t>Orange Carpet</t>
  </si>
  <si>
    <t>orange_carpet</t>
  </si>
  <si>
    <t>Orange Concrete</t>
  </si>
  <si>
    <t>orange_concrete</t>
  </si>
  <si>
    <t>Orange Concrete Powder</t>
  </si>
  <si>
    <t>orange_concrete_powder</t>
  </si>
  <si>
    <t>Orange Dye</t>
  </si>
  <si>
    <t>orange_dye</t>
  </si>
  <si>
    <t>Orange Glazed Terracotta</t>
  </si>
  <si>
    <t>orange_glazed_terracotta</t>
  </si>
  <si>
    <t>Orange Shulker Box</t>
  </si>
  <si>
    <t>orange_shulker_box</t>
  </si>
  <si>
    <t>Orange Stained Glass</t>
  </si>
  <si>
    <t>orange_stained_glass</t>
  </si>
  <si>
    <t>Orange Stained Glass Pane</t>
  </si>
  <si>
    <t>orange_stained_glass_pane</t>
  </si>
  <si>
    <t>Orange Terracotta</t>
  </si>
  <si>
    <t>orange_terracotta</t>
  </si>
  <si>
    <t>Orange Tulip</t>
  </si>
  <si>
    <t>orange_tulip</t>
  </si>
  <si>
    <t>Orange Wool</t>
  </si>
  <si>
    <t>orange_wool</t>
  </si>
  <si>
    <t>Oxeye Daisy</t>
  </si>
  <si>
    <t>oxeye_daisy</t>
  </si>
  <si>
    <t>Oxidized Chiseled Copper</t>
  </si>
  <si>
    <t>oxidized_chiseled_copper</t>
  </si>
  <si>
    <t>Oxidized Copper</t>
  </si>
  <si>
    <t>Oxidized Copper Bulb</t>
  </si>
  <si>
    <t>oxidized_copper_bulb</t>
  </si>
  <si>
    <t>Oxidized Copper Door</t>
  </si>
  <si>
    <t>oxidized_copper_door</t>
  </si>
  <si>
    <t>Oxidized Copper Grate</t>
  </si>
  <si>
    <t>oxidized_copper_grate</t>
  </si>
  <si>
    <t>Oxidized Copper Trapdoor</t>
  </si>
  <si>
    <t>Oxidized Cut Copper</t>
  </si>
  <si>
    <t>oxidized_cut_copper</t>
  </si>
  <si>
    <t>Oxidized Cut Copper Slab</t>
  </si>
  <si>
    <t>oxidized_cut_copper_slab</t>
  </si>
  <si>
    <t>Oxidized Cut Copper Stairs</t>
  </si>
  <si>
    <t>oxidized_cut_copper_stairs</t>
  </si>
  <si>
    <t>Packed Ice</t>
  </si>
  <si>
    <t>Packed Mud</t>
  </si>
  <si>
    <t>packed_mud</t>
  </si>
  <si>
    <t>Painting</t>
  </si>
  <si>
    <t>Paper</t>
  </si>
  <si>
    <t>Pearlescent Froglight</t>
  </si>
  <si>
    <t>Peony</t>
  </si>
  <si>
    <t>peony</t>
  </si>
  <si>
    <t>Phantom Membrane</t>
  </si>
  <si>
    <t>Piglin Banner Pattern</t>
  </si>
  <si>
    <t>piglin_banner_pattern</t>
  </si>
  <si>
    <t>Pink Banner</t>
  </si>
  <si>
    <t>pink_banner</t>
  </si>
  <si>
    <t>Pink Bed</t>
  </si>
  <si>
    <t>pink_bed</t>
  </si>
  <si>
    <t>Pink Candle</t>
  </si>
  <si>
    <t>pink_candle</t>
  </si>
  <si>
    <t>Pink Carpet</t>
  </si>
  <si>
    <t>pink_carpet</t>
  </si>
  <si>
    <t>Pink Concrete</t>
  </si>
  <si>
    <t>pink_concrete</t>
  </si>
  <si>
    <t>Pink Concrete Powder</t>
  </si>
  <si>
    <t>pink_concrete_powder</t>
  </si>
  <si>
    <t>Pink Dye</t>
  </si>
  <si>
    <t>Pink Glazed Terracotta</t>
  </si>
  <si>
    <t>pink_glazed_terracotta</t>
  </si>
  <si>
    <t>Pink Petals</t>
  </si>
  <si>
    <t>pink_petals</t>
  </si>
  <si>
    <t>Pink Shulker Box</t>
  </si>
  <si>
    <t>pink_shulker_box</t>
  </si>
  <si>
    <t>Pink Stained Glass</t>
  </si>
  <si>
    <t>pink_stained_glass</t>
  </si>
  <si>
    <t>Pink Stained Glass Pane</t>
  </si>
  <si>
    <t>pink_stained_glass_pane</t>
  </si>
  <si>
    <t>Pink Terracotta</t>
  </si>
  <si>
    <t>pink_terracotta</t>
  </si>
  <si>
    <t>Pink Tulip</t>
  </si>
  <si>
    <t>pink_tulip</t>
  </si>
  <si>
    <t>Pink Wool</t>
  </si>
  <si>
    <t>pink_wool</t>
  </si>
  <si>
    <t>Piston</t>
  </si>
  <si>
    <t>Pitcher Plant</t>
  </si>
  <si>
    <t>pitcher_plant</t>
  </si>
  <si>
    <t>Pitcher Pod</t>
  </si>
  <si>
    <t>Plenty Pottery Sherd</t>
  </si>
  <si>
    <t>plenty_pottery_sherd</t>
  </si>
  <si>
    <t>Podzol</t>
  </si>
  <si>
    <t>Pointed Dripstone</t>
  </si>
  <si>
    <t>Poisonous Potato</t>
  </si>
  <si>
    <t>Polished Andesite</t>
  </si>
  <si>
    <t>Polished Andesite Slab</t>
  </si>
  <si>
    <t>polished_andesite_slab</t>
  </si>
  <si>
    <t>Polished Andesite Stairs</t>
  </si>
  <si>
    <t>polished_andesite_stairs</t>
  </si>
  <si>
    <t>Polished Basalt</t>
  </si>
  <si>
    <t>polished_basalt</t>
  </si>
  <si>
    <t>Polished Blackstone</t>
  </si>
  <si>
    <t>polished_blackstone</t>
  </si>
  <si>
    <t>Polished Blackstone Brick Slab</t>
  </si>
  <si>
    <t>polished_blackstone_brick_slab</t>
  </si>
  <si>
    <t>Polished Blackstone Brick Stairs</t>
  </si>
  <si>
    <t>polished_blackstone_brick_stairs</t>
  </si>
  <si>
    <t>Polished Blackstone Brick Wall</t>
  </si>
  <si>
    <t>polished_blackstone_brick_wall</t>
  </si>
  <si>
    <t>Polished Blackstone Bricks</t>
  </si>
  <si>
    <t>Polished Blackstone Button</t>
  </si>
  <si>
    <t>polished_blackstone_button</t>
  </si>
  <si>
    <t>Polished Blackstone Pressure Plate</t>
  </si>
  <si>
    <t>polished_blackstone_pressure_plate</t>
  </si>
  <si>
    <t>Polished Blackstone Slab</t>
  </si>
  <si>
    <t>polished_blackstone_slab</t>
  </si>
  <si>
    <t>Polished Blackstone Stairs</t>
  </si>
  <si>
    <t>polished_blackstone_stairs</t>
  </si>
  <si>
    <t>Polished Blackstone Wall</t>
  </si>
  <si>
    <t>polished_blackstone_wall</t>
  </si>
  <si>
    <t>Polished Deepslate</t>
  </si>
  <si>
    <t>polished_deepslate</t>
  </si>
  <si>
    <t>Polished Deepslate Slab</t>
  </si>
  <si>
    <t>polished_deepslate_slab</t>
  </si>
  <si>
    <t>Polished Deepslate Stairs</t>
  </si>
  <si>
    <t>polished_deepslate_stairs</t>
  </si>
  <si>
    <t>Polished Deepslate Wall</t>
  </si>
  <si>
    <t>polished_deepslate_wall</t>
  </si>
  <si>
    <t>Polished Diorite</t>
  </si>
  <si>
    <t>Polished Diorite Slab</t>
  </si>
  <si>
    <t>polished_diorite_slab</t>
  </si>
  <si>
    <t>Polished Diorite Stairs</t>
  </si>
  <si>
    <t>polished_diorite_stairs</t>
  </si>
  <si>
    <t>Polished Granite</t>
  </si>
  <si>
    <t>polished_granite</t>
  </si>
  <si>
    <t>Polished Granite Slab</t>
  </si>
  <si>
    <t>polished_granite_slab</t>
  </si>
  <si>
    <t>Polished Granite Stairs</t>
  </si>
  <si>
    <t>polished_granite_stairs</t>
  </si>
  <si>
    <t>Polished Tuff</t>
  </si>
  <si>
    <t>polished_tuff</t>
  </si>
  <si>
    <t>Polished Tuff Slab</t>
  </si>
  <si>
    <t>polished_tuff_slab</t>
  </si>
  <si>
    <t>Polished Tuff Stairs</t>
  </si>
  <si>
    <t>polished_tuff_stairs</t>
  </si>
  <si>
    <t>Polished Tuff Wall</t>
  </si>
  <si>
    <t>polished_tuff_wall</t>
  </si>
  <si>
    <t>Popped Chorus Fruit</t>
  </si>
  <si>
    <t>Poppy</t>
  </si>
  <si>
    <t>Porkchop</t>
  </si>
  <si>
    <t>Potato</t>
  </si>
  <si>
    <t>Potion</t>
  </si>
  <si>
    <t>Powder Snow Bucket</t>
  </si>
  <si>
    <t>Powered Rail</t>
  </si>
  <si>
    <t>Prismarine</t>
  </si>
  <si>
    <t>Prismarine Brick Slab</t>
  </si>
  <si>
    <t>prismarine_brick_slab</t>
  </si>
  <si>
    <t>Prismarine Brick Stairs</t>
  </si>
  <si>
    <t>prismarine_brick_stairs</t>
  </si>
  <si>
    <t>Prismarine Bricks</t>
  </si>
  <si>
    <t>Prismarine Crystals</t>
  </si>
  <si>
    <t>Prismarine Shard</t>
  </si>
  <si>
    <t>Prismarine Slab</t>
  </si>
  <si>
    <t>prismarine_slab</t>
  </si>
  <si>
    <t>Prismarine Stairs</t>
  </si>
  <si>
    <t>prismarine_stairs</t>
  </si>
  <si>
    <t>Prismarine Wall</t>
  </si>
  <si>
    <t>prismarine_wall</t>
  </si>
  <si>
    <t>Prize Pottery Sherd</t>
  </si>
  <si>
    <t>Pufferfish</t>
  </si>
  <si>
    <t>Pufferfish Bucket</t>
  </si>
  <si>
    <t>Pumpkin</t>
  </si>
  <si>
    <t>Pumpkin Pie</t>
  </si>
  <si>
    <t>Pumpkin Seeds</t>
  </si>
  <si>
    <t>pumpkin_seeds</t>
  </si>
  <si>
    <t>Purple Banner</t>
  </si>
  <si>
    <t>Purple Bed</t>
  </si>
  <si>
    <t>purple_bed</t>
  </si>
  <si>
    <t>Purple Candle</t>
  </si>
  <si>
    <t>purple_candle</t>
  </si>
  <si>
    <t>Purple Carpet</t>
  </si>
  <si>
    <t>purple_carpet</t>
  </si>
  <si>
    <t>Purple Concrete</t>
  </si>
  <si>
    <t>purple_concrete</t>
  </si>
  <si>
    <t>Purple Concrete Powder</t>
  </si>
  <si>
    <t>purple_concrete_powder</t>
  </si>
  <si>
    <t>Purple Dye</t>
  </si>
  <si>
    <t>Purple Glazed Terracotta</t>
  </si>
  <si>
    <t>purple_glazed_terracotta</t>
  </si>
  <si>
    <t>Purple Shulker Box</t>
  </si>
  <si>
    <t>Purple Stained Glass</t>
  </si>
  <si>
    <t>purple_stained_glass</t>
  </si>
  <si>
    <t>Purple Stained Glass Pane</t>
  </si>
  <si>
    <t>purple_stained_glass_pane</t>
  </si>
  <si>
    <t>Purple Terracotta</t>
  </si>
  <si>
    <t>purple_terracotta</t>
  </si>
  <si>
    <t>Purple Wool</t>
  </si>
  <si>
    <t>purple_wool</t>
  </si>
  <si>
    <t>Purpur Block</t>
  </si>
  <si>
    <t>Purpur Pillar</t>
  </si>
  <si>
    <t>Purpur Slab</t>
  </si>
  <si>
    <t>purpur_slab</t>
  </si>
  <si>
    <t>Purpur Stairs</t>
  </si>
  <si>
    <t>purpur_stairs</t>
  </si>
  <si>
    <t>Quartz</t>
  </si>
  <si>
    <t>Quartz Block</t>
  </si>
  <si>
    <t>Quartz Bricks</t>
  </si>
  <si>
    <t>quartz_bricks</t>
  </si>
  <si>
    <t>Quartz Pillar</t>
  </si>
  <si>
    <t>quartz_pillar</t>
  </si>
  <si>
    <t>Quartz Slab</t>
  </si>
  <si>
    <t>quartz_slab</t>
  </si>
  <si>
    <t>Quartz Stairs</t>
  </si>
  <si>
    <t>quartz_stairs</t>
  </si>
  <si>
    <t>Rabbit</t>
  </si>
  <si>
    <t>Rabbit Foot</t>
  </si>
  <si>
    <t>Rabbit Hide</t>
  </si>
  <si>
    <t>Rabbit Stew</t>
  </si>
  <si>
    <t>Rail</t>
  </si>
  <si>
    <t>Raiser Armor Trim</t>
  </si>
  <si>
    <t>raiser_armor_trim</t>
  </si>
  <si>
    <t>Raw Copper</t>
  </si>
  <si>
    <t>Raw Copper Block</t>
  </si>
  <si>
    <t>Raw Gold</t>
  </si>
  <si>
    <t>Raw Gold Block</t>
  </si>
  <si>
    <t>Raw Iron</t>
  </si>
  <si>
    <t>Raw Iron Block</t>
  </si>
  <si>
    <t>raw_iron_block</t>
  </si>
  <si>
    <t>Recovery Compass</t>
  </si>
  <si>
    <t>Red Banner</t>
  </si>
  <si>
    <t>Red Bed</t>
  </si>
  <si>
    <t>Red Candle</t>
  </si>
  <si>
    <t>red_candle</t>
  </si>
  <si>
    <t>Red Carpet</t>
  </si>
  <si>
    <t>red_carpet</t>
  </si>
  <si>
    <t>Red Concrete</t>
  </si>
  <si>
    <t>red_concrete</t>
  </si>
  <si>
    <t>Red Concrete Powder</t>
  </si>
  <si>
    <t>red_concrete_powder</t>
  </si>
  <si>
    <t>Red Dye</t>
  </si>
  <si>
    <t>red_dye</t>
  </si>
  <si>
    <t>Red Glazed Terracotta</t>
  </si>
  <si>
    <t>Red Mushroom</t>
  </si>
  <si>
    <t>Red Mushroom Block</t>
  </si>
  <si>
    <t>Red Nether Brick Slab</t>
  </si>
  <si>
    <t>red_nether_brick_slab</t>
  </si>
  <si>
    <t>Red Nether Brick Stairs</t>
  </si>
  <si>
    <t>red_nether_brick_stairs</t>
  </si>
  <si>
    <t>Red Nether Brick Wall</t>
  </si>
  <si>
    <t>red_nether_brick_wall</t>
  </si>
  <si>
    <t>Red Nether Bricks</t>
  </si>
  <si>
    <t>Red Sand</t>
  </si>
  <si>
    <t>Red Sandstone</t>
  </si>
  <si>
    <t>red_sandstone</t>
  </si>
  <si>
    <t>Red Sandstone Slab</t>
  </si>
  <si>
    <t>red_sandstone_slab</t>
  </si>
  <si>
    <t>Red Sandstone Stairs</t>
  </si>
  <si>
    <t>red_sandstone_stairs</t>
  </si>
  <si>
    <t>Red Sandstone Wall</t>
  </si>
  <si>
    <t>red_sandstone_wall</t>
  </si>
  <si>
    <t>Red Shulker Box</t>
  </si>
  <si>
    <t>red_shulker_box</t>
  </si>
  <si>
    <t>Red Stained Glass</t>
  </si>
  <si>
    <t>red_stained_glass</t>
  </si>
  <si>
    <t>Red Stained Glass Pane</t>
  </si>
  <si>
    <t>red_stained_glass_pane</t>
  </si>
  <si>
    <t>Red Terracotta</t>
  </si>
  <si>
    <t>Red Tulip</t>
  </si>
  <si>
    <t>Red Wool</t>
  </si>
  <si>
    <t>red_wool</t>
  </si>
  <si>
    <t>Redstone Block</t>
  </si>
  <si>
    <t>Redstone Lamp</t>
  </si>
  <si>
    <t>Redstone Ore</t>
  </si>
  <si>
    <t>redstone_ore</t>
  </si>
  <si>
    <t>Redstone Torch</t>
  </si>
  <si>
    <t>Repeater</t>
  </si>
  <si>
    <t>Respawn Anchor</t>
  </si>
  <si>
    <t>Rib Armor Trim</t>
  </si>
  <si>
    <t>rib_armor_trim</t>
  </si>
  <si>
    <t>Rooted Dirt</t>
  </si>
  <si>
    <t>Rose Bush</t>
  </si>
  <si>
    <t>Rotten Flesh</t>
  </si>
  <si>
    <t>Saddle</t>
  </si>
  <si>
    <t>Salmon</t>
  </si>
  <si>
    <t>Salmon Bucket</t>
  </si>
  <si>
    <t>Sand</t>
  </si>
  <si>
    <t>Sandstone</t>
  </si>
  <si>
    <t>sandstone</t>
  </si>
  <si>
    <t>Sandstone Slab</t>
  </si>
  <si>
    <t>sandstone_slab</t>
  </si>
  <si>
    <t>Sandstone Stairs</t>
  </si>
  <si>
    <t>sandstone_stairs</t>
  </si>
  <si>
    <t>Sandstone Wall</t>
  </si>
  <si>
    <t>Scaffolding</t>
  </si>
  <si>
    <t>Scrape Pottery Sherd</t>
  </si>
  <si>
    <t>scrape_pottery_sherd</t>
  </si>
  <si>
    <t>Sculk</t>
  </si>
  <si>
    <t>Sculk Catalyst</t>
  </si>
  <si>
    <t>Sculk Sensor</t>
  </si>
  <si>
    <t>Sculk Shrieker</t>
  </si>
  <si>
    <t>Sculk Vein</t>
  </si>
  <si>
    <t>Scute</t>
  </si>
  <si>
    <t>scute</t>
  </si>
  <si>
    <t>Sea Lantern</t>
  </si>
  <si>
    <t>Sea Pickle</t>
  </si>
  <si>
    <t>Seagrass</t>
  </si>
  <si>
    <t>Sentry Armor Trim</t>
  </si>
  <si>
    <t>sentry_armor_trim</t>
  </si>
  <si>
    <t>Shaper Armor Trim</t>
  </si>
  <si>
    <t>shaper_armor_trim</t>
  </si>
  <si>
    <t>Sheaf Pottery Sherd</t>
  </si>
  <si>
    <t>sheaf_pottery_sherd</t>
  </si>
  <si>
    <t>Shears</t>
  </si>
  <si>
    <t>Shelter Pottery Sherd</t>
  </si>
  <si>
    <t>shelter_pottery_sherd</t>
  </si>
  <si>
    <t>Shield</t>
  </si>
  <si>
    <t>Shroomlight</t>
  </si>
  <si>
    <t>Shulker Box</t>
  </si>
  <si>
    <t>Shulker Shell</t>
  </si>
  <si>
    <t>Silence Armor Trim</t>
  </si>
  <si>
    <t>silence_armor_trim</t>
  </si>
  <si>
    <t>Skull Banner Pattern</t>
  </si>
  <si>
    <t>skull_banner_pattern</t>
  </si>
  <si>
    <t>Skull Pottery Sherd</t>
  </si>
  <si>
    <t>skull_pottery_sherd</t>
  </si>
  <si>
    <t>Slime Ball</t>
  </si>
  <si>
    <t>Slime Block</t>
  </si>
  <si>
    <t>Small Amethyst Bud</t>
  </si>
  <si>
    <t>small_amethyst_bud</t>
  </si>
  <si>
    <t>Explorers
(Shared)</t>
  </si>
  <si>
    <t>Small Dripleaf</t>
  </si>
  <si>
    <t>small_dripleaf</t>
  </si>
  <si>
    <t>Smithing Table</t>
  </si>
  <si>
    <t>Smithing Template</t>
  </si>
  <si>
    <t>smithing_template</t>
  </si>
  <si>
    <t>Smoker</t>
  </si>
  <si>
    <t>Smooth Basalt</t>
  </si>
  <si>
    <t>smooth_basalt</t>
  </si>
  <si>
    <t>Smooth Quartz</t>
  </si>
  <si>
    <t>smooth_quartz</t>
  </si>
  <si>
    <t>Smooth Quartz Slab</t>
  </si>
  <si>
    <t>smooth_quartz_slab</t>
  </si>
  <si>
    <t>Smooth Quartz Stairs</t>
  </si>
  <si>
    <t>smooth_quartz_stairs</t>
  </si>
  <si>
    <t>Smooth Red Sandstone</t>
  </si>
  <si>
    <t>smooth_red_sandstone</t>
  </si>
  <si>
    <t>Smooth Red Sandstone Slab</t>
  </si>
  <si>
    <t>smooth_red_sandstone_slab</t>
  </si>
  <si>
    <t>Smooth Red Sandstone Stairs</t>
  </si>
  <si>
    <t>Smooth Sandstone</t>
  </si>
  <si>
    <t>smooth_sandstone</t>
  </si>
  <si>
    <t>Smooth Sandstone Slab</t>
  </si>
  <si>
    <t>smooth_sandstone_slab</t>
  </si>
  <si>
    <t>Smooth Sandstone Stairs</t>
  </si>
  <si>
    <t>smooth_sandstone_stairs</t>
  </si>
  <si>
    <t>Smooth Stone</t>
  </si>
  <si>
    <t>Smooth Stone Slab</t>
  </si>
  <si>
    <t>Sniffer Egg</t>
  </si>
  <si>
    <t>Snort Pottery Sherd</t>
  </si>
  <si>
    <t>snort_pottery_sherd</t>
  </si>
  <si>
    <t>Snout Armor Trim</t>
  </si>
  <si>
    <t>snout_armor_trim</t>
  </si>
  <si>
    <t>Snow</t>
  </si>
  <si>
    <t>Snow Block</t>
  </si>
  <si>
    <t>Snowball</t>
  </si>
  <si>
    <t>Soul Campfire</t>
  </si>
  <si>
    <t>Soul Lantern</t>
  </si>
  <si>
    <t>Soul Sand</t>
  </si>
  <si>
    <t>Soul Soil</t>
  </si>
  <si>
    <t>Soul Torch</t>
  </si>
  <si>
    <t>Spectral Arrow</t>
  </si>
  <si>
    <t>Spider Eye</t>
  </si>
  <si>
    <t>Spire Armor Trim</t>
  </si>
  <si>
    <t>spire_armor_trim</t>
  </si>
  <si>
    <t>Splash Potion</t>
  </si>
  <si>
    <t>Sponge</t>
  </si>
  <si>
    <t>Spore Blossom</t>
  </si>
  <si>
    <t>Spruce Boat</t>
  </si>
  <si>
    <t>Spruce Button</t>
  </si>
  <si>
    <t>spruce_button</t>
  </si>
  <si>
    <t>Spruce Chest Boat</t>
  </si>
  <si>
    <t>Spruce Door</t>
  </si>
  <si>
    <t>spruce_door</t>
  </si>
  <si>
    <t>Spruce Fence</t>
  </si>
  <si>
    <t>Spruce Fence Gate</t>
  </si>
  <si>
    <t>spruce_fence_gate</t>
  </si>
  <si>
    <t>Spruce Hanging Sign</t>
  </si>
  <si>
    <t>spruce_hanging_sign</t>
  </si>
  <si>
    <t>Spruce Leaves</t>
  </si>
  <si>
    <t>Spruce Log</t>
  </si>
  <si>
    <t>spruce_log</t>
  </si>
  <si>
    <t>Spruce Planks</t>
  </si>
  <si>
    <t>spruce_planks</t>
  </si>
  <si>
    <t>Spruce Pressure Plate</t>
  </si>
  <si>
    <t>spruce_pressure_plate</t>
  </si>
  <si>
    <t>Spruce Sapling</t>
  </si>
  <si>
    <t>Spruce Sign</t>
  </si>
  <si>
    <t>spruce_sign</t>
  </si>
  <si>
    <t>Spruce Slab</t>
  </si>
  <si>
    <t>spruce_slab</t>
  </si>
  <si>
    <t>Spruce Stairs</t>
  </si>
  <si>
    <t>Spruce Trapdoor</t>
  </si>
  <si>
    <t>spruce_trapdoor</t>
  </si>
  <si>
    <t>Spruce Wood</t>
  </si>
  <si>
    <t>spruce_wood</t>
  </si>
  <si>
    <t>Spyglass</t>
  </si>
  <si>
    <t>Stick</t>
  </si>
  <si>
    <t>Sticky Piston</t>
  </si>
  <si>
    <t>Stone</t>
  </si>
  <si>
    <t>Stone Axe</t>
  </si>
  <si>
    <t>Stone Brick Slab</t>
  </si>
  <si>
    <t>stone_brick_slab</t>
  </si>
  <si>
    <t>Stone Brick Stairs</t>
  </si>
  <si>
    <t>Stone Brick Wall</t>
  </si>
  <si>
    <t>stone_brick_wall</t>
  </si>
  <si>
    <t>Stone Bricks</t>
  </si>
  <si>
    <t>Stone Button</t>
  </si>
  <si>
    <t>stone_button</t>
  </si>
  <si>
    <t>Stone Hoe</t>
  </si>
  <si>
    <t>stone_hoe</t>
  </si>
  <si>
    <t>Stone Pickaxe</t>
  </si>
  <si>
    <t>Stone Pressure Plate</t>
  </si>
  <si>
    <t>Stone Shovel</t>
  </si>
  <si>
    <t>Stone Slab</t>
  </si>
  <si>
    <t>stone_slab</t>
  </si>
  <si>
    <t>Stone Stairs</t>
  </si>
  <si>
    <t>stone_stairs</t>
  </si>
  <si>
    <t>Stone Sword</t>
  </si>
  <si>
    <t>Stonecutter</t>
  </si>
  <si>
    <t>String</t>
  </si>
  <si>
    <t>Stripped Acacia Log</t>
  </si>
  <si>
    <t>stripped_acacia_log</t>
  </si>
  <si>
    <t>Stripped Acacia Wood</t>
  </si>
  <si>
    <t>stripped_acacia_wood</t>
  </si>
  <si>
    <t>Stripped Bamboo Block</t>
  </si>
  <si>
    <t>stripped_bamboo_block</t>
  </si>
  <si>
    <t>Stripped Birch Log</t>
  </si>
  <si>
    <t>stripped_birch_log</t>
  </si>
  <si>
    <t>Stripped Birch Wood</t>
  </si>
  <si>
    <t>stripped_birch_wood</t>
  </si>
  <si>
    <t>Stripped Cherry Log</t>
  </si>
  <si>
    <t>stripped_cherry_log</t>
  </si>
  <si>
    <t>Stripped Cherry Wood</t>
  </si>
  <si>
    <t>stripped_cherry_wood</t>
  </si>
  <si>
    <t>Stripped Crimson Hyphae</t>
  </si>
  <si>
    <t>stripped_crimson_hyphae</t>
  </si>
  <si>
    <t>Stripped Crimson Stem</t>
  </si>
  <si>
    <t>stripped_crimson_stem</t>
  </si>
  <si>
    <t>Stripped Dark Oak Log</t>
  </si>
  <si>
    <t>stripped_dark_oak_log</t>
  </si>
  <si>
    <t>Stripped Dark Oak Wood</t>
  </si>
  <si>
    <t>stripped_dark_oak_wood</t>
  </si>
  <si>
    <t>Stripped Jungle Log</t>
  </si>
  <si>
    <t>Stripped Jungle Wood</t>
  </si>
  <si>
    <t>stripped_jungle_wood</t>
  </si>
  <si>
    <t>Stripped Mangrove Log</t>
  </si>
  <si>
    <t>stripped_mangrove_log</t>
  </si>
  <si>
    <t>Stripped Mangrove Wood</t>
  </si>
  <si>
    <t>stripped_mangrove_wood</t>
  </si>
  <si>
    <t>Stripped Oak Log</t>
  </si>
  <si>
    <t>stripped_oak_log</t>
  </si>
  <si>
    <t>Stripped Oak Wood</t>
  </si>
  <si>
    <t>Stripped Spruce Log</t>
  </si>
  <si>
    <t>Stripped Spruce Wood</t>
  </si>
  <si>
    <t>stripped_spruce_wood</t>
  </si>
  <si>
    <t>Stripped Warped Hyphae</t>
  </si>
  <si>
    <t>stripped_warped_hyphae</t>
  </si>
  <si>
    <t>Stripped Warped Stem</t>
  </si>
  <si>
    <t>stripped_warped_stem</t>
  </si>
  <si>
    <t>Sugar</t>
  </si>
  <si>
    <t>Sugar Cane</t>
  </si>
  <si>
    <t>Sunflower</t>
  </si>
  <si>
    <t>Suspicious Gravel</t>
  </si>
  <si>
    <t>Suspicious Sand</t>
  </si>
  <si>
    <t>Suspicious Stew</t>
  </si>
  <si>
    <t>Sweet Berries</t>
  </si>
  <si>
    <t>Tadpole Bucket</t>
  </si>
  <si>
    <t>Tall Grass</t>
  </si>
  <si>
    <t>tall_grass</t>
  </si>
  <si>
    <t>Target</t>
  </si>
  <si>
    <t>Terracotta</t>
  </si>
  <si>
    <t>terracotta</t>
  </si>
  <si>
    <t>Ocean Monument</t>
  </si>
  <si>
    <t>Tide Armor Trim</t>
  </si>
  <si>
    <t>tide_armor_trim</t>
  </si>
  <si>
    <t>Tinted Glass</t>
  </si>
  <si>
    <t>Tipped Arrow</t>
  </si>
  <si>
    <t>Tnt</t>
  </si>
  <si>
    <t>Tnt Minecart</t>
  </si>
  <si>
    <t>Torch</t>
  </si>
  <si>
    <t>Torchflower</t>
  </si>
  <si>
    <t>Torchflower Seeds</t>
  </si>
  <si>
    <t>Totem Of Undying</t>
  </si>
  <si>
    <t>Trapped Chest</t>
  </si>
  <si>
    <t>Trial Key</t>
  </si>
  <si>
    <t>Trident</t>
  </si>
  <si>
    <t>Tripwire Hook</t>
  </si>
  <si>
    <t>Tropical Fish</t>
  </si>
  <si>
    <t>Tropical Fish Bucket</t>
  </si>
  <si>
    <t>Tube Coral</t>
  </si>
  <si>
    <t>tube_coral</t>
  </si>
  <si>
    <t>Tube Coral Block</t>
  </si>
  <si>
    <t>Tube Coral Fan</t>
  </si>
  <si>
    <t>Tuff</t>
  </si>
  <si>
    <t>tuff</t>
  </si>
  <si>
    <t>Tuff Brick Slab</t>
  </si>
  <si>
    <t>tuff_brick_slab</t>
  </si>
  <si>
    <t>Tuff Brick Stairs</t>
  </si>
  <si>
    <t>tuff_brick_stairs</t>
  </si>
  <si>
    <t>Tuff Brick Wall</t>
  </si>
  <si>
    <t>tuff_brick_wall</t>
  </si>
  <si>
    <t>Tuff Bricks</t>
  </si>
  <si>
    <t>tuff_bricks</t>
  </si>
  <si>
    <t>Tuff Slab</t>
  </si>
  <si>
    <t>tuff_slab</t>
  </si>
  <si>
    <t>Tuff Stairs</t>
  </si>
  <si>
    <t>tuff_stairs</t>
  </si>
  <si>
    <t>Tuff Wall</t>
  </si>
  <si>
    <t>tuff_wall</t>
  </si>
  <si>
    <t>Turtle Egg</t>
  </si>
  <si>
    <t>Turtle Helmet</t>
  </si>
  <si>
    <t>Twisting Vines</t>
  </si>
  <si>
    <t>Verdant Froglight</t>
  </si>
  <si>
    <t>Vex Armor Trim</t>
  </si>
  <si>
    <t>vex_armor_trim</t>
  </si>
  <si>
    <t>Vine</t>
  </si>
  <si>
    <t>Ward Armor Trim</t>
  </si>
  <si>
    <t>ward_armor_trim</t>
  </si>
  <si>
    <t>Warped Button</t>
  </si>
  <si>
    <t>warped_button</t>
  </si>
  <si>
    <t>Warped Door</t>
  </si>
  <si>
    <t>warped_door</t>
  </si>
  <si>
    <t>Warped Fence</t>
  </si>
  <si>
    <t>warped_fence</t>
  </si>
  <si>
    <t>Warped Fence Gate</t>
  </si>
  <si>
    <t>warped_fence_gate</t>
  </si>
  <si>
    <t>Warped Fungus</t>
  </si>
  <si>
    <t>Warped Fungus On A Stick</t>
  </si>
  <si>
    <t>Warped Hanging Sign</t>
  </si>
  <si>
    <t>warped_hanging_sign</t>
  </si>
  <si>
    <t>Warped Hyphae</t>
  </si>
  <si>
    <t>warped_hyphae</t>
  </si>
  <si>
    <t>Warped Nylium</t>
  </si>
  <si>
    <t>warped_nylium</t>
  </si>
  <si>
    <t>Warped Planks</t>
  </si>
  <si>
    <t>Warped Pressure Plate</t>
  </si>
  <si>
    <t>warped_pressure_plate</t>
  </si>
  <si>
    <t>Warped Roots</t>
  </si>
  <si>
    <t>Warped Sign</t>
  </si>
  <si>
    <t>Warped Slab</t>
  </si>
  <si>
    <t>warped_slab</t>
  </si>
  <si>
    <t>Warped Stairs</t>
  </si>
  <si>
    <t>warped_stairs</t>
  </si>
  <si>
    <t>Warped Stem</t>
  </si>
  <si>
    <t>warped_stem</t>
  </si>
  <si>
    <t>Warped Trapdoor</t>
  </si>
  <si>
    <t>warped_trapdoor</t>
  </si>
  <si>
    <t>Warped Wart Block</t>
  </si>
  <si>
    <t>warped_wart_block</t>
  </si>
  <si>
    <t>Water Bucket</t>
  </si>
  <si>
    <t>Waxed Chiseled Copper</t>
  </si>
  <si>
    <t>waxed_chiseled_copper</t>
  </si>
  <si>
    <t>Waxed Copper Block</t>
  </si>
  <si>
    <t>waxed_copper_block</t>
  </si>
  <si>
    <t>Waxed Copper Bulb</t>
  </si>
  <si>
    <t>waxed_copper_bulb</t>
  </si>
  <si>
    <t>Waxed Copper Door</t>
  </si>
  <si>
    <t>waxed_copper_door</t>
  </si>
  <si>
    <t>Waxed Copper Grate</t>
  </si>
  <si>
    <t>waxed_copper_grate</t>
  </si>
  <si>
    <t>Waxed Copper Trapdoor</t>
  </si>
  <si>
    <t>waxed_copper_trapdoor</t>
  </si>
  <si>
    <t>Waxed Cut Copper</t>
  </si>
  <si>
    <t>waxed_cut_copper</t>
  </si>
  <si>
    <t>Waxed Cut Copper Slab</t>
  </si>
  <si>
    <t>waxed_cut_copper_slab</t>
  </si>
  <si>
    <t>Waxed Cut Copper Stairs</t>
  </si>
  <si>
    <t>waxed_cut_copper_stairs</t>
  </si>
  <si>
    <t>Waxed Exposed Chiseled Copper</t>
  </si>
  <si>
    <t>waxed_exposed_chiseled_copper</t>
  </si>
  <si>
    <t>Waxed Exposed Copper</t>
  </si>
  <si>
    <t>waxed_exposed_copper</t>
  </si>
  <si>
    <t>Waxed Exposed Copper Bulb</t>
  </si>
  <si>
    <t>waxed_exposed_copper_bulb</t>
  </si>
  <si>
    <t>Waxed Exposed Copper Door</t>
  </si>
  <si>
    <t>waxed_exposed_copper_door</t>
  </si>
  <si>
    <t>Waxed Exposed Copper Grate</t>
  </si>
  <si>
    <t>waxed_exposed_copper_grate</t>
  </si>
  <si>
    <t>Waxed Exposed Copper Trapdoor</t>
  </si>
  <si>
    <t>waxed_exposed_copper_trapdoor</t>
  </si>
  <si>
    <t>Waxed Exposed Cut Copper</t>
  </si>
  <si>
    <t>waxed_exposed_cut_copper</t>
  </si>
  <si>
    <t>Waxed Exposed Cut Copper Slab</t>
  </si>
  <si>
    <t>waxed_exposed_cut_copper_slab</t>
  </si>
  <si>
    <t>Waxed Exposed Cut Copper Stairs</t>
  </si>
  <si>
    <t>waxed_exposed_cut_copper_stairs</t>
  </si>
  <si>
    <t>Waxed Oxidized Chiseled Copper</t>
  </si>
  <si>
    <t>waxed_oxidized_chiseled_copper</t>
  </si>
  <si>
    <t>Waxed Oxidized Copper</t>
  </si>
  <si>
    <t>waxed_oxidized_copper</t>
  </si>
  <si>
    <t>Waxed Oxidized Copper Bulb</t>
  </si>
  <si>
    <t>waxed_oxidized_copper_bulb</t>
  </si>
  <si>
    <t>Waxed Oxidized Copper Door</t>
  </si>
  <si>
    <t>waxed_oxidized_copper_door</t>
  </si>
  <si>
    <t>Waxed Oxidized Copper Grate</t>
  </si>
  <si>
    <t>waxed_oxidized_copper_grate</t>
  </si>
  <si>
    <t>Waxed Oxidized Copper Trapdoor</t>
  </si>
  <si>
    <t>waxed_oxidized_copper_trapdoor</t>
  </si>
  <si>
    <t>Waxed Oxidized Cut Copper</t>
  </si>
  <si>
    <t>waxed_oxidized_cut_copper</t>
  </si>
  <si>
    <t>Waxed Oxidized Cut Copper Slab</t>
  </si>
  <si>
    <t>waxed_oxidized_cut_copper_slab</t>
  </si>
  <si>
    <t>Waxed Oxidized Cut Copper Stairs</t>
  </si>
  <si>
    <t>waxed_oxidized_cut_copper_stairs</t>
  </si>
  <si>
    <t>Waxed Weathered Chiseled Copper</t>
  </si>
  <si>
    <t>waxed_weathered_chiseled_copper</t>
  </si>
  <si>
    <t>Waxed Weathered Copper</t>
  </si>
  <si>
    <t>waxed_weathered_copper</t>
  </si>
  <si>
    <t>Waxed Weathered Copper Bulb</t>
  </si>
  <si>
    <t>waxed_weathered_copper_bulb</t>
  </si>
  <si>
    <t>Waxed Weathered Copper Door</t>
  </si>
  <si>
    <t>waxed_weathered_copper_door</t>
  </si>
  <si>
    <t>Waxed Weathered Copper Grate</t>
  </si>
  <si>
    <t>waxed_weathered_copper_grate</t>
  </si>
  <si>
    <t>Waxed Weathered Copper Trapdoor</t>
  </si>
  <si>
    <t>waxed_weathered_copper_trapdoor</t>
  </si>
  <si>
    <t>Waxed Weathered Cut Copper</t>
  </si>
  <si>
    <t>waxed_weathered_cut_copper</t>
  </si>
  <si>
    <t>Waxed Weathered Cut Copper Slab</t>
  </si>
  <si>
    <t>waxed_weathered_cut_copper_slab</t>
  </si>
  <si>
    <t>Waxed Weathered Cut Copper Stairs</t>
  </si>
  <si>
    <t>Wayfinder Armor Trim</t>
  </si>
  <si>
    <t>wayfinder_armor_trim</t>
  </si>
  <si>
    <t>Weathered Chiseled Copper</t>
  </si>
  <si>
    <t>weathered_chiseled_copper</t>
  </si>
  <si>
    <t>Weathered Copper</t>
  </si>
  <si>
    <t>weathered_copper</t>
  </si>
  <si>
    <t>Weathered Copper Bulb</t>
  </si>
  <si>
    <t>Weathered Copper Door</t>
  </si>
  <si>
    <t>weathered_copper_door</t>
  </si>
  <si>
    <t>Weathered Copper Grate</t>
  </si>
  <si>
    <t>weathered_copper_grate</t>
  </si>
  <si>
    <t>Weathered Copper Trapdoor</t>
  </si>
  <si>
    <t>weathered_copper_trapdoor</t>
  </si>
  <si>
    <t>Weathered Cut Copper</t>
  </si>
  <si>
    <t>weathered_cut_copper</t>
  </si>
  <si>
    <t>Weathered Cut Copper Slab</t>
  </si>
  <si>
    <t>weathered_cut_copper_slab</t>
  </si>
  <si>
    <t>Weathered Cut Copper Stairs</t>
  </si>
  <si>
    <t>weathered_cut_copper_stairs</t>
  </si>
  <si>
    <t>Weeping Vines</t>
  </si>
  <si>
    <t>Wet Sponge</t>
  </si>
  <si>
    <t>Wheat</t>
  </si>
  <si>
    <t>Wheat Seeds</t>
  </si>
  <si>
    <t>White Banner</t>
  </si>
  <si>
    <t>White Bed</t>
  </si>
  <si>
    <t>White Candle</t>
  </si>
  <si>
    <t>white_candle</t>
  </si>
  <si>
    <t>White Carpet</t>
  </si>
  <si>
    <t>white_carpet</t>
  </si>
  <si>
    <t>White Concrete</t>
  </si>
  <si>
    <t>white_concrete</t>
  </si>
  <si>
    <t>White Concrete Powder</t>
  </si>
  <si>
    <t>white_concrete_powder</t>
  </si>
  <si>
    <t>White Dye</t>
  </si>
  <si>
    <t>White Glazed Terracotta</t>
  </si>
  <si>
    <t>White Shulker Box</t>
  </si>
  <si>
    <t>white_shulker_box</t>
  </si>
  <si>
    <t>White Stained Glass</t>
  </si>
  <si>
    <t>white_stained_glass</t>
  </si>
  <si>
    <t>White Stained Glass Pane</t>
  </si>
  <si>
    <t>white_stained_glass_pane</t>
  </si>
  <si>
    <t>White Terracotta</t>
  </si>
  <si>
    <t>white_terracotta</t>
  </si>
  <si>
    <t>White Tulip</t>
  </si>
  <si>
    <t>white_tulip</t>
  </si>
  <si>
    <t>White Wool</t>
  </si>
  <si>
    <t>Wild Armor Trim</t>
  </si>
  <si>
    <t>wild_armor_trim</t>
  </si>
  <si>
    <t>Wind Charge</t>
  </si>
  <si>
    <t>Wither Rose</t>
  </si>
  <si>
    <t>Wither Skeleton Skull</t>
  </si>
  <si>
    <t>Wolf Armor</t>
  </si>
  <si>
    <t>Wooden Axe</t>
  </si>
  <si>
    <t>Wooden Hoe</t>
  </si>
  <si>
    <t>Wooden Pickaxe</t>
  </si>
  <si>
    <t>Wooden Shovel</t>
  </si>
  <si>
    <t>Wooden Sword</t>
  </si>
  <si>
    <t>Writable Book</t>
  </si>
  <si>
    <t>Written Book</t>
  </si>
  <si>
    <t>Yellow Banner</t>
  </si>
  <si>
    <t>yellow_banner</t>
  </si>
  <si>
    <t>Yellow Bed</t>
  </si>
  <si>
    <t>yellow_bed</t>
  </si>
  <si>
    <t>Yellow Candle</t>
  </si>
  <si>
    <t>yellow_candle</t>
  </si>
  <si>
    <t>Yellow Carpet</t>
  </si>
  <si>
    <t>yellow_carpet</t>
  </si>
  <si>
    <t>Yellow Concrete</t>
  </si>
  <si>
    <t>yellow_concrete</t>
  </si>
  <si>
    <t>Yellow Concrete Powder</t>
  </si>
  <si>
    <t>yellow_concrete_powder</t>
  </si>
  <si>
    <t>Yellow Dye</t>
  </si>
  <si>
    <t>Yellow Glazed Terracotta</t>
  </si>
  <si>
    <t>yellow_glazed_terracotta</t>
  </si>
  <si>
    <t>Yellow Shulker Box</t>
  </si>
  <si>
    <t>yellow_shulker_box</t>
  </si>
  <si>
    <t>Yellow Stained Glass</t>
  </si>
  <si>
    <t>yellow_stained_glass</t>
  </si>
  <si>
    <t>Yellow Stained Glass Pane</t>
  </si>
  <si>
    <t>yellow_stained_glass_pane</t>
  </si>
  <si>
    <t>Yellow Terracotta</t>
  </si>
  <si>
    <t>yellow_terracotta</t>
  </si>
  <si>
    <t>Yellow Wool</t>
  </si>
  <si>
    <t>yellow_wool</t>
  </si>
  <si>
    <t>Challenge Advancements by Mob</t>
  </si>
  <si>
    <t>MANUAL CHECKLIST</t>
  </si>
  <si>
    <t>View Individual Advancements on the right</t>
  </si>
  <si>
    <t>Traders and Pets</t>
  </si>
  <si>
    <t>wandering_trader</t>
  </si>
  <si>
    <t>trader_llama</t>
  </si>
  <si>
    <t>llama</t>
  </si>
  <si>
    <t>villager</t>
  </si>
  <si>
    <t>wolf</t>
  </si>
  <si>
    <t>cat</t>
  </si>
  <si>
    <t>Armadillo</t>
  </si>
  <si>
    <t>Bee</t>
  </si>
  <si>
    <t>Blaze</t>
  </si>
  <si>
    <t>Axolotl</t>
  </si>
  <si>
    <t>Bogged</t>
  </si>
  <si>
    <t>Bat</t>
  </si>
  <si>
    <t>Ghast</t>
  </si>
  <si>
    <t>Cod_Mob</t>
  </si>
  <si>
    <t>Breeze</t>
  </si>
  <si>
    <t>Hoglin</t>
  </si>
  <si>
    <t>Dolphin</t>
  </si>
  <si>
    <t>Cave_Spider</t>
  </si>
  <si>
    <t>Camel</t>
  </si>
  <si>
    <t>Magma_Cube</t>
  </si>
  <si>
    <t>Drowned</t>
  </si>
  <si>
    <t>Creeper</t>
  </si>
  <si>
    <t>Cat</t>
  </si>
  <si>
    <t>Piglin</t>
  </si>
  <si>
    <t>Frog</t>
  </si>
  <si>
    <t>Piglin_Brute</t>
  </si>
  <si>
    <t>Glow_Squid</t>
  </si>
  <si>
    <t>Enderman</t>
  </si>
  <si>
    <t>Ender_Dragon</t>
  </si>
  <si>
    <t>Cow</t>
  </si>
  <si>
    <t>Skeleton</t>
  </si>
  <si>
    <t>Guardian</t>
  </si>
  <si>
    <t>Endermite</t>
  </si>
  <si>
    <t>Donkey</t>
  </si>
  <si>
    <t>Strider</t>
  </si>
  <si>
    <t>Elder_Guardian</t>
  </si>
  <si>
    <t>Evoker</t>
  </si>
  <si>
    <t>Fox</t>
  </si>
  <si>
    <t>Wither_Skeleton</t>
  </si>
  <si>
    <t>Salmon_Mob</t>
  </si>
  <si>
    <t>Zoglin</t>
  </si>
  <si>
    <t>Squid</t>
  </si>
  <si>
    <t>Goat</t>
  </si>
  <si>
    <t>Zombified_Piglin</t>
  </si>
  <si>
    <t>Tadpole</t>
  </si>
  <si>
    <t>Skeletons</t>
  </si>
  <si>
    <t>skeleton_horse</t>
  </si>
  <si>
    <t>wither</t>
  </si>
  <si>
    <t>wither_skeleton</t>
  </si>
  <si>
    <t>skeleton</t>
  </si>
  <si>
    <t>stray</t>
  </si>
  <si>
    <t>bogged</t>
  </si>
  <si>
    <t>Husk</t>
  </si>
  <si>
    <t>Tropical_Fish</t>
  </si>
  <si>
    <t>Horse</t>
  </si>
  <si>
    <t>Turtle</t>
  </si>
  <si>
    <t>Llama</t>
  </si>
  <si>
    <t>Mooshroom</t>
  </si>
  <si>
    <t>Mule</t>
  </si>
  <si>
    <t>Pillager</t>
  </si>
  <si>
    <t>Iron_Golem</t>
  </si>
  <si>
    <t>Ocelot</t>
  </si>
  <si>
    <t>Ravager</t>
  </si>
  <si>
    <t>Panda</t>
  </si>
  <si>
    <t>Shulker</t>
  </si>
  <si>
    <t>Pig</t>
  </si>
  <si>
    <t>Parrot</t>
  </si>
  <si>
    <t>Silverfish</t>
  </si>
  <si>
    <t>Sheep</t>
  </si>
  <si>
    <t>Polar_Bear</t>
  </si>
  <si>
    <t>Slime</t>
  </si>
  <si>
    <t>Sniffer</t>
  </si>
  <si>
    <t>Spider</t>
  </si>
  <si>
    <t>Zombies</t>
  </si>
  <si>
    <t>zombie</t>
  </si>
  <si>
    <t>husk</t>
  </si>
  <si>
    <t>drowned</t>
  </si>
  <si>
    <t>zombie_villager</t>
  </si>
  <si>
    <t>zombified_piglin</t>
  </si>
  <si>
    <t>Stray</t>
  </si>
  <si>
    <t>Trader_Llama</t>
  </si>
  <si>
    <t>Vex</t>
  </si>
  <si>
    <t>Vindicator</t>
  </si>
  <si>
    <t>Wolf</t>
  </si>
  <si>
    <t>Skeleton_Horse</t>
  </si>
  <si>
    <t>Witch</t>
  </si>
  <si>
    <t>Snow_Golem</t>
  </si>
  <si>
    <t>Zombie</t>
  </si>
  <si>
    <t>Zombie_Villager</t>
  </si>
  <si>
    <t>Aquatic</t>
  </si>
  <si>
    <t>elder_guardian</t>
  </si>
  <si>
    <t>guardian</t>
  </si>
  <si>
    <t>dolphin</t>
  </si>
  <si>
    <t>squid</t>
  </si>
  <si>
    <t>glow_squid</t>
  </si>
  <si>
    <t>turtle</t>
  </si>
  <si>
    <t>Bucket Mobs</t>
  </si>
  <si>
    <t>axolotl</t>
  </si>
  <si>
    <t>tadpole</t>
  </si>
  <si>
    <t>Summonable Mobs</t>
  </si>
  <si>
    <t>iron_golem</t>
  </si>
  <si>
    <t>snow_golem</t>
  </si>
  <si>
    <t>endermite</t>
  </si>
  <si>
    <t>bee</t>
  </si>
  <si>
    <t>Villager</t>
  </si>
  <si>
    <t>Wandering_Trader</t>
  </si>
  <si>
    <t>Ride Mobs</t>
  </si>
  <si>
    <t>horse</t>
  </si>
  <si>
    <t>donkey</t>
  </si>
  <si>
    <t>mule</t>
  </si>
  <si>
    <t>pig</t>
  </si>
  <si>
    <t>camel</t>
  </si>
  <si>
    <t>strider</t>
  </si>
  <si>
    <t>Misc. Animals</t>
  </si>
  <si>
    <t>armadillo</t>
  </si>
  <si>
    <t>fox</t>
  </si>
  <si>
    <t>sheep</t>
  </si>
  <si>
    <t>sniffer</t>
  </si>
  <si>
    <t>goat</t>
  </si>
  <si>
    <t>Raiders</t>
  </si>
  <si>
    <t>pillager</t>
  </si>
  <si>
    <t>vindicator</t>
  </si>
  <si>
    <t>ravager</t>
  </si>
  <si>
    <t>evoker</t>
  </si>
  <si>
    <t>vex</t>
  </si>
  <si>
    <t>witch</t>
  </si>
  <si>
    <t>piglin</t>
  </si>
  <si>
    <t>piglin_brute</t>
  </si>
  <si>
    <t>hoglin</t>
  </si>
  <si>
    <t>zoglin</t>
  </si>
  <si>
    <t>ghast</t>
  </si>
  <si>
    <t>blaze</t>
  </si>
  <si>
    <t>Stronghold and End</t>
  </si>
  <si>
    <t>ender_dragon</t>
  </si>
  <si>
    <t>enderman</t>
  </si>
  <si>
    <t>shulker</t>
  </si>
  <si>
    <t>silverfish</t>
  </si>
  <si>
    <t>bat</t>
  </si>
  <si>
    <t>Froglight &amp; Misc.</t>
  </si>
  <si>
    <t>frog</t>
  </si>
  <si>
    <t>slime</t>
  </si>
  <si>
    <t>magma_cube</t>
  </si>
  <si>
    <t>allay</t>
  </si>
  <si>
    <t>spider</t>
  </si>
  <si>
    <t>cave_spider</t>
  </si>
  <si>
    <t>Biome Animals</t>
  </si>
  <si>
    <t>panda</t>
  </si>
  <si>
    <t>ocelot</t>
  </si>
  <si>
    <t>parrot</t>
  </si>
  <si>
    <t>cow</t>
  </si>
  <si>
    <t>mooshroom</t>
  </si>
  <si>
    <t>polar_bear</t>
  </si>
  <si>
    <t>Misc. Hostile</t>
  </si>
  <si>
    <t>warden</t>
  </si>
  <si>
    <t>breeze</t>
  </si>
  <si>
    <t>phantom</t>
  </si>
  <si>
    <t>creeper</t>
  </si>
  <si>
    <t>Cure every type of Zombie Villager</t>
  </si>
  <si>
    <t>Enchanting, Villagers, or Loot</t>
  </si>
  <si>
    <t>Villagers or Loot</t>
  </si>
  <si>
    <t>Savanna</t>
  </si>
  <si>
    <t>Desert</t>
  </si>
  <si>
    <t>Taiga</t>
  </si>
  <si>
    <t>Plains</t>
  </si>
  <si>
    <t>Jungle</t>
  </si>
  <si>
    <t>Swamp</t>
  </si>
  <si>
    <t>Aqua_Affinity</t>
  </si>
  <si>
    <t>Flame</t>
  </si>
  <si>
    <t>Protection1</t>
  </si>
  <si>
    <t>Binding_Curse</t>
  </si>
  <si>
    <t>Nitwit</t>
  </si>
  <si>
    <t>Bane_Of_Arthropods1</t>
  </si>
  <si>
    <t>Fortune1</t>
  </si>
  <si>
    <t>Protection2</t>
  </si>
  <si>
    <t>Frost_Walker1</t>
  </si>
  <si>
    <t>None</t>
  </si>
  <si>
    <t>Bane_Of_Arthropods2</t>
  </si>
  <si>
    <t>Fortune2</t>
  </si>
  <si>
    <t>Protection3</t>
  </si>
  <si>
    <t>Frost_Walker2</t>
  </si>
  <si>
    <t>Farmer</t>
  </si>
  <si>
    <t>Bane_Of_Arthropods3</t>
  </si>
  <si>
    <t>Fortune3</t>
  </si>
  <si>
    <t>Protection4</t>
  </si>
  <si>
    <t>Mending</t>
  </si>
  <si>
    <t>Leatherworker</t>
  </si>
  <si>
    <t>Bane_Of_Arthropods4</t>
  </si>
  <si>
    <t>Impaling1</t>
  </si>
  <si>
    <t>Punch1</t>
  </si>
  <si>
    <t>Vanishing_Curse</t>
  </si>
  <si>
    <t>Mason</t>
  </si>
  <si>
    <t>Bane_Of_Arthropods5</t>
  </si>
  <si>
    <t>Impaling2</t>
  </si>
  <si>
    <t>Punch2</t>
  </si>
  <si>
    <t>Armorer</t>
  </si>
  <si>
    <t>Blast_Protection1</t>
  </si>
  <si>
    <t>Impaling3</t>
  </si>
  <si>
    <t>Quick_Charge1</t>
  </si>
  <si>
    <t>Exclusive Loot</t>
  </si>
  <si>
    <t>Weapon_Smith</t>
  </si>
  <si>
    <t>Blast_Protection2</t>
  </si>
  <si>
    <t>Impaling4</t>
  </si>
  <si>
    <t>Quick_Charge2</t>
  </si>
  <si>
    <t>Soul_Speed1</t>
  </si>
  <si>
    <t>Fisherman</t>
  </si>
  <si>
    <t>Blast_Protection3</t>
  </si>
  <si>
    <t>Impaling5</t>
  </si>
  <si>
    <t>Quick_Charge3</t>
  </si>
  <si>
    <t>Soul_Speed2</t>
  </si>
  <si>
    <t>Shepherd</t>
  </si>
  <si>
    <t>Blast_Protection4</t>
  </si>
  <si>
    <t>Infinity</t>
  </si>
  <si>
    <t>Respiration1</t>
  </si>
  <si>
    <t>Soul_Speed3</t>
  </si>
  <si>
    <t>Cartographer</t>
  </si>
  <si>
    <t>Breach1</t>
  </si>
  <si>
    <t>Knockback1</t>
  </si>
  <si>
    <t>Respiration2</t>
  </si>
  <si>
    <t>Swift_Sneak1</t>
  </si>
  <si>
    <t>Cleric</t>
  </si>
  <si>
    <t>Breach2</t>
  </si>
  <si>
    <t>Knockback2</t>
  </si>
  <si>
    <t>Respiration3</t>
  </si>
  <si>
    <t>Swift_Sneak2</t>
  </si>
  <si>
    <t>Butcher</t>
  </si>
  <si>
    <t>Breach3</t>
  </si>
  <si>
    <t>Looting1</t>
  </si>
  <si>
    <t>Riptide1</t>
  </si>
  <si>
    <t>Swift_Sneak3</t>
  </si>
  <si>
    <t>Fletcher</t>
  </si>
  <si>
    <t>Breach4</t>
  </si>
  <si>
    <t>Looting2</t>
  </si>
  <si>
    <t>Riptide2</t>
  </si>
  <si>
    <t>Wind_Burst1</t>
  </si>
  <si>
    <t>Channeling</t>
  </si>
  <si>
    <t>Looting3</t>
  </si>
  <si>
    <t>Riptide3</t>
  </si>
  <si>
    <t>Wind_Burst2</t>
  </si>
  <si>
    <t>Tool_Smith</t>
  </si>
  <si>
    <t>Density1</t>
  </si>
  <si>
    <t>Loyalty1</t>
  </si>
  <si>
    <t>Sharpness1</t>
  </si>
  <si>
    <t>Wind_Burst3</t>
  </si>
  <si>
    <t>Density2</t>
  </si>
  <si>
    <t>Loyalty2</t>
  </si>
  <si>
    <t>Sharpness2</t>
  </si>
  <si>
    <t>I Am Loot!</t>
  </si>
  <si>
    <t>Density3</t>
  </si>
  <si>
    <t>Loyalty3</t>
  </si>
  <si>
    <t>Sharpness3</t>
  </si>
  <si>
    <t>Density4</t>
  </si>
  <si>
    <t>Luck_Of_The_Sea1</t>
  </si>
  <si>
    <t>Sharpness4</t>
  </si>
  <si>
    <t>Density5</t>
  </si>
  <si>
    <t>Luck_Of_The_Sea2</t>
  </si>
  <si>
    <t>Sharpness5</t>
  </si>
  <si>
    <t>Depth_Strider1</t>
  </si>
  <si>
    <t>Luck_Of_The_Sea3</t>
  </si>
  <si>
    <t>Silk_Touch</t>
  </si>
  <si>
    <t>Rare Chests</t>
  </si>
  <si>
    <t>Other Chests</t>
  </si>
  <si>
    <t>Depth_Strider2</t>
  </si>
  <si>
    <t>Lure1</t>
  </si>
  <si>
    <t>Smite1</t>
  </si>
  <si>
    <t>Village_Armorer</t>
  </si>
  <si>
    <t>Abandoned_Mineshaft</t>
  </si>
  <si>
    <t>Shipwreck_Map</t>
  </si>
  <si>
    <t>Depth_Strider3</t>
  </si>
  <si>
    <t>Lure2</t>
  </si>
  <si>
    <t>Smite2</t>
  </si>
  <si>
    <t>Village_Butcher</t>
  </si>
  <si>
    <t>Ancient_City</t>
  </si>
  <si>
    <t>Shipwreck_Supply</t>
  </si>
  <si>
    <t>Efficiency1</t>
  </si>
  <si>
    <t>Lure3</t>
  </si>
  <si>
    <t>Smite3</t>
  </si>
  <si>
    <t>Village_Cartographer</t>
  </si>
  <si>
    <t>Ancient_City_Ice_Box</t>
  </si>
  <si>
    <t>Shipwreck_Treasure</t>
  </si>
  <si>
    <t>Efficiency2</t>
  </si>
  <si>
    <t>Multishot</t>
  </si>
  <si>
    <t>Smite4</t>
  </si>
  <si>
    <t>Village_Desert_House</t>
  </si>
  <si>
    <t>Bastion_Bridge</t>
  </si>
  <si>
    <t>Simple_Dungeon</t>
  </si>
  <si>
    <t>Efficiency3</t>
  </si>
  <si>
    <t>Piercing1</t>
  </si>
  <si>
    <t>Smite5</t>
  </si>
  <si>
    <t>Village_Fisher</t>
  </si>
  <si>
    <t>Bastion_Hoglin_Stable</t>
  </si>
  <si>
    <t>Stronghold_Corridor</t>
  </si>
  <si>
    <t>Efficiency4</t>
  </si>
  <si>
    <t>Piercing2</t>
  </si>
  <si>
    <t>Sweeping1</t>
  </si>
  <si>
    <t>Village_Fletcher</t>
  </si>
  <si>
    <t>Bastion_Other</t>
  </si>
  <si>
    <t>Stronghold_Crossing</t>
  </si>
  <si>
    <t>Efficiency5</t>
  </si>
  <si>
    <t>Piercing3</t>
  </si>
  <si>
    <t>Sweeping2</t>
  </si>
  <si>
    <t>Village_Mason</t>
  </si>
  <si>
    <t>Bastion_Treasure</t>
  </si>
  <si>
    <t>Stronghold_Library</t>
  </si>
  <si>
    <t>Feather_Falling1</t>
  </si>
  <si>
    <t>Piercing4</t>
  </si>
  <si>
    <t>Sweeping3</t>
  </si>
  <si>
    <t>Village_Plains_House</t>
  </si>
  <si>
    <t>Buried_Treasure</t>
  </si>
  <si>
    <t>Trial_Chambers_Corridor</t>
  </si>
  <si>
    <t>Feather_Falling2</t>
  </si>
  <si>
    <t>Power1</t>
  </si>
  <si>
    <t>Thorns1</t>
  </si>
  <si>
    <t>Village_Savanna_House</t>
  </si>
  <si>
    <t>Desert_Pyramid</t>
  </si>
  <si>
    <t>Trial_Chambers_Entrance</t>
  </si>
  <si>
    <t>Feather_Falling3</t>
  </si>
  <si>
    <t>Power2</t>
  </si>
  <si>
    <t>Thorns2</t>
  </si>
  <si>
    <t>Village_Snowy_House</t>
  </si>
  <si>
    <t>End_City_Treasure</t>
  </si>
  <si>
    <t>Trial_Chambers_Intersection_Barrel</t>
  </si>
  <si>
    <t>Feather_Falling4</t>
  </si>
  <si>
    <t>Power3</t>
  </si>
  <si>
    <t>Thorns3</t>
  </si>
  <si>
    <t>Village_Taiga_House</t>
  </si>
  <si>
    <t>Igloo_Chest</t>
  </si>
  <si>
    <t>Trial_Chambers_Reward</t>
  </si>
  <si>
    <t>Fire_Aspect1</t>
  </si>
  <si>
    <t>Power4</t>
  </si>
  <si>
    <t>Unbreaking1</t>
  </si>
  <si>
    <t>Village_Tannery</t>
  </si>
  <si>
    <t>Jungle_Temple</t>
  </si>
  <si>
    <t>Trial_Chambers_Supply</t>
  </si>
  <si>
    <t>Fire_Aspect2</t>
  </si>
  <si>
    <t>Power5</t>
  </si>
  <si>
    <t>Unbreaking2</t>
  </si>
  <si>
    <t>Village_Temple</t>
  </si>
  <si>
    <t>Nether_Bridge</t>
  </si>
  <si>
    <t>Underwater_Ruin_Big</t>
  </si>
  <si>
    <t>Fire_Protection1</t>
  </si>
  <si>
    <t>Projectile_Protection1</t>
  </si>
  <si>
    <t>Unbreaking3</t>
  </si>
  <si>
    <t>Village_Toolsmith</t>
  </si>
  <si>
    <t>Pillager_Outpost</t>
  </si>
  <si>
    <t>Underwater_Ruin_Small</t>
  </si>
  <si>
    <t>Fire_Protection2</t>
  </si>
  <si>
    <t>Projectile_Protection2</t>
  </si>
  <si>
    <t>Village_Weaponsmith</t>
  </si>
  <si>
    <t>Ruined_Portal</t>
  </si>
  <si>
    <t>Woodland_Mansion</t>
  </si>
  <si>
    <t>Fire_Protection3</t>
  </si>
  <si>
    <t>Projectile_Protection3</t>
  </si>
  <si>
    <t>villager loot chest guide by ktano</t>
  </si>
  <si>
    <t>Fire_Protection4</t>
  </si>
  <si>
    <t>Projectile_Protection4</t>
  </si>
  <si>
    <t xml:space="preserve">Search: </t>
  </si>
  <si>
    <t>Firework</t>
  </si>
  <si>
    <t>Head</t>
  </si>
  <si>
    <t>TNT</t>
  </si>
  <si>
    <t>Ender</t>
  </si>
  <si>
    <t>Unassigned</t>
  </si>
  <si>
    <t>Adv/Item</t>
  </si>
  <si>
    <t>Snipe a Husk from 50 blocks away while riding a Horse (Kill a Husk with a projectile from at least 50 blocks away while you are riding a Horse)</t>
  </si>
  <si>
    <t>Kill a hostile monster with a melee attack while riding a Camel (The same mobs as what triggers "Monster Hunter" can be killed for this advancement)</t>
  </si>
  <si>
    <t>Trade some sweet berries to a Fox with an emerald in their mouth (Have a fox with an Emerald in its mouth pick up Sweet Berries that you dropped)</t>
  </si>
  <si>
    <t>Give a fox a Totem of Undying (Have a fox pick up a Totem of Undying that you dropped)</t>
  </si>
  <si>
    <t>Give a zombie a Totem... so that you have to kill it twice (Have a zombie pick up a Totem of Undying that you dropped)</t>
  </si>
  <si>
    <t>Bring a husk to a tundra biome and then kill it (Kill a husk in a snowy tundra or ice spikes biome above y-level 56)</t>
  </si>
  <si>
    <t>Bring a stray to a desert biome and then kill it (Kill a stray in a desert biome above y-level 56)</t>
  </si>
  <si>
    <t>Kill an invisible spider (Kill an invisible spider or cave spider)</t>
  </si>
  <si>
    <t>Kill a mob while wearing the same type of mob head (This works for: Creepers, Zombies, Skeletons, Wither Skeletons and Piglins)</t>
  </si>
  <si>
    <t>Shoot a mob at point-blank range (Shoot a mob with an arrow from less than 2 blocks away)</t>
  </si>
  <si>
    <t>Take out a mob by bow-spamming (Deal less than 1 damage with an arrow)</t>
  </si>
  <si>
    <t>Kill a skeleton with an arrow from more than 50 metres (Kill a skeleton or stray with an arrow from at least 50 metres)</t>
  </si>
  <si>
    <t>Hit a mob with every type of weapon (See requirement notes below)</t>
  </si>
  <si>
    <t>Defeat a Blaze using snowballs (Kill a blaze with a thrown snowball)</t>
  </si>
  <si>
    <t>Catapult an egg onto a zombie's head (Hit a zombie with a thrown egg)</t>
  </si>
  <si>
    <t>Beat a zombie at rock, paper, shears (See requirement notes below)</t>
  </si>
  <si>
    <t>Hit the bullseye of a Target Block with an arrow (Output a signal strength of 15 on a Target using an arrow from 30 blocks away)</t>
  </si>
  <si>
    <t>Reel in a Strider using a Fishing Rod (Hook a Strider with a Fishing Rod then right-click to reel it in)</t>
  </si>
  <si>
    <t>Survive a fall of at least 10 blocks onto some Pointed Dripstone (The pointed dripstone cannot be waterlogged)</t>
  </si>
  <si>
    <t>Survive a long fall with just a sliver of health remaining (Fall at least 15 blocks and have 1 or 2 health remaining upon landing)</t>
  </si>
  <si>
    <t>Place every type of cookable food on a campfire (See requirement notes below)</t>
  </si>
  <si>
    <t>Travel close to 0,0 coordinates and place down a campfire (Place a campfire with x and z coordinates both being between -10 and 10)</t>
  </si>
  <si>
    <t>Slurp every type of suspicious stew (See requirement notes below)</t>
  </si>
  <si>
    <t>Fish out all types of items (See requirement notes below)</t>
  </si>
  <si>
    <t>Drink milk or honey to cure poison when on half a heart (Drink milk or honey when poisoned AND on half a heart of health)</t>
  </si>
  <si>
    <t>Bounce onto a slime block from at least 30 blocks high (Land on a slime block after falling at least 30 blocks)</t>
  </si>
  <si>
    <t>Craft a firework of every shape and additional effect (See requirement notes below)</t>
  </si>
  <si>
    <t>Pull a monster using a fishing rod (Works with the same mobs as "Monster Hunter")</t>
  </si>
  <si>
    <t>Pull a pig from 25 blocks below you and watch it go (Pull a pig from at least 25 blocks away)</t>
  </si>
  <si>
    <t>Trim pieces of armor with all types of materials (See requirement notes below)</t>
  </si>
  <si>
    <t>Throw a Wind Charge at a mob that is standing on top of a trapdoor (The Wind Charge must hit the mob and damage it)</t>
  </si>
  <si>
    <t>Hit a Target with all types of projectiles (See requirement notes below)</t>
  </si>
  <si>
    <t>Charge a Respawn Anchor to the maximum (Place Glowstone into a Respawn Anchor such that it reaches maximum charge)</t>
  </si>
  <si>
    <t>Step on Soul Sand with Netherite Boots enchanted with Soul Speed III (Also works with Soul Soil)</t>
  </si>
  <si>
    <t>Create a Lodestone Compass in all three dimensions (Use a compass on a lodestone in all three dimensions (not all at the same time))</t>
  </si>
  <si>
    <t>Acquire every beacon-induced effect at once (Obtain Speed, Haste, Resistance, Jump Boost, Strength and Regeneration from beacons)</t>
  </si>
  <si>
    <t>Colonise the End with potato crops (Place potatoes in the End)</t>
  </si>
  <si>
    <t>Travel directly from the End to the Nether (Enter the End's exit portal but arrive in the Nether by having your spawn set to a Respawn Anchor)</t>
  </si>
  <si>
    <t>Fill your inventory with full stacks of firework rockets (All inventory slots, including your hotbar and offhand, must be filled, hence requiring 37 stacks of rockets)</t>
  </si>
  <si>
    <t>Turn a mob upside-down (Name any mob 'Dinnerbone' or 'Grumm' with a nametag)</t>
  </si>
  <si>
    <t>Nyan Nyan Nyan Nyan... (Name a sheep 'jeb_' with a nametag)</t>
  </si>
  <si>
    <t>Defeat this terrifying monster (Defeat an Enderman named 'Slenderman')</t>
  </si>
  <si>
    <t>Defeat Johnny (Defeat a Vindicator named 'Johnny')</t>
  </si>
  <si>
    <t>Make the Meadows come alive with the sound of music from a jukebox‌ (Play any music disc in a jukebox while you are in a Meadows biome)</t>
  </si>
  <si>
    <t>Listen to all the music discs (See requirement notes below)</t>
  </si>
  <si>
    <t>Play every possible instrument on a Note Block (See requirement notes below)</t>
  </si>
  <si>
    <t>Play Note Blocks with each type of mob head above it (Play a note block with a Zombie, Skeleton, Wither Skeleton, Creeper, Piglin and Dragon Head on top)</t>
  </si>
  <si>
    <t>Reach an altitude of 10,000 blocks above the world (Be above y=10,000)</t>
  </si>
  <si>
    <t>Kill a Zombified Piglin that is riding a Strider and take its steed (Kill a Zombified Piglin that is riding a Strider AND ride a strider that was formerly ridden by one)</t>
  </si>
  <si>
    <t>Kill a chicken jockey in the nether (Kill a chicken with a zombified piglin passenger or a zombified piglin riding a chicken)</t>
  </si>
  <si>
    <t>Have an Allay deliver Spruce Saplings to you while chopping down trees (Pick up Spruce Saplings that were dropped by an Allay)</t>
  </si>
  <si>
    <t>Give an Allay an Iron Sword (Right-click an Allay with an Iron Sword)</t>
  </si>
  <si>
    <t>Have an Allay deliver a potion to you in the Deep Dark (Pick up a potion that was dropped by an Allay in the Deep Dark biome or an Ancient City)</t>
  </si>
  <si>
    <t>Play a jukebox near some Allays, then give one an Amethyst Shard and see what happens! (Duplicate an Allay by giving one an Amethyst Shard while a jukebox is playing nearby)</t>
  </si>
  <si>
    <t>important page for tracking mob info, hide do not delete</t>
  </si>
  <si>
    <t>Done?</t>
  </si>
  <si>
    <t>Raw</t>
  </si>
  <si>
    <t>Remaining Criteria</t>
  </si>
  <si>
    <t>json to name formula:</t>
  </si>
  <si>
    <t>Icon</t>
  </si>
  <si>
    <t>Wiki Name</t>
  </si>
  <si>
    <t>Planning Page for Co-op (dank)</t>
  </si>
  <si>
    <t>All Categories</t>
  </si>
  <si>
    <t>Order</t>
  </si>
  <si>
    <t>Category</t>
  </si>
  <si>
    <t>Person</t>
  </si>
  <si>
    <t>Hours</t>
  </si>
  <si>
    <t>Responsibilities</t>
  </si>
  <si>
    <t>2673Tom</t>
  </si>
  <si>
    <t>Pocky</t>
  </si>
  <si>
    <t>Dolphinman</t>
  </si>
  <si>
    <t>Freshly</t>
  </si>
  <si>
    <t>Jillian</t>
  </si>
  <si>
    <t>DCMii</t>
  </si>
  <si>
    <t>Blockinq</t>
  </si>
  <si>
    <t xml:space="preserve">Katherine </t>
  </si>
  <si>
    <t>eQuinnix</t>
  </si>
  <si>
    <t>inouttherain</t>
  </si>
  <si>
    <t>Box</t>
  </si>
  <si>
    <t>coosh</t>
  </si>
  <si>
    <t>Conor</t>
  </si>
  <si>
    <t>Eli</t>
  </si>
  <si>
    <t>Orangenox</t>
  </si>
  <si>
    <t>TheMagicShoe</t>
  </si>
  <si>
    <t>eli</t>
  </si>
  <si>
    <t>Erikfzf</t>
  </si>
  <si>
    <t>taffel</t>
  </si>
  <si>
    <t>Categories</t>
  </si>
  <si>
    <t>Exploring</t>
  </si>
  <si>
    <t>All Categorized Advancements and Items (Mostly for Co-op)</t>
  </si>
  <si>
    <t>All</t>
  </si>
  <si>
    <t>Breed every type of animal (See requirement notes below)</t>
  </si>
  <si>
    <t>Bring one of every type of animal to one place (have them all within 32 blocks of you) (See requirement notes below)</t>
  </si>
  <si>
    <t>Get in a Boat and float with a Goat (Ride a boat that has a goat in it as well)</t>
  </si>
  <si>
    <t>Attach a lead to every mob that can be leashed (See requirement notes below)</t>
  </si>
  <si>
    <t>Catch all four types of fish and set them free in an aquarium (Place a cod, salmon, pufferfish and tropical fish bucket)</t>
  </si>
  <si>
    <t>Feed an Axolotl within an Ocean Monument and watch it go on a Guardian killing spree (Same as The Healing Power of Friendship but both you and the Axolotl must be inside an Ocean Monument)</t>
  </si>
  <si>
    <t>Reunite all zombie variants (and their baby forms) in one place (See requirement notes below)</t>
  </si>
  <si>
    <t>Reunite all skeleton variants and their three-headed overlord in one place (See requirement notes below)</t>
  </si>
  <si>
    <t>Kill an Enderman with an arrow (Kill an Enderman while you are holding an arrow :P Also works with spectral and tipped arrows)</t>
  </si>
  <si>
    <t>Hunt all types of land animals with your bow (See requirement notes below)</t>
  </si>
  <si>
    <t>Deflect an attack from every hostile monster (See requirement notes below)</t>
  </si>
  <si>
    <t>Hunt all types of aquatic creatures using your trident (See requirement notes below)</t>
  </si>
  <si>
    <t>Hunt all types of nether creatures using your trident (See requirement notes below)</t>
  </si>
  <si>
    <t>Blow up every hostile mob with TNT (See requirement notes below)</t>
  </si>
  <si>
    <t>Use a Spyglass to look at two Villagers sitting in a Boat from at least 50 blocks away (Use a spyglass to look at a boat with two villager passengers in it)</t>
  </si>
  <si>
    <t>Kill every hostile monster near a Sculk Catalyst (See the requirement notes for "Monsters Hunted" in the Adventure tab. Ender Dragon is not required)</t>
  </si>
  <si>
    <t>Take a Strider for a loooong ride on a lava lake in the Overworld (Ride a Strider at least 50 blocks horizontally away from your starting position, all on lava and in the Overworld)</t>
  </si>
  <si>
    <t>Lower a Frog into the void using a Slow Falling potion, then kill it so it becomes one with the void (Kill a Frog that has the Slow Falling effect and is below y=0 in the End)</t>
  </si>
  <si>
    <t>Look at every mob using a Spyglass, each from at least 25 blocks away (See requirement notes below)</t>
  </si>
  <si>
    <t>Send every mob to the Nether... and kill them all there (See requirement notes below)</t>
  </si>
  <si>
    <t>Send every mob to the End... and kill them all there (See requirement notes below)</t>
  </si>
  <si>
    <t>Kill every mob in the game with splash potions (See requirement notes below)</t>
  </si>
  <si>
    <t>Kill every mob in the game with lingering potions (See requirement notes below)</t>
  </si>
  <si>
    <t>Light every flammable block on fire (A list of blocks can be found at: https://minecraft.wiki/w/Fire#Burning_blocks)</t>
  </si>
  <si>
    <t>Put Mending on a piece of golden armor and realise what you are doing in life (Obtain a golden helmet, chestplate, leggings or boots enchanted with Mending)</t>
  </si>
  <si>
    <t>Craft Tinted Glass using Glass and Amethyst Shards and use it to block out light (Place tinted glass)</t>
  </si>
  <si>
    <t>Craft and place down a trapdoor (Place any type of trapdoor (can be an iron trapdoor))</t>
  </si>
  <si>
    <t>Craft and place an iron door (Place an iron door)</t>
  </si>
  <si>
    <t>Erect some fencing (Place any type of fence (can be nether brick fence))</t>
  </si>
  <si>
    <t>Put up some cobblestone walls (Place a cobblestone wall)</t>
  </si>
  <si>
    <t>Craft and place a chest for storing your items (Place a chest)</t>
  </si>
  <si>
    <t>Craft and place a barrel. Totally not for riding in (Place a barrel)</t>
  </si>
  <si>
    <t>Craft a lectern using wooden slabs and a bookshelf then place it (Place a lectern)</t>
  </si>
  <si>
    <t>Fill a Chiseled Bookshelf with books (Place a book inside a Chiseled Bookshelf such that all slots become occupied)</t>
  </si>
  <si>
    <t>Craft and place a sign (Place any type of sign)</t>
  </si>
  <si>
    <t>Put up a Hanging Sign (Place any type of hanging sign)</t>
  </si>
  <si>
    <t>Use honeycomb to wax a sign, setting its ink for eternity (Use honeycomb on any sign)</t>
  </si>
  <si>
    <t>Dye a sign with each color of dye (Use all 16 dyes on any sign)</t>
  </si>
  <si>
    <t>Place every type of painting (Every painting is listed on Minecraft wiki at https://minecraft.wiki/w/Painting )</t>
  </si>
  <si>
    <t>Light up the area with some torches (Place a torch)</t>
  </si>
  <si>
    <t>Light up with jack o' lanterns! (Place a jack o' lantern)</t>
  </si>
  <si>
    <t>Place four sea pickles in a group underwater (Place a sea pickle on top of three existing sea pickles to create a group of four)</t>
  </si>
  <si>
    <t>Place a candle and light it using Flint and Steel (Light any type of candle or candle cake using either Flint and Steel or a Fire Charge)</t>
  </si>
  <si>
    <t>Light up the area using a lantern (Place a lantern)</t>
  </si>
  <si>
    <t>Light up the area with glowstone (Place a glowstone block)</t>
  </si>
  <si>
    <t>Light up the area with Shroomlight! (Place a shroomlight)</t>
  </si>
  <si>
    <t>Light up the area with soul fire torches and soul fire lanterns! (Place a soul fire torch and a soul fire lantern)</t>
  </si>
  <si>
    <t>Light up the area with all three hues of Froglight (Place Ochre, Verdant and Pearlescent Froglights)</t>
  </si>
  <si>
    <t>Light up the area with some redstone lamps (Place a redstone lamp)</t>
  </si>
  <si>
    <t>Light up the area with some sea lanterns (Place a sea lantern)</t>
  </si>
  <si>
    <t>Light up the area with some end rods (Place an end rod)</t>
  </si>
  <si>
    <t>Obtain every type of grass block in your inventory (Obtain grass block, podzol, mycelium, crimson nylium, and warped nylium)</t>
  </si>
  <si>
    <t>Place all six sets of armor on six different armor stands (Place a full suit of each of the six armors on an armor stand)</t>
  </si>
  <si>
    <t>Sit in a cauldron filled with lava (Enter a lava cauldron)</t>
  </si>
  <si>
    <t>Plant some cocoa in the nice steamy Nether (Place cocoa beans in the Nether)</t>
  </si>
  <si>
    <t>Craft a composter using wooden slabs then place it (Place a composter)</t>
  </si>
  <si>
    <t>Eat everything that is edible, even if it's not good for you (Eat every food required for "Vegetarian" and "Meat Lovers")</t>
  </si>
  <si>
    <t>Dye some leather pants with one color and put them on (Dye leather pants using one dye)</t>
  </si>
  <si>
    <t>Dye 16 pairs of leather boots each with one of the individual colors (Dye 16 pairs of leather boots each with one of the different dyes)</t>
  </si>
  <si>
    <t>Dye Sheep with all 16 colors of wool (Right click a sheep with all 16 dyes)</t>
  </si>
  <si>
    <t>Craft a bee hive using planks and honeycombs then place it (Place a beehive)</t>
  </si>
  <si>
    <t>Dye 16 sets of leather horse armor each with one of the individual colors (Dye 16 sets of leather horse armor each with one of the different dyes)</t>
  </si>
  <si>
    <t>Feed a Horse every type of food that it can eat (Feed a Horse, Donkey or Mule sugar, wheat, apples, hay bales, golden apples and golden carrots)</t>
  </si>
  <si>
    <t>Put an item up for display in a Glowing Item Frame (Place an item in a Glowing Item Frame)</t>
  </si>
  <si>
    <t>Apply a banner to your shield (Obtain a shield with any banner)</t>
  </si>
  <si>
    <t>Craft and place every type of villager workstation (See requirement notes below)</t>
  </si>
  <si>
    <t>Trigger a trapped chest. Good for trolling your friends! (Open a Trapped Chest)</t>
  </si>
  <si>
    <t>Place one of every Nether block in the Overworld (See requirement notes below)</t>
  </si>
  <si>
    <t>Place one of every Nether block in The End (See requirement notes below)</t>
  </si>
  <si>
    <t>Sit in water in the Nether (Sit in a cauldron filled with water in the Nether)</t>
  </si>
  <si>
    <t>Start freezing in the Nether (Start freezing from Powder Snow in the Nether)</t>
  </si>
  <si>
    <t>Plant a chorus flower in the Overworld for study (Place a chorus flower in the Overworld)</t>
  </si>
  <si>
    <t>Obtain a stack of all the blocks! (Obtain the maximum possible stack size for each block from "All the Blocks". See requirement notes below for some exceptions)</t>
  </si>
  <si>
    <t>Obtain a stack of all the items! (Obtain the maximum possible stack size for each item from "All the Items". See requirement notes below for some exceptions)</t>
  </si>
  <si>
    <t>Free fall from the top of the world (build limit) to the bottom of the world and survive‌ (Drop from a point above y-level 319 and land below y-level -59)</t>
  </si>
  <si>
    <t>Dig down to the bottom of the world (Go below y-level -59.5 in the Overworld)</t>
  </si>
  <si>
    <t>Place every cave block at the very top of the world (See requirement notes below)</t>
  </si>
  <si>
    <t>Place a Grass Block high in the sky (Place a grass block at y-level 280 or higher in the Overworld)</t>
  </si>
  <si>
    <t>Bring a rabbit to the bottom of the world, then kill it (Kill a rabbit that is below y-level -59.5)</t>
  </si>
  <si>
    <t>Kill a mob at the bottom of the world from the build limit using any kind of projectile (Using any projectile, kill a mob at y-level -59.5 or lower while you are at y-level 319 or higher (in the Overworld) or y-level 255 or higher (in the Nether or End))</t>
  </si>
  <si>
    <t>Trade with a villager at the build height limit (Trade with a villager who is standing at y-level 319 or higher in the Overworld, or y-level 255 or higher in the Nether or End)</t>
  </si>
  <si>
    <t>Place scaffolding to the world limit (Place scaffolding at y=319 in the Overworld or y=255 in the Nether or End)</t>
  </si>
  <si>
    <t>Dive into water from a cliff at least 50 blocks tall (Fall at least 50 blocks and land in water)</t>
  </si>
  <si>
    <t>Mine 1728 cobblestone, place it in a chest, then stand on it in victory (27 stacks of 64 cobblestone in a single chest. You must stand on top of the chest)</t>
  </si>
  <si>
    <t>Destroy a total of 10,000 blocks of stone (Mine a total of 10,000 blocks of stone)</t>
  </si>
  <si>
    <t>Craft or collect all forms of prismarine blocks (Obtain prismarine, dark prismarine and prismarine brick blocks, slabs, stairs, and prismarine walls)</t>
  </si>
  <si>
    <t>Read the power signal of a Chiseled Bookshelf using a comparator (Place a comparator facing outwards from a Chiseled Bookshelf OR place a Chiseled Bookshelf behind a comparator)</t>
  </si>
  <si>
    <t>Protect a villager from an undesired shock without starting a fire (Have lightning strike a lightning rod with a villager standing at a safe distance away)</t>
  </si>
  <si>
    <t>Smite a ghast with lightning from the Overworld’s heavens (Strike a ghast with lightning using the Channeling enchantment)</t>
  </si>
  <si>
    <t>Strike every mob that can transform with lightning at once (Strike a Pig, Mooshroom, Villager and Creeper at the same time with the lightning bolt from a Channeling Trident)</t>
  </si>
  <si>
    <t>Break every single tool in the game (See requirement notes below)</t>
  </si>
  <si>
    <t>Break every type of armor piece in the game (See requirement notes below)</t>
  </si>
  <si>
    <t>Light up the area with a Copper Bulb! (Place any Copper Bulb)</t>
  </si>
  <si>
    <t>Scrape a Copper Bulb with an axe to make it brighter (Use an axe on a Copper Bulb that is either waxed or exposed, weathered or oxidized)</t>
  </si>
  <si>
    <t>Use a Wind Charge to launch yourself upward at least 8 blocks (Be launched upward at least 8 blocks from a player-thrown Wind Charge)</t>
  </si>
  <si>
    <t>Defeat enough Breezes to collect a stack of Breeze Rods (Obtain 64 Breeze Rods)</t>
  </si>
  <si>
    <t>Kill a Breeze with a deflected Wind Charge (Hit a breeze-fired Wind Charge back at a Breeze such that it kills it. Note: They only do half a heart of damage)</t>
  </si>
  <si>
    <t>Unlock 25 Vaults across Trial Chambers (This counts both Vaults and Ominous Vaults)</t>
  </si>
  <si>
    <t>Collect every kind of treasure item that can only be found in Trial Chambers (See requirement notes below)</t>
  </si>
  <si>
    <t>Collect a stack of one tier of Ominous Bottles (Obtain 64 Ominous Bottles of a single kind, so that they stack into a single slot)</t>
  </si>
  <si>
    <t>Place every type of plant in a flower pot (See requirement notes below)</t>
  </si>
  <si>
    <t>Plant down all types of saplings (See requirement notes below)</t>
  </si>
  <si>
    <t>Use bone meal on everything that can be grown (See requirement notes below)</t>
  </si>
  <si>
    <t>Compost every type of compostable item in a Composter (See requirement notes below)</t>
  </si>
  <si>
    <t>Plant every single type of crop on farmland (Plant wheat seeds, beetroot seeds, melon seeds, pumpkin seeds, carrots, potatoes, torchflower seeds and pitcher pod)</t>
  </si>
  <si>
    <t>Kill Endermen that are holding every block that they can hold (See requirement notes below)</t>
  </si>
  <si>
    <t>Get killed from hitting an Armor Stand (Get killed by thorns damage from an Armor Stand that is equipped with Thorns-enchanted armor)</t>
  </si>
  <si>
    <t>Die twice within ten seconds (Die when the last time you died was less than 10 seconds ago)</t>
  </si>
  <si>
    <t>Get spat at by one of the Trader Llamas (Get damaged by a Trader Llama)</t>
  </si>
  <si>
    <t>Get killed by every mob that can kill you (See requirement notes below)</t>
  </si>
  <si>
    <t>Tame a llama with a strength of 5 (Tame a Llama or Trader Llama with a strength of 5)</t>
  </si>
  <si>
    <t>Breed a rare brown panda (Breed two pandas and have the offspring be a brown panda)</t>
  </si>
  <si>
    <t>Walk on Powder Snow… without sinking in it (Walk on powder snow while wearing Leather Boots)</t>
  </si>
  <si>
    <t>Get in a boat within a shipwreck (Start riding a boat that is inside a shipwreck)</t>
  </si>
  <si>
    <t>Eat an Apple every day for 30 in-game days (See requirement notes below)</t>
  </si>
  <si>
    <t>Eat nothing but dried kelp for three in-game days (Eat dried kelp once; in the following three in-game days, eat nothing but dried kelp.)</t>
  </si>
  <si>
    <t>Ride a saddled pig in a boat in a minecart (Ride a saddled pig that is inside a boat that is inside a minecart)</t>
  </si>
  <si>
    <t>Eat Rabbit Stew, then avoid eating for the next 3 in-game days (Eat Rabbit Stew once; in the following 3 days, eat nothing else)</t>
  </si>
  <si>
    <t>Befriend a Pillager that doesn’t have a crossbow (Be within 5 blocks of a Pillager that is not holding a crossbow)</t>
  </si>
  <si>
    <t>Get completely frozen inside two blocks of Powder Snow for a loooong time. Big question is: Can you do this all day? (For 20 minutes in a row, stand inside two blocks of Powder Snow (one at your feet, one at your head) without wearing any leather armor (such that you're taking damage from freezing))</t>
  </si>
  <si>
    <t>Breed a baby bunny of every variant (See requirement notes below)</t>
  </si>
  <si>
    <t>Tame all parrot variants (You have to tame: Red, Blue, Cyan, Green and Gray parrots)</t>
  </si>
  <si>
    <t>Tame all horse variants (See requirement notes below)</t>
  </si>
  <si>
    <t>Tame all llama variants (You have to tame: Creamy, White, Brown and Gray Llamas OR Trader Llamas)</t>
  </si>
  <si>
    <t>Tame one of each Wolf variant (Tame the wolf variants: Ashen, Black, Chestnut, Pale, Rusty, Snowy, Spotted, Striped and Woods)</t>
  </si>
  <si>
    <t>Tame all cat variants! (See requirement notes below)</t>
  </si>
  <si>
    <t>Play a Note Block in every type of biome (See requirement notes below)</t>
  </si>
  <si>
    <t>Discover every biome in every dimension (See requirement notes below)</t>
  </si>
  <si>
    <t>Feed cake to every type of panda (Have all seven panda personalities pick up cake that you dropped on the ground)</t>
  </si>
  <si>
    <t>Play a Goat Horn in the Deep Dark (Play a Goat Horn in the Deep Dark or an Ancient City)</t>
  </si>
  <si>
    <t>Bring a Sheep into an Ancient City and silence it (Kill a Sheep in an Ancient City)</t>
  </si>
  <si>
    <t>Blow into a Goat Horn during a raid (Play a Goat Horn while a raid mob is within 50 mobs)</t>
  </si>
  <si>
    <t>Ring the bell with a hostile enemy in the village (Ring a bell while at least one illager that is part of a raid is within 32 blocks of you)</t>
  </si>
  <si>
    <t>Start a Raid with the highest level of Bad Omen (Get Rain Omen V)</t>
  </si>
  <si>
    <t>Attain the highest level of Hero of the Village (Get Hero of the Village V)</t>
  </si>
  <si>
    <t>Fill your entire inventory with Totems of Undying (All inventory slots, including your hotbar and offhand, must be filled, hence requiring 37 totems of undying)</t>
  </si>
  <si>
    <t>Blow every type of Goat Horn (Play every type of Goat Horn)</t>
  </si>
  <si>
    <t>Sit on Llamas with all 16 colors of carpet. Getting off will reset your progress (This works with either Llamas or Trader Llamas)</t>
  </si>
  <si>
    <t>Feed a Snifflet (Feed a baby Sniffer with Torchflower Seeds)</t>
  </si>
  <si>
    <t>Collect all 22 of the common types of tropical fish (See requirement notes below)</t>
  </si>
  <si>
    <t>Catch all variants of Axolotls inside a Bucket (Catch a Leucistic, Wild, Gold, Cyan and Blue Axolotl)</t>
  </si>
  <si>
    <t>Shoot down a phantom with a bow from 30 blocks away (Kill a Phantom from at least 30 blocks away)</t>
  </si>
  <si>
    <t>Kill two Phantoms with a piercing arrow (Kill two Phantoms with the same piercing arrow from a crossbow)</t>
  </si>
  <si>
    <t>Bring a Warden to the surface of a snowy plains biome and kill it (Kill a Warden in a Snowy Plains or Ice Spikes biome above y-level 64)</t>
  </si>
  <si>
    <t>Take a hit from the Warden with the maximum possible protection (Take damage from a Warden while wearing full Netherite Armor enchanted with Protection IV and are under the Resistance IV effect (from a Turtle Master potion))</t>
  </si>
  <si>
    <t>Bring a Warden to world height. It can’t be afraid of heights if it can’t see (Have a Warden at y-level 319 or above within 10 blocks of you)</t>
  </si>
  <si>
    <t>Deal 250 hearts of damage in a single hit using the Mace… to one-shot a Warden (At least 250 hearts of damage must be dealt to a Warden)</t>
  </si>
  <si>
    <t>Discover every structure type (See requirement notes below)</t>
  </si>
  <si>
    <t>Kill a Vindicator in a Woodland Mansion (Kill a Vindicator that is within the bounding-box of a Woodland Mansion)</t>
  </si>
  <si>
    <t>Defeat an Evoker in a Woodland Mansion (Kill an Evoker that is within the bounding-box of a Woodland Mansion)</t>
  </si>
  <si>
    <t>Open up every type of loot chest (See requirement notes below)</t>
  </si>
  <si>
    <t>Put together a Decorated Pot using four Pottery Sherds (Craft a Decorated Pot using four Pottery Sherds)</t>
  </si>
  <si>
    <t>Kill each type of Illager with a single crossbow arrow (Kill a Pillager, Vindicator, Witch, Evoker and Ravager with a single crossbow arrow)</t>
  </si>
  <si>
    <t>Summon ten withers at once (At least ten withers must be in existence up to 128 blocks away from you (checked once every ten seconds))</t>
  </si>
  <si>
    <t>Receive every type of gift from Villagers as a Hero of the Village (See requirement notes below)</t>
  </si>
  <si>
    <t>Murder one of every villager profession using a crossbow (See requirement notes below)</t>
  </si>
  <si>
    <t>Trade with every profession from every biome type (See requirement notes below)</t>
  </si>
  <si>
    <t>Trade with every type of villager career at master level (See requirement notes below)</t>
  </si>
  <si>
    <t>Deal 16 hearts of damage in a single melee blow without using a Mace (Deal at least sixteen hearts of damage with any melee attack)</t>
  </si>
  <si>
    <t>Shoot three arrows at once with a crossbow (Shoot a crossbow with Multishot)</t>
  </si>
  <si>
    <t>Fire a crossbow as rapidly as possible (Shoot a crossbow with Quick Charge III)</t>
  </si>
  <si>
    <t>Use Riptide to give yourself a boost (Use a Riptide-enchanted trident while in water or rain)</t>
  </si>
  <si>
    <t>Using Frost Walker boots, walk on frozen water over a deep ocean (Step on Frosted Ice while wearing Frost Walker boots and in any Deep Ocean biome)</t>
  </si>
  <si>
    <t>Name your Diamond Sword 'Diamond Edge' (Hold the named item in your mainhand)</t>
  </si>
  <si>
    <t>Name your Bow 'Terminator' (Hold the named item in your mainhand)</t>
  </si>
  <si>
    <t>Name your Trident with Loyalty III and Channeling 'Mjolnir' (Hold the named item in your mainhand)</t>
  </si>
  <si>
    <t>Create a pickaxe with all possible enchantments at max level (See requirement notes below)</t>
  </si>
  <si>
    <t>Create a shovel with all possible enchantments at max level (See requirement notes below)</t>
  </si>
  <si>
    <t>Create a axe with all possible enchantments at max level (See requirement notes below)</t>
  </si>
  <si>
    <t>Create a hoe with all possible enchantments at max level (See requirement notes below)</t>
  </si>
  <si>
    <t>Create a sword with all possible enchantments at max level (See requirement notes below)</t>
  </si>
  <si>
    <t>Create a bow with all possible enchantments at max level (See requirement notes below)</t>
  </si>
  <si>
    <t>Create a crossbow with all possible enchantments at max level (See requirement notes below)</t>
  </si>
  <si>
    <t>Create a full suit of armor with all possible enchantments at max level (See requirement notes below)</t>
  </si>
  <si>
    <t>Create a fishing rod with all possible enchantments at max level (See requirement notes below)</t>
  </si>
  <si>
    <t>Create a trident with all possible enchantments at max level (See requirement notes below)</t>
  </si>
  <si>
    <t>Create a mace with all possible enchantments at max level (See requirement notes below)</t>
  </si>
  <si>
    <t>Collect every type of enchantment at every level (See requirement notes below)</t>
  </si>
  <si>
    <t>Survive void damage (Fly under y=-64 for about a second then get up above y=0 without dying. Only works in the End)</t>
  </si>
  <si>
    <t>Eat a stack of Chorus Fruit in one go (Eat 64 chorus fruit with less than five seconds in-between each fruit and no other food eaten)</t>
  </si>
  <si>
    <t>Travel so far into the End dimension you might as well be on another planet (Be beyond 100,000 or -100,000 in the x or z direction in the End)</t>
  </si>
  <si>
    <t>Name a Shulker Box 'Blocks' for storing your blocks (Obtain a shulker box of any color that is named "Blocks")</t>
  </si>
  <si>
    <t>Fly up to a ridiculous height (Be above y=1000)</t>
  </si>
  <si>
    <t>Build a machine that can break a hole in the roof of the Nether (Be between y=127 and 127.9999 in the Nether dimension in a non-solid block)</t>
  </si>
  <si>
    <t>Brew a Mundane and Thick Potion (Brew a mundane and thick potion in the brewing stand)</t>
  </si>
  <si>
    <t>Dispatch a Creeper at melee range while you are invisible (Kill a Creeper that is less than 5 blocks away while you are invisible)</t>
  </si>
  <si>
    <t>Become nearly invincible to all damage using a Turtle Master Potion (Drink a Potion of the Turtle Master)</t>
  </si>
  <si>
    <t>Craft every type of tipped arrow (See requirement notes below)</t>
  </si>
  <si>
    <t>Get attacked by a mob with every potion effect (See requirement notes below)</t>
  </si>
  <si>
    <t>Ignite a Creeper of each possible effect using Flint and Steel (See requirement notes below)</t>
  </si>
  <si>
    <t>Defeat the Ender Dragon 20 times (Land the killing blow on the Ender Dragon 20 times)</t>
  </si>
  <si>
    <t>Defeat the Ender Dragon while wearing a dragon head... without touching the ground (Once the Ender Dragon becomes attackable you must not be touching the ground AND be wearing a Dragon Head for the whole fight, and deal the killing blow. It also resets if you ride any vehicle OR touch water or lava)</t>
  </si>
  <si>
    <t>Defeat the Wither while wearing a Dragon head... without touching the ground (Once the Wither becomes attackable you must not be touching the ground AND be wearing a Dragon Head for the whole fight, and deal the killing blow. It also resets if you ride any vehicle OR touch water, lava or a climbable block such as ladders)</t>
  </si>
  <si>
    <t>Have every effect applied at the same time (See requirement notes below)</t>
  </si>
  <si>
    <t>Spend a day underwater (See warning below)</t>
  </si>
</sst>
</file>

<file path=xl/styles.xml><?xml version="1.0" encoding="utf-8"?>
<styleSheet xmlns="http://schemas.openxmlformats.org/spreadsheetml/2006/main" xmlns:x14ac="http://schemas.microsoft.com/office/spreadsheetml/2009/9/ac" xmlns:mc="http://schemas.openxmlformats.org/markup-compatibility/2006">
  <fonts count="72">
    <font>
      <sz val="10.0"/>
      <color rgb="FF000000"/>
      <name val="Arial"/>
      <scheme val="minor"/>
    </font>
    <font>
      <b/>
      <sz val="50.0"/>
      <color rgb="FFFFFFFF"/>
      <name val="Arial"/>
      <scheme val="minor"/>
    </font>
    <font>
      <color theme="1"/>
      <name val="Arial"/>
      <scheme val="minor"/>
    </font>
    <font>
      <b/>
      <i/>
      <sz val="12.0"/>
      <color theme="1"/>
      <name val="Arial"/>
      <scheme val="minor"/>
    </font>
    <font/>
    <font>
      <sz val="12.0"/>
      <color theme="1"/>
      <name val="Arial"/>
      <scheme val="minor"/>
    </font>
    <font>
      <sz val="12.0"/>
      <color rgb="FF000000"/>
      <name val="Arial"/>
      <scheme val="minor"/>
    </font>
    <font>
      <b/>
      <i/>
      <sz val="14.0"/>
      <color theme="1"/>
      <name val="Arial"/>
      <scheme val="minor"/>
    </font>
    <font>
      <sz val="14.0"/>
      <color theme="1"/>
      <name val="Arial"/>
      <scheme val="minor"/>
    </font>
    <font>
      <b/>
      <sz val="16.0"/>
      <color theme="1"/>
      <name val="Arial"/>
    </font>
    <font>
      <sz val="16.0"/>
      <color theme="1"/>
      <name val="Arial"/>
    </font>
    <font>
      <b/>
      <sz val="18.0"/>
      <color rgb="FFFFFFFF"/>
      <name val="Arial"/>
      <scheme val="minor"/>
    </font>
    <font>
      <b/>
      <sz val="12.0"/>
      <color theme="1"/>
      <name val="Arial"/>
    </font>
    <font>
      <color theme="1"/>
      <name val="Arial"/>
    </font>
    <font>
      <u/>
      <sz val="12.0"/>
      <color rgb="FF1155CC"/>
      <name val="Arial"/>
    </font>
    <font>
      <b/>
      <u/>
      <sz val="12.0"/>
      <color rgb="FF0000FF"/>
      <name val="Arial"/>
    </font>
    <font>
      <b/>
      <u/>
      <sz val="12.0"/>
      <color rgb="FF1155CC"/>
      <name val="Arial"/>
    </font>
    <font>
      <u/>
      <sz val="12.0"/>
      <color rgb="FF0000FF"/>
      <name val="Arial"/>
    </font>
    <font>
      <i/>
      <u/>
      <sz val="8.0"/>
      <color rgb="FF0000FF"/>
      <name val="Arial"/>
    </font>
    <font>
      <b/>
      <u/>
      <sz val="11.0"/>
      <color rgb="FF0000FF"/>
    </font>
    <font>
      <sz val="10.0"/>
      <color theme="1"/>
      <name val="Arial"/>
      <scheme val="minor"/>
    </font>
    <font>
      <sz val="11.0"/>
      <color theme="1"/>
      <name val="Arial"/>
      <scheme val="minor"/>
    </font>
    <font>
      <i/>
      <sz val="9.0"/>
      <color theme="1"/>
      <name val="Arial"/>
      <scheme val="minor"/>
    </font>
    <font>
      <b/>
      <sz val="14.0"/>
      <color theme="1"/>
      <name val="Arial"/>
      <scheme val="minor"/>
    </font>
    <font>
      <color rgb="FFFFFFFF"/>
      <name val="Arial"/>
      <scheme val="minor"/>
    </font>
    <font>
      <sz val="18.0"/>
      <color theme="1"/>
      <name val="Arial"/>
      <scheme val="minor"/>
    </font>
    <font>
      <sz val="18.0"/>
      <color theme="1"/>
      <name val="Arial"/>
    </font>
    <font>
      <sz val="17.0"/>
      <color theme="1"/>
      <name val="Arial"/>
    </font>
    <font>
      <b/>
      <sz val="18.0"/>
      <color theme="1"/>
      <name val="Arial"/>
      <scheme val="minor"/>
    </font>
    <font>
      <b/>
      <color theme="1"/>
      <name val="Arial"/>
    </font>
    <font>
      <sz val="12.0"/>
      <color theme="1"/>
      <name val="Arial"/>
    </font>
    <font>
      <b/>
      <color theme="1"/>
      <name val="Arial"/>
      <scheme val="minor"/>
    </font>
    <font>
      <sz val="9.0"/>
      <color theme="1"/>
      <name val="Arial"/>
    </font>
    <font>
      <sz val="15.0"/>
      <color theme="1"/>
      <name val="Arial"/>
      <scheme val="minor"/>
    </font>
    <font>
      <color rgb="FF000000"/>
      <name val="Arial"/>
      <scheme val="minor"/>
    </font>
    <font>
      <color rgb="FFFF0000"/>
      <name val="Arial"/>
      <scheme val="minor"/>
    </font>
    <font>
      <u/>
      <color rgb="FFFF0000"/>
    </font>
    <font>
      <sz val="9.0"/>
      <color rgb="FF000000"/>
      <name val="&quot;Google Sans Mono&quot;"/>
    </font>
    <font>
      <sz val="14.0"/>
      <color rgb="FF000000"/>
      <name val="Arial"/>
      <scheme val="minor"/>
    </font>
    <font>
      <sz val="11.0"/>
      <color rgb="FFFF0000"/>
      <name val="Arial"/>
      <scheme val="minor"/>
    </font>
    <font>
      <sz val="11.0"/>
      <color rgb="FF000000"/>
      <name val="Arial"/>
      <scheme val="minor"/>
    </font>
    <font>
      <sz val="9.0"/>
      <color rgb="FFFF0000"/>
      <name val="Arial"/>
    </font>
    <font>
      <i/>
      <sz val="9.0"/>
      <color rgb="FFFF0000"/>
      <name val="Arial"/>
      <scheme val="minor"/>
    </font>
    <font>
      <b/>
      <i/>
      <color theme="1"/>
      <name val="Arial"/>
    </font>
    <font>
      <u/>
      <color rgb="FF0000FF"/>
      <name val="Arial"/>
    </font>
    <font>
      <color rgb="FF000000"/>
      <name val="Arial"/>
    </font>
    <font>
      <u/>
      <color rgb="FF0000FF"/>
      <name val="Arial"/>
    </font>
    <font>
      <color rgb="FFFFFFFF"/>
      <name val="Arial"/>
    </font>
    <font>
      <b/>
      <i/>
      <color rgb="FFFFFFFF"/>
      <name val="Arial"/>
    </font>
    <font>
      <u/>
      <color rgb="FF0000FF"/>
      <name val="Arial"/>
    </font>
    <font>
      <b/>
      <sz val="30.0"/>
      <color rgb="FFFFFFFF"/>
      <name val="Arial"/>
    </font>
    <font>
      <b/>
      <sz val="12.0"/>
      <color theme="1"/>
      <name val="Arial"/>
      <scheme val="minor"/>
    </font>
    <font>
      <b/>
      <color rgb="FFFF0000"/>
      <name val="Arial"/>
      <scheme val="minor"/>
    </font>
    <font>
      <b/>
      <sz val="10.0"/>
      <color rgb="FFFFFFFF"/>
      <name val="Arial"/>
    </font>
    <font>
      <i/>
      <sz val="9.0"/>
      <color theme="1"/>
      <name val="Arial"/>
    </font>
    <font>
      <i/>
      <sz val="9.0"/>
      <color rgb="FFCC0000"/>
      <name val="Arial"/>
    </font>
    <font>
      <b/>
      <sz val="14.0"/>
      <color theme="1"/>
      <name val="Arial"/>
    </font>
    <font>
      <color rgb="FFB7B7B7"/>
      <name val="Arial"/>
      <scheme val="minor"/>
    </font>
    <font>
      <sz val="9.0"/>
      <color rgb="FF1F1F1F"/>
      <name val="&quot;Google Sans&quot;"/>
    </font>
    <font>
      <i/>
      <sz val="12.0"/>
      <color rgb="FF000000"/>
      <name val="Arial"/>
      <scheme val="minor"/>
    </font>
    <font>
      <b/>
      <sz val="10.0"/>
      <color theme="1"/>
      <name val="Arial"/>
      <scheme val="minor"/>
    </font>
    <font>
      <b/>
      <sz val="12.0"/>
      <color rgb="FFFFFFFF"/>
      <name val="Arial"/>
      <scheme val="minor"/>
    </font>
    <font>
      <sz val="12.0"/>
      <color rgb="FFFF0000"/>
      <name val="Arial"/>
      <scheme val="minor"/>
    </font>
    <font>
      <sz val="13.0"/>
      <color rgb="FFFF0000"/>
      <name val="Arial"/>
      <scheme val="minor"/>
    </font>
    <font>
      <sz val="9.0"/>
      <color rgb="FF11A9CC"/>
      <name val="&quot;Google Sans Mono&quot;"/>
    </font>
    <font>
      <sz val="9.0"/>
      <color theme="1"/>
      <name val="Arial"/>
      <scheme val="minor"/>
    </font>
    <font>
      <sz val="22.0"/>
      <color rgb="FFFFFFFF"/>
      <name val="Arial"/>
      <scheme val="minor"/>
    </font>
    <font>
      <sz val="24.0"/>
      <color rgb="FFFFFFFF"/>
      <name val="Arial"/>
      <scheme val="minor"/>
    </font>
    <font>
      <b/>
      <sz val="24.0"/>
      <color rgb="FFFFFFFF"/>
      <name val="Arial"/>
      <scheme val="minor"/>
    </font>
    <font>
      <sz val="11.0"/>
      <color rgb="FF3C4043"/>
      <name val="Inconsolata"/>
    </font>
    <font>
      <sz val="11.0"/>
      <color theme="1"/>
      <name val="&quot;gg mono&quot;"/>
    </font>
    <font>
      <strike/>
      <color theme="1"/>
      <name val="Arial"/>
      <scheme val="minor"/>
    </font>
  </fonts>
  <fills count="39">
    <fill>
      <patternFill patternType="none"/>
    </fill>
    <fill>
      <patternFill patternType="lightGray"/>
    </fill>
    <fill>
      <patternFill patternType="solid">
        <fgColor rgb="FF000000"/>
        <bgColor rgb="FF000000"/>
      </patternFill>
    </fill>
    <fill>
      <patternFill patternType="solid">
        <fgColor rgb="FFEFEFEF"/>
        <bgColor rgb="FFEFEFEF"/>
      </patternFill>
    </fill>
    <fill>
      <patternFill patternType="solid">
        <fgColor rgb="FF9FC5E8"/>
        <bgColor rgb="FF9FC5E8"/>
      </patternFill>
    </fill>
    <fill>
      <patternFill patternType="solid">
        <fgColor rgb="FFFFF2CC"/>
        <bgColor rgb="FFFFF2CC"/>
      </patternFill>
    </fill>
    <fill>
      <patternFill patternType="solid">
        <fgColor rgb="FFD9D2E9"/>
        <bgColor rgb="FFD9D2E9"/>
      </patternFill>
    </fill>
    <fill>
      <patternFill patternType="solid">
        <fgColor rgb="FFF9CB9C"/>
        <bgColor rgb="FFF9CB9C"/>
      </patternFill>
    </fill>
    <fill>
      <patternFill patternType="solid">
        <fgColor rgb="FFEA9999"/>
        <bgColor rgb="FFEA9999"/>
      </patternFill>
    </fill>
    <fill>
      <patternFill patternType="solid">
        <fgColor rgb="FFC9DAF8"/>
        <bgColor rgb="FFC9DAF8"/>
      </patternFill>
    </fill>
    <fill>
      <patternFill patternType="solid">
        <fgColor rgb="FFD9EAD3"/>
        <bgColor rgb="FFD9EAD3"/>
      </patternFill>
    </fill>
    <fill>
      <patternFill patternType="solid">
        <fgColor rgb="FFFFFFFF"/>
        <bgColor rgb="FFFFFFFF"/>
      </patternFill>
    </fill>
    <fill>
      <patternFill patternType="solid">
        <fgColor rgb="FFFFFF00"/>
        <bgColor rgb="FFFFFF00"/>
      </patternFill>
    </fill>
    <fill>
      <patternFill patternType="solid">
        <fgColor rgb="FF999999"/>
        <bgColor rgb="FF999999"/>
      </patternFill>
    </fill>
    <fill>
      <patternFill patternType="solid">
        <fgColor rgb="FFF3F3F3"/>
        <bgColor rgb="FFF3F3F3"/>
      </patternFill>
    </fill>
    <fill>
      <patternFill patternType="solid">
        <fgColor rgb="FFBABABA"/>
        <bgColor rgb="FFBABABA"/>
      </patternFill>
    </fill>
    <fill>
      <patternFill patternType="solid">
        <fgColor rgb="FFB7B7B7"/>
        <bgColor rgb="FFB7B7B7"/>
      </patternFill>
    </fill>
    <fill>
      <patternFill patternType="solid">
        <fgColor rgb="FF93C47D"/>
        <bgColor rgb="FF93C47D"/>
      </patternFill>
    </fill>
    <fill>
      <patternFill patternType="solid">
        <fgColor rgb="FF6D9EEB"/>
        <bgColor rgb="FF6D9EEB"/>
      </patternFill>
    </fill>
    <fill>
      <patternFill patternType="solid">
        <fgColor rgb="FFC27BA0"/>
        <bgColor rgb="FFC27BA0"/>
      </patternFill>
    </fill>
    <fill>
      <patternFill patternType="solid">
        <fgColor rgb="FFCCAC66"/>
        <bgColor rgb="FFCCAC66"/>
      </patternFill>
    </fill>
    <fill>
      <patternFill patternType="solid">
        <fgColor rgb="FFB6D7A8"/>
        <bgColor rgb="FFB6D7A8"/>
      </patternFill>
    </fill>
    <fill>
      <patternFill patternType="solid">
        <fgColor rgb="FF93AF90"/>
        <bgColor rgb="FF93AF90"/>
      </patternFill>
    </fill>
    <fill>
      <patternFill patternType="solid">
        <fgColor rgb="FFE69138"/>
        <bgColor rgb="FFE69138"/>
      </patternFill>
    </fill>
    <fill>
      <patternFill patternType="solid">
        <fgColor rgb="FFE06666"/>
        <bgColor rgb="FFE06666"/>
      </patternFill>
    </fill>
    <fill>
      <patternFill patternType="solid">
        <fgColor rgb="FFFFD966"/>
        <bgColor rgb="FFFFD966"/>
      </patternFill>
    </fill>
    <fill>
      <patternFill patternType="solid">
        <fgColor rgb="FF666666"/>
        <bgColor rgb="FF666666"/>
      </patternFill>
    </fill>
    <fill>
      <patternFill patternType="solid">
        <fgColor rgb="FF6FA8DC"/>
        <bgColor rgb="FF6FA8DC"/>
      </patternFill>
    </fill>
    <fill>
      <patternFill patternType="solid">
        <fgColor rgb="FFF6B26B"/>
        <bgColor rgb="FFF6B26B"/>
      </patternFill>
    </fill>
    <fill>
      <patternFill patternType="solid">
        <fgColor rgb="FFFCE5CD"/>
        <bgColor rgb="FFFCE5CD"/>
      </patternFill>
    </fill>
    <fill>
      <patternFill patternType="solid">
        <fgColor rgb="FFD9D9D9"/>
        <bgColor rgb="FFD9D9D9"/>
      </patternFill>
    </fill>
    <fill>
      <patternFill patternType="solid">
        <fgColor rgb="FFF4CCCC"/>
        <bgColor rgb="FFF4CCCC"/>
      </patternFill>
    </fill>
    <fill>
      <patternFill patternType="solid">
        <fgColor rgb="FF76A5AF"/>
        <bgColor rgb="FF76A5AF"/>
      </patternFill>
    </fill>
    <fill>
      <patternFill patternType="solid">
        <fgColor rgb="FFD0E0E3"/>
        <bgColor rgb="FFD0E0E3"/>
      </patternFill>
    </fill>
    <fill>
      <patternFill patternType="solid">
        <fgColor rgb="FFCFE2F3"/>
        <bgColor rgb="FFCFE2F3"/>
      </patternFill>
    </fill>
    <fill>
      <patternFill patternType="solid">
        <fgColor rgb="FF8E7CC3"/>
        <bgColor rgb="FF8E7CC3"/>
      </patternFill>
    </fill>
    <fill>
      <patternFill patternType="solid">
        <fgColor rgb="FFE6C4AE"/>
        <bgColor rgb="FFE6C4AE"/>
      </patternFill>
    </fill>
    <fill>
      <patternFill patternType="solid">
        <fgColor rgb="FF434343"/>
        <bgColor rgb="FF434343"/>
      </patternFill>
    </fill>
    <fill>
      <patternFill patternType="solid">
        <fgColor rgb="FFFF0000"/>
        <bgColor rgb="FFFF0000"/>
      </patternFill>
    </fill>
  </fills>
  <borders count="78">
    <border/>
    <border>
      <right style="thin">
        <color rgb="FFEFEFEF"/>
      </right>
      <bottom style="medium">
        <color rgb="FF000000"/>
      </bottom>
    </border>
    <border>
      <left style="thin">
        <color rgb="FFEFEFEF"/>
      </left>
      <bottom style="medium">
        <color rgb="FF000000"/>
      </bottom>
    </border>
    <border>
      <bottom style="medium">
        <color rgb="FF000000"/>
      </bottom>
    </border>
    <border>
      <left style="thin">
        <color rgb="FFEFEFEF"/>
      </left>
      <right style="thin">
        <color rgb="FFEFEFEF"/>
      </right>
      <bottom style="medium">
        <color rgb="FF000000"/>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border>
    <border>
      <right style="medium">
        <color rgb="FF000000"/>
      </right>
    </border>
    <border>
      <left style="medium">
        <color rgb="FF000000"/>
      </left>
      <bottom style="thin">
        <color rgb="FF000000"/>
      </bottom>
    </border>
    <border>
      <bottom style="thin">
        <color rgb="FF000000"/>
      </bottom>
    </border>
    <border>
      <right style="medium">
        <color rgb="FF000000"/>
      </right>
      <bottom style="thin">
        <color rgb="FF000000"/>
      </bottom>
    </border>
    <border>
      <left style="medium">
        <color rgb="FF000000"/>
      </left>
      <top style="thin">
        <color rgb="FF000000"/>
      </top>
    </border>
    <border>
      <top style="thin">
        <color rgb="FF000000"/>
      </top>
    </border>
    <border>
      <right style="medium">
        <color rgb="FF000000"/>
      </right>
      <top style="thin">
        <color rgb="FF000000"/>
      </top>
    </border>
    <border>
      <left style="medium">
        <color rgb="FF000000"/>
      </left>
      <top style="thin">
        <color rgb="FF000000"/>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bottom style="medium">
        <color rgb="FF000000"/>
      </bottom>
    </border>
    <border>
      <right style="medium">
        <color rgb="FF000000"/>
      </right>
      <bottom style="medium">
        <color rgb="FF000000"/>
      </bottom>
    </border>
    <border>
      <left style="medium">
        <color rgb="FF000000"/>
      </left>
      <top style="thin">
        <color rgb="FF000000"/>
      </top>
      <bottom style="medium">
        <color rgb="FF000000"/>
      </bottom>
    </border>
    <border>
      <top style="thin">
        <color rgb="FF000000"/>
      </top>
      <bottom style="medium">
        <color rgb="FF000000"/>
      </bottom>
    </border>
    <border>
      <right style="medium">
        <color rgb="FF000000"/>
      </right>
      <top style="thin">
        <color rgb="FF000000"/>
      </top>
      <bottom style="medium">
        <color rgb="FF000000"/>
      </bottom>
    </border>
    <border>
      <left style="medium">
        <color rgb="FF000000"/>
      </left>
      <bottom style="thin">
        <color rgb="FFFFFFFF"/>
      </bottom>
    </border>
    <border>
      <bottom style="thin">
        <color rgb="FFFFFFFF"/>
      </bottom>
    </border>
    <border>
      <right style="medium">
        <color rgb="FF000000"/>
      </right>
      <bottom style="thin">
        <color rgb="FFFFFFFF"/>
      </bottom>
    </border>
    <border>
      <left style="medium">
        <color rgb="FF000000"/>
      </left>
      <top style="thin">
        <color rgb="FFFFFFFF"/>
      </top>
    </border>
    <border>
      <right style="thin">
        <color rgb="FFFFFFFF"/>
      </right>
      <top style="thin">
        <color rgb="FFFFFFFF"/>
      </top>
    </border>
    <border>
      <left style="thin">
        <color rgb="FFFFFFFF"/>
      </left>
      <top style="thin">
        <color rgb="FFFFFFFF"/>
      </top>
    </border>
    <border>
      <left style="thin">
        <color rgb="FFFFFFFF"/>
      </left>
      <right style="thin">
        <color rgb="FFFFFFFF"/>
      </right>
      <top style="thin">
        <color rgb="FFFFFFFF"/>
      </top>
    </border>
    <border>
      <left style="thin">
        <color rgb="FFFFFFFF"/>
      </left>
      <right style="medium">
        <color rgb="FF000000"/>
      </right>
      <top style="thin">
        <color rgb="FFFFFFFF"/>
      </top>
    </border>
    <border>
      <top style="thin">
        <color rgb="FFFFFFFF"/>
      </top>
    </border>
    <border>
      <right style="medium">
        <color rgb="FF000000"/>
      </right>
      <top style="thin">
        <color rgb="FFFFFFFF"/>
      </top>
    </border>
    <border>
      <right style="thin">
        <color rgb="FFFFFFFF"/>
      </right>
      <bottom style="thin">
        <color rgb="FFFFFFFF"/>
      </bottom>
    </border>
    <border>
      <left style="thin">
        <color rgb="FFFFFFFF"/>
      </left>
      <bottom style="thin">
        <color rgb="FFFFFFFF"/>
      </bottom>
    </border>
    <border>
      <left style="thin">
        <color rgb="FFFFFFFF"/>
      </left>
      <right style="thin">
        <color rgb="FFFFFFFF"/>
      </right>
      <bottom style="thin">
        <color rgb="FFFFFFFF"/>
      </bottom>
    </border>
    <border>
      <left style="thin">
        <color rgb="FFFFFFFF"/>
      </left>
      <right style="medium">
        <color rgb="FF000000"/>
      </right>
      <bottom style="thin">
        <color rgb="FFFFFFFF"/>
      </bottom>
    </border>
    <border>
      <left style="medium">
        <color rgb="FF000000"/>
      </left>
      <right style="thin">
        <color rgb="FFFFFFFF"/>
      </right>
      <top style="thin">
        <color rgb="FFFFFFFF"/>
      </top>
    </border>
    <border>
      <right style="thin">
        <color rgb="FFFFFFFF"/>
      </right>
      <bottom style="medium">
        <color rgb="FF000000"/>
      </bottom>
    </border>
    <border>
      <left style="thin">
        <color rgb="FFFFFFFF"/>
      </left>
      <bottom style="medium">
        <color rgb="FF000000"/>
      </bottom>
    </border>
    <border>
      <left style="thin">
        <color rgb="FFFFFFFF"/>
      </left>
      <right style="thin">
        <color rgb="FFFFFFFF"/>
      </right>
      <bottom style="medium">
        <color rgb="FF000000"/>
      </bottom>
    </border>
    <border>
      <left style="thin">
        <color rgb="FFFFFFFF"/>
      </left>
      <right style="medium">
        <color rgb="FF000000"/>
      </right>
      <bottom style="medium">
        <color rgb="FF000000"/>
      </bottom>
    </border>
    <border>
      <left style="medium">
        <color rgb="FF000000"/>
      </left>
      <right style="thin">
        <color rgb="FFFFFFFF"/>
      </right>
      <bottom style="medium">
        <color rgb="FF000000"/>
      </bottom>
    </border>
    <border>
      <left style="medium">
        <color rgb="FF000000"/>
      </left>
      <top style="thin">
        <color rgb="FFFFFFFF"/>
      </top>
      <bottom style="thin">
        <color rgb="FFFFFFFF"/>
      </bottom>
    </border>
    <border>
      <right style="thin">
        <color rgb="FFFFFFFF"/>
      </right>
      <top style="thin">
        <color rgb="FFFFFFFF"/>
      </top>
      <bottom style="thin">
        <color rgb="FFFFFFFF"/>
      </bottom>
    </border>
    <border>
      <left style="thin">
        <color rgb="FFFFFFFF"/>
      </left>
      <top style="thin">
        <color rgb="FFFFFFFF"/>
      </top>
      <bottom style="thin">
        <color rgb="FFFFFFFF"/>
      </bottom>
    </border>
    <border>
      <left style="thin">
        <color rgb="FFFFFFFF"/>
      </left>
      <right style="thin">
        <color rgb="FFFFFFFF"/>
      </right>
      <top style="thin">
        <color rgb="FFFFFFFF"/>
      </top>
      <bottom style="thin">
        <color rgb="FFFFFFFF"/>
      </bottom>
    </border>
    <border>
      <left style="thin">
        <color rgb="FFFFFFFF"/>
      </left>
      <right style="medium">
        <color rgb="FF000000"/>
      </right>
      <top style="thin">
        <color rgb="FFFFFFFF"/>
      </top>
      <bottom style="thin">
        <color rgb="FFFFFFFF"/>
      </bottom>
    </border>
    <border>
      <left style="medium">
        <color rgb="FF000000"/>
      </left>
      <top style="thin">
        <color rgb="FFFFFFFF"/>
      </top>
      <bottom style="medium">
        <color rgb="FF000000"/>
      </bottom>
    </border>
    <border>
      <right style="thin">
        <color rgb="FFFFFFFF"/>
      </right>
      <top style="thin">
        <color rgb="FFFFFFFF"/>
      </top>
      <bottom style="medium">
        <color rgb="FF000000"/>
      </bottom>
    </border>
    <border>
      <left style="thin">
        <color rgb="FFFFFFFF"/>
      </left>
      <top style="thin">
        <color rgb="FFFFFFFF"/>
      </top>
      <bottom style="medium">
        <color rgb="FF000000"/>
      </bottom>
    </border>
    <border>
      <left style="thin">
        <color rgb="FFFFFFFF"/>
      </left>
      <right style="thin">
        <color rgb="FFFFFFFF"/>
      </right>
      <top style="thin">
        <color rgb="FFFFFFFF"/>
      </top>
      <bottom style="medium">
        <color rgb="FF000000"/>
      </bottom>
    </border>
    <border>
      <left style="thin">
        <color rgb="FFFFFFFF"/>
      </left>
      <right style="medium">
        <color rgb="FF000000"/>
      </right>
      <top style="thin">
        <color rgb="FFFFFFFF"/>
      </top>
      <bottom style="medium">
        <color rgb="FF000000"/>
      </bottom>
    </border>
    <border>
      <right style="thin">
        <color rgb="FFFFFFFF"/>
      </right>
      <top style="medium">
        <color rgb="FF000000"/>
      </top>
      <bottom style="medium">
        <color rgb="FF000000"/>
      </bottom>
    </border>
    <border>
      <left style="thin">
        <color rgb="FFFFFFFF"/>
      </left>
      <top style="medium">
        <color rgb="FF000000"/>
      </top>
      <bottom style="medium">
        <color rgb="FF000000"/>
      </bottom>
    </border>
    <border>
      <left style="medium">
        <color rgb="FF000000"/>
      </left>
      <right style="thin">
        <color rgb="FFFFFFFF"/>
      </right>
      <top style="medium">
        <color rgb="FF000000"/>
      </top>
    </border>
    <border>
      <left style="thin">
        <color rgb="FFFFFFFF"/>
      </left>
      <right style="thin">
        <color rgb="FFFFFFFF"/>
      </right>
      <top style="medium">
        <color rgb="FF000000"/>
      </top>
    </border>
    <border>
      <left style="thin">
        <color rgb="FFFFFFFF"/>
      </left>
      <right style="medium">
        <color rgb="FF000000"/>
      </right>
      <top style="medium">
        <color rgb="FF000000"/>
      </top>
      <bottom style="thin">
        <color rgb="FFFFFFFF"/>
      </bottom>
    </border>
    <border>
      <right style="thin">
        <color rgb="FFFFFFFF"/>
      </right>
      <top style="medium">
        <color rgb="FF000000"/>
      </top>
    </border>
    <border>
      <left style="thin">
        <color rgb="FFFFFFFF"/>
      </left>
      <top style="medium">
        <color rgb="FF000000"/>
      </top>
    </border>
    <border>
      <left style="medium">
        <color rgb="FF000000"/>
      </left>
      <right style="medium">
        <color rgb="FF000000"/>
      </right>
      <top style="medium">
        <color rgb="FF000000"/>
      </top>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medium">
        <color rgb="FF000000"/>
      </right>
    </border>
    <border>
      <left style="medium">
        <color rgb="FF000000"/>
      </left>
      <bottom style="medium">
        <color rgb="FF666666"/>
      </bottom>
    </border>
    <border>
      <left style="medium">
        <color rgb="FF000000"/>
      </left>
      <right style="medium">
        <color rgb="FF000000"/>
      </right>
      <bottom style="medium">
        <color rgb="FF000000"/>
      </bottom>
    </border>
    <border>
      <left style="medium">
        <color rgb="FF000000"/>
      </left>
      <top style="medium">
        <color rgb="FF000000"/>
      </top>
      <bottom style="thin">
        <color rgb="FF666666"/>
      </bottom>
    </border>
    <border>
      <top style="medium">
        <color rgb="FF000000"/>
      </top>
      <bottom style="thin">
        <color rgb="FF666666"/>
      </bottom>
    </border>
    <border>
      <right style="medium">
        <color rgb="FF000000"/>
      </right>
      <bottom style="thin">
        <color rgb="FF666666"/>
      </bottom>
    </border>
    <border>
      <bottom style="thin">
        <color rgb="FF666666"/>
      </bottom>
    </border>
    <border>
      <left style="medium">
        <color rgb="FF000000"/>
      </left>
      <top style="thin">
        <color rgb="FF666666"/>
      </top>
    </border>
    <border>
      <top style="thin">
        <color rgb="FF666666"/>
      </top>
    </border>
    <border>
      <right style="medium">
        <color rgb="FF000000"/>
      </right>
      <top style="thin">
        <color rgb="FF666666"/>
      </top>
    </border>
  </borders>
  <cellStyleXfs count="1">
    <xf borderId="0" fillId="0" fontId="0" numFmtId="0" applyAlignment="1" applyFont="1"/>
  </cellStyleXfs>
  <cellXfs count="733">
    <xf borderId="0" fillId="0" fontId="0" numFmtId="0" xfId="0" applyAlignment="1" applyFont="1">
      <alignment readingOrder="0" shrinkToFit="0" vertical="bottom" wrapText="0"/>
    </xf>
    <xf borderId="0" fillId="2" fontId="1" numFmtId="0" xfId="0" applyAlignment="1" applyFill="1" applyFont="1">
      <alignment horizontal="center" readingOrder="0"/>
    </xf>
    <xf borderId="1" fillId="3" fontId="2" numFmtId="0" xfId="0" applyBorder="1" applyFill="1" applyFont="1"/>
    <xf borderId="2" fillId="3" fontId="3" numFmtId="0" xfId="0" applyAlignment="1" applyBorder="1" applyFont="1">
      <alignment horizontal="right" readingOrder="0"/>
    </xf>
    <xf borderId="3" fillId="0" fontId="4" numFmtId="0" xfId="0" applyBorder="1" applyFont="1"/>
    <xf borderId="1" fillId="0" fontId="4" numFmtId="0" xfId="0" applyBorder="1" applyFont="1"/>
    <xf borderId="2" fillId="3" fontId="5" numFmtId="0" xfId="0" applyAlignment="1" applyBorder="1" applyFont="1">
      <alignment horizontal="left" readingOrder="0"/>
    </xf>
    <xf borderId="4" fillId="3" fontId="6" numFmtId="0" xfId="0" applyAlignment="1" applyBorder="1" applyFont="1">
      <alignment readingOrder="0"/>
    </xf>
    <xf borderId="4" fillId="3" fontId="5" numFmtId="0" xfId="0" applyAlignment="1" applyBorder="1" applyFont="1">
      <alignment readingOrder="0"/>
    </xf>
    <xf borderId="2" fillId="3" fontId="7" numFmtId="0" xfId="0" applyAlignment="1" applyBorder="1" applyFont="1">
      <alignment horizontal="right" readingOrder="0"/>
    </xf>
    <xf borderId="4" fillId="3" fontId="8" numFmtId="0" xfId="0" applyAlignment="1" applyBorder="1" applyFont="1">
      <alignment horizontal="left" readingOrder="0"/>
    </xf>
    <xf borderId="2" fillId="3" fontId="2" numFmtId="0" xfId="0" applyBorder="1" applyFont="1"/>
    <xf borderId="0" fillId="4" fontId="9" numFmtId="0" xfId="0" applyAlignment="1" applyFill="1" applyFont="1">
      <alignment vertical="bottom"/>
    </xf>
    <xf borderId="0" fillId="4" fontId="10" numFmtId="0" xfId="0" applyAlignment="1" applyFont="1">
      <alignment horizontal="center" vertical="bottom"/>
    </xf>
    <xf borderId="5" fillId="2" fontId="11" numFmtId="0" xfId="0" applyAlignment="1" applyBorder="1" applyFont="1">
      <alignment readingOrder="0"/>
    </xf>
    <xf borderId="6" fillId="0" fontId="4" numFmtId="0" xfId="0" applyBorder="1" applyFont="1"/>
    <xf borderId="7" fillId="0" fontId="4" numFmtId="0" xfId="0" applyBorder="1" applyFont="1"/>
    <xf borderId="0" fillId="4" fontId="12" numFmtId="10" xfId="0" applyAlignment="1" applyFont="1" applyNumberFormat="1">
      <alignment horizontal="right" vertical="bottom"/>
    </xf>
    <xf borderId="0" fillId="4" fontId="13" numFmtId="0" xfId="0" applyAlignment="1" applyFont="1">
      <alignment vertical="bottom"/>
    </xf>
    <xf borderId="0" fillId="0" fontId="14" numFmtId="0" xfId="0" applyAlignment="1" applyFont="1">
      <alignment readingOrder="0" vertical="bottom"/>
    </xf>
    <xf borderId="0" fillId="5" fontId="15" numFmtId="0" xfId="0" applyAlignment="1" applyFill="1" applyFont="1">
      <alignment readingOrder="0" vertical="bottom"/>
    </xf>
    <xf borderId="0" fillId="0" fontId="13" numFmtId="0" xfId="0" applyAlignment="1" applyFont="1">
      <alignment vertical="bottom"/>
    </xf>
    <xf borderId="0" fillId="0" fontId="16" numFmtId="0" xfId="0" applyAlignment="1" applyFont="1">
      <alignment vertical="bottom"/>
    </xf>
    <xf borderId="0" fillId="0" fontId="17" numFmtId="0" xfId="0" applyAlignment="1" applyFont="1">
      <alignment readingOrder="0" vertical="bottom"/>
    </xf>
    <xf borderId="0" fillId="6" fontId="9" numFmtId="0" xfId="0" applyAlignment="1" applyFill="1" applyFont="1">
      <alignment vertical="bottom"/>
    </xf>
    <xf borderId="0" fillId="6" fontId="10" numFmtId="0" xfId="0" applyAlignment="1" applyFont="1">
      <alignment horizontal="center" vertical="bottom"/>
    </xf>
    <xf borderId="0" fillId="6" fontId="12" numFmtId="10" xfId="0" applyAlignment="1" applyFont="1" applyNumberFormat="1">
      <alignment horizontal="right" vertical="bottom"/>
    </xf>
    <xf borderId="0" fillId="6" fontId="13" numFmtId="0" xfId="0" applyAlignment="1" applyFont="1">
      <alignment vertical="bottom"/>
    </xf>
    <xf borderId="0" fillId="0" fontId="18" numFmtId="0" xfId="0" applyAlignment="1" applyFont="1">
      <alignment readingOrder="0" vertical="bottom"/>
    </xf>
    <xf borderId="0" fillId="7" fontId="9" numFmtId="0" xfId="0" applyAlignment="1" applyFill="1" applyFont="1">
      <alignment vertical="bottom"/>
    </xf>
    <xf borderId="0" fillId="7" fontId="10" numFmtId="0" xfId="0" applyAlignment="1" applyFont="1">
      <alignment horizontal="center" vertical="bottom"/>
    </xf>
    <xf borderId="0" fillId="7" fontId="12" numFmtId="10" xfId="0" applyAlignment="1" applyFont="1" applyNumberFormat="1">
      <alignment horizontal="right" vertical="bottom"/>
    </xf>
    <xf borderId="0" fillId="7" fontId="13" numFmtId="0" xfId="0" applyAlignment="1" applyFont="1">
      <alignment vertical="bottom"/>
    </xf>
    <xf borderId="0" fillId="0" fontId="19" numFmtId="0" xfId="0" applyAlignment="1" applyFont="1">
      <alignment readingOrder="0"/>
    </xf>
    <xf borderId="0" fillId="0" fontId="20" numFmtId="0" xfId="0" applyAlignment="1" applyFont="1">
      <alignment readingOrder="0"/>
    </xf>
    <xf borderId="0" fillId="0" fontId="21" numFmtId="0" xfId="0" applyAlignment="1" applyFont="1">
      <alignment readingOrder="0"/>
    </xf>
    <xf borderId="0" fillId="8" fontId="9" numFmtId="0" xfId="0" applyAlignment="1" applyFill="1" applyFont="1">
      <alignment vertical="bottom"/>
    </xf>
    <xf borderId="0" fillId="8" fontId="10" numFmtId="0" xfId="0" applyAlignment="1" applyFont="1">
      <alignment horizontal="center" vertical="bottom"/>
    </xf>
    <xf borderId="0" fillId="8" fontId="12" numFmtId="10" xfId="0" applyAlignment="1" applyFont="1" applyNumberFormat="1">
      <alignment horizontal="right" vertical="bottom"/>
    </xf>
    <xf borderId="0" fillId="8" fontId="13" numFmtId="0" xfId="0" applyAlignment="1" applyFont="1">
      <alignment vertical="bottom"/>
    </xf>
    <xf borderId="0" fillId="0" fontId="22" numFmtId="0" xfId="0" applyAlignment="1" applyFont="1">
      <alignment readingOrder="0"/>
    </xf>
    <xf borderId="8" fillId="0" fontId="2" numFmtId="0" xfId="0" applyAlignment="1" applyBorder="1" applyFont="1">
      <alignment horizontal="center" vertical="center"/>
    </xf>
    <xf borderId="9" fillId="0" fontId="4" numFmtId="0" xfId="0" applyBorder="1" applyFont="1"/>
    <xf borderId="9" fillId="0" fontId="2" numFmtId="0" xfId="0" applyBorder="1" applyFont="1"/>
    <xf borderId="9" fillId="0" fontId="23" numFmtId="0" xfId="0" applyAlignment="1" applyBorder="1" applyFont="1">
      <alignment readingOrder="0" vertical="center"/>
    </xf>
    <xf borderId="9" fillId="0" fontId="21" numFmtId="0" xfId="0" applyAlignment="1" applyBorder="1" applyFont="1">
      <alignment readingOrder="0" shrinkToFit="0" wrapText="1"/>
    </xf>
    <xf borderId="10" fillId="0" fontId="4" numFmtId="0" xfId="0" applyBorder="1" applyFont="1"/>
    <xf borderId="8" fillId="2" fontId="24" numFmtId="0" xfId="0" applyAlignment="1" applyBorder="1" applyFont="1">
      <alignment vertical="center"/>
    </xf>
    <xf borderId="9" fillId="2" fontId="2" numFmtId="0" xfId="0" applyBorder="1" applyFont="1"/>
    <xf borderId="10" fillId="2" fontId="11" numFmtId="0" xfId="0" applyAlignment="1" applyBorder="1" applyFont="1">
      <alignment readingOrder="0" vertical="center"/>
    </xf>
    <xf borderId="11" fillId="0" fontId="2" numFmtId="0" xfId="0" applyAlignment="1" applyBorder="1" applyFont="1">
      <alignment horizontal="center" vertical="center"/>
    </xf>
    <xf borderId="0" fillId="0" fontId="2" numFmtId="0" xfId="0" applyFont="1"/>
    <xf borderId="0" fillId="0" fontId="23" numFmtId="0" xfId="0" applyAlignment="1" applyFont="1">
      <alignment readingOrder="0" vertical="center"/>
    </xf>
    <xf borderId="0" fillId="0" fontId="21" numFmtId="0" xfId="0" applyAlignment="1" applyFont="1">
      <alignment readingOrder="0" shrinkToFit="0" wrapText="1"/>
    </xf>
    <xf borderId="12" fillId="0" fontId="4" numFmtId="0" xfId="0" applyBorder="1" applyFont="1"/>
    <xf borderId="13" fillId="9" fontId="2" numFmtId="0" xfId="0" applyAlignment="1" applyBorder="1" applyFill="1" applyFont="1">
      <alignment horizontal="center" vertical="center"/>
    </xf>
    <xf borderId="14" fillId="9" fontId="2" numFmtId="0" xfId="0" applyBorder="1" applyFont="1"/>
    <xf borderId="15" fillId="9" fontId="25" numFmtId="0" xfId="0" applyAlignment="1" applyBorder="1" applyFont="1">
      <alignment readingOrder="0" vertical="center"/>
    </xf>
    <xf borderId="11" fillId="9" fontId="2" numFmtId="0" xfId="0" applyAlignment="1" applyBorder="1" applyFont="1">
      <alignment horizontal="center" vertical="center"/>
    </xf>
    <xf borderId="0" fillId="9" fontId="13" numFmtId="0" xfId="0" applyAlignment="1" applyFont="1">
      <alignment horizontal="center"/>
    </xf>
    <xf borderId="12" fillId="9" fontId="25" numFmtId="0" xfId="0" applyAlignment="1" applyBorder="1" applyFont="1">
      <alignment readingOrder="0" vertical="center"/>
    </xf>
    <xf borderId="16" fillId="6" fontId="2" numFmtId="0" xfId="0" applyAlignment="1" applyBorder="1" applyFont="1">
      <alignment horizontal="center" readingOrder="0" vertical="center"/>
    </xf>
    <xf borderId="17" fillId="6" fontId="2" numFmtId="0" xfId="0" applyBorder="1" applyFont="1"/>
    <xf borderId="18" fillId="6" fontId="25" numFmtId="0" xfId="0" applyAlignment="1" applyBorder="1" applyFont="1">
      <alignment readingOrder="0" vertical="center"/>
    </xf>
    <xf borderId="14" fillId="9" fontId="13" numFmtId="0" xfId="0" applyAlignment="1" applyBorder="1" applyFont="1">
      <alignment horizontal="center"/>
    </xf>
    <xf borderId="11" fillId="6" fontId="2" numFmtId="0" xfId="0" applyAlignment="1" applyBorder="1" applyFont="1">
      <alignment horizontal="center" vertical="center"/>
    </xf>
    <xf borderId="0" fillId="6" fontId="2" numFmtId="0" xfId="0" applyFont="1"/>
    <xf borderId="12" fillId="6" fontId="25" numFmtId="0" xfId="0" applyAlignment="1" applyBorder="1" applyFont="1">
      <alignment readingOrder="0" vertical="center"/>
    </xf>
    <xf borderId="16" fillId="6" fontId="2" numFmtId="0" xfId="0" applyAlignment="1" applyBorder="1" applyFont="1">
      <alignment horizontal="center" vertical="center"/>
    </xf>
    <xf borderId="18" fillId="6" fontId="26" numFmtId="0" xfId="0" applyAlignment="1" applyBorder="1" applyFont="1">
      <alignment vertical="center"/>
    </xf>
    <xf borderId="12" fillId="6" fontId="26" numFmtId="0" xfId="0" applyAlignment="1" applyBorder="1" applyFont="1">
      <alignment vertical="center"/>
    </xf>
    <xf borderId="12" fillId="6" fontId="27" numFmtId="0" xfId="0" applyAlignment="1" applyBorder="1" applyFont="1">
      <alignment vertical="center"/>
    </xf>
    <xf borderId="13" fillId="6" fontId="2" numFmtId="0" xfId="0" applyAlignment="1" applyBorder="1" applyFont="1">
      <alignment horizontal="center" vertical="center"/>
    </xf>
    <xf borderId="14" fillId="6" fontId="2" numFmtId="0" xfId="0" applyBorder="1" applyFont="1"/>
    <xf borderId="15" fillId="6" fontId="25" numFmtId="0" xfId="0" applyAlignment="1" applyBorder="1" applyFont="1">
      <alignment readingOrder="0" vertical="center"/>
    </xf>
    <xf borderId="6" fillId="0" fontId="2" numFmtId="0" xfId="0" applyAlignment="1" applyBorder="1" applyFont="1">
      <alignment horizontal="center" readingOrder="0" vertical="center"/>
    </xf>
    <xf borderId="6" fillId="0" fontId="2" numFmtId="0" xfId="0" applyBorder="1" applyFont="1"/>
    <xf borderId="6" fillId="0" fontId="27" numFmtId="0" xfId="0" applyAlignment="1" applyBorder="1" applyFont="1">
      <alignment readingOrder="0" vertical="center"/>
    </xf>
    <xf borderId="16" fillId="0" fontId="2" numFmtId="0" xfId="0" applyAlignment="1" applyBorder="1" applyFont="1">
      <alignment horizontal="center" vertical="center"/>
    </xf>
    <xf borderId="17" fillId="0" fontId="2" numFmtId="0" xfId="0" applyBorder="1" applyFont="1"/>
    <xf borderId="18" fillId="0" fontId="25" numFmtId="0" xfId="0" applyAlignment="1" applyBorder="1" applyFont="1">
      <alignment readingOrder="0" vertical="center"/>
    </xf>
    <xf borderId="8" fillId="2" fontId="11" numFmtId="0" xfId="0" applyAlignment="1" applyBorder="1" applyFont="1">
      <alignment readingOrder="0"/>
    </xf>
    <xf borderId="12" fillId="0" fontId="25" numFmtId="0" xfId="0" applyAlignment="1" applyBorder="1" applyFont="1">
      <alignment readingOrder="0" vertical="center"/>
    </xf>
    <xf borderId="13" fillId="9" fontId="25" numFmtId="0" xfId="0" applyAlignment="1" applyBorder="1" applyFont="1">
      <alignment readingOrder="0"/>
    </xf>
    <xf borderId="14" fillId="0" fontId="4" numFmtId="0" xfId="0" applyBorder="1" applyFont="1"/>
    <xf borderId="15" fillId="0" fontId="4" numFmtId="0" xfId="0" applyBorder="1" applyFont="1"/>
    <xf borderId="19" fillId="6" fontId="25" numFmtId="0" xfId="0" applyAlignment="1" applyBorder="1" applyFont="1">
      <alignment readingOrder="0"/>
    </xf>
    <xf borderId="20" fillId="0" fontId="4" numFmtId="0" xfId="0" applyBorder="1" applyFont="1"/>
    <xf borderId="21" fillId="0" fontId="4" numFmtId="0" xfId="0" applyBorder="1" applyFont="1"/>
    <xf borderId="22" fillId="0" fontId="2" numFmtId="0" xfId="0" applyAlignment="1" applyBorder="1" applyFont="1">
      <alignment horizontal="center" vertical="center"/>
    </xf>
    <xf borderId="3" fillId="0" fontId="2" numFmtId="0" xfId="0" applyBorder="1" applyFont="1"/>
    <xf borderId="3" fillId="0" fontId="23" numFmtId="0" xfId="0" applyAlignment="1" applyBorder="1" applyFont="1">
      <alignment readingOrder="0" vertical="center"/>
    </xf>
    <xf borderId="3" fillId="0" fontId="21" numFmtId="0" xfId="0" applyAlignment="1" applyBorder="1" applyFont="1">
      <alignment readingOrder="0" shrinkToFit="0" wrapText="1"/>
    </xf>
    <xf borderId="23" fillId="0" fontId="4" numFmtId="0" xfId="0" applyBorder="1" applyFont="1"/>
    <xf borderId="23" fillId="0" fontId="25" numFmtId="0" xfId="0" applyAlignment="1" applyBorder="1" applyFont="1">
      <alignment readingOrder="0" vertical="center"/>
    </xf>
    <xf borderId="24" fillId="0" fontId="25" numFmtId="0" xfId="0" applyAlignment="1" applyBorder="1" applyFont="1">
      <alignment readingOrder="0"/>
    </xf>
    <xf borderId="25" fillId="0" fontId="25" numFmtId="0" xfId="0" applyBorder="1" applyFont="1"/>
    <xf borderId="26" fillId="0" fontId="25" numFmtId="0" xfId="0" applyBorder="1" applyFont="1"/>
    <xf borderId="5" fillId="2" fontId="11" numFmtId="0" xfId="0" applyAlignment="1" applyBorder="1" applyFont="1">
      <alignment readingOrder="0" vertical="center"/>
    </xf>
    <xf borderId="0" fillId="0" fontId="11" numFmtId="0" xfId="0" applyAlignment="1" applyFont="1">
      <alignment readingOrder="0" vertical="center"/>
    </xf>
    <xf borderId="9" fillId="0" fontId="2" numFmtId="0" xfId="0" applyAlignment="1" applyBorder="1" applyFont="1">
      <alignment readingOrder="0" vertical="center"/>
    </xf>
    <xf borderId="9" fillId="0" fontId="28" numFmtId="0" xfId="0" applyAlignment="1" applyBorder="1" applyFont="1">
      <alignment readingOrder="0" vertical="center"/>
    </xf>
    <xf borderId="0" fillId="0" fontId="13" numFmtId="0" xfId="0" applyAlignment="1" applyFont="1">
      <alignment readingOrder="0" vertical="bottom"/>
    </xf>
    <xf borderId="8" fillId="0" fontId="13" numFmtId="0" xfId="0" applyAlignment="1" applyBorder="1" applyFont="1">
      <alignment vertical="bottom"/>
    </xf>
    <xf borderId="9" fillId="0" fontId="13" numFmtId="0" xfId="0" applyAlignment="1" applyBorder="1" applyFont="1">
      <alignment horizontal="center"/>
    </xf>
    <xf borderId="10" fillId="0" fontId="29" numFmtId="0" xfId="0" applyAlignment="1" applyBorder="1" applyFont="1">
      <alignment readingOrder="0" vertical="bottom"/>
    </xf>
    <xf borderId="0" fillId="0" fontId="30" numFmtId="3" xfId="0" applyAlignment="1" applyFont="1" applyNumberFormat="1">
      <alignment horizontal="center"/>
    </xf>
    <xf borderId="10" fillId="0" fontId="31" numFmtId="0" xfId="0" applyBorder="1" applyFont="1"/>
    <xf borderId="11" fillId="0" fontId="4" numFmtId="0" xfId="0" applyBorder="1" applyFont="1"/>
    <xf borderId="22" fillId="0" fontId="4" numFmtId="0" xfId="0" applyBorder="1" applyFont="1"/>
    <xf borderId="23" fillId="0" fontId="32" numFmtId="0" xfId="0" applyAlignment="1" applyBorder="1" applyFont="1">
      <alignment vertical="bottom"/>
    </xf>
    <xf borderId="11" fillId="0" fontId="5" numFmtId="0" xfId="0" applyAlignment="1" applyBorder="1" applyFont="1">
      <alignment horizontal="right" readingOrder="0" vertical="center"/>
    </xf>
    <xf borderId="0" fillId="0" fontId="5" numFmtId="0" xfId="0" applyAlignment="1" applyFont="1">
      <alignment horizontal="right" readingOrder="0" vertical="center"/>
    </xf>
    <xf borderId="12" fillId="0" fontId="5" numFmtId="0" xfId="0" applyAlignment="1" applyBorder="1" applyFont="1">
      <alignment horizontal="center" readingOrder="0" vertical="center"/>
    </xf>
    <xf borderId="11" fillId="0" fontId="33" numFmtId="0" xfId="0" applyAlignment="1" applyBorder="1" applyFont="1">
      <alignment horizontal="right" readingOrder="0" vertical="center"/>
    </xf>
    <xf borderId="12" fillId="10" fontId="28" numFmtId="3" xfId="0" applyAlignment="1" applyBorder="1" applyFill="1" applyFont="1" applyNumberFormat="1">
      <alignment horizontal="center" readingOrder="0" vertical="center"/>
    </xf>
    <xf borderId="9" fillId="0" fontId="13" numFmtId="0" xfId="0" applyAlignment="1" applyBorder="1" applyFont="1">
      <alignment horizontal="center" vertical="center"/>
    </xf>
    <xf borderId="0" fillId="0" fontId="34" numFmtId="0" xfId="0" applyFont="1"/>
    <xf borderId="10" fillId="0" fontId="31" numFmtId="0" xfId="0" applyAlignment="1" applyBorder="1" applyFont="1">
      <alignment readingOrder="0"/>
    </xf>
    <xf borderId="8" fillId="0" fontId="2" numFmtId="0" xfId="0" applyAlignment="1" applyBorder="1" applyFont="1">
      <alignment horizontal="center" vertical="center"/>
    </xf>
    <xf borderId="9" fillId="3" fontId="22" numFmtId="0" xfId="0" applyAlignment="1" applyBorder="1" applyFont="1">
      <alignment readingOrder="0" shrinkToFit="0" vertical="center" wrapText="1"/>
    </xf>
    <xf borderId="0" fillId="0" fontId="35" numFmtId="0" xfId="0" applyFont="1"/>
    <xf borderId="0" fillId="0" fontId="2" numFmtId="0" xfId="0" applyFont="1"/>
    <xf borderId="9" fillId="0" fontId="13" numFmtId="0" xfId="0" applyAlignment="1" applyBorder="1" applyFont="1">
      <alignment horizontal="center"/>
    </xf>
    <xf borderId="8" fillId="3" fontId="28" numFmtId="0" xfId="0" applyAlignment="1" applyBorder="1" applyFont="1">
      <alignment horizontal="center" readingOrder="0" vertical="center"/>
    </xf>
    <xf borderId="27" fillId="0" fontId="4" numFmtId="0" xfId="0" applyBorder="1" applyFont="1"/>
    <xf borderId="28" fillId="0" fontId="4" numFmtId="0" xfId="0" applyBorder="1" applyFont="1"/>
    <xf borderId="29" fillId="0" fontId="4" numFmtId="0" xfId="0" applyBorder="1" applyFont="1"/>
    <xf borderId="30" fillId="0" fontId="2" numFmtId="0" xfId="0" applyAlignment="1" applyBorder="1" applyFont="1">
      <alignment horizontal="center"/>
    </xf>
    <xf borderId="31" fillId="0" fontId="4" numFmtId="0" xfId="0" applyBorder="1" applyFont="1"/>
    <xf borderId="32" fillId="0" fontId="25" numFmtId="3" xfId="0" applyAlignment="1" applyBorder="1" applyFont="1" applyNumberFormat="1">
      <alignment horizontal="left" readingOrder="0" vertical="center"/>
    </xf>
    <xf borderId="33" fillId="0" fontId="2" numFmtId="0" xfId="0" applyAlignment="1" applyBorder="1" applyFont="1">
      <alignment readingOrder="0"/>
    </xf>
    <xf borderId="34" fillId="0" fontId="25" numFmtId="3" xfId="0" applyAlignment="1" applyBorder="1" applyFont="1" applyNumberFormat="1">
      <alignment horizontal="left" readingOrder="0" vertical="center"/>
    </xf>
    <xf borderId="30" fillId="0" fontId="5" numFmtId="0" xfId="0" applyAlignment="1" applyBorder="1" applyFont="1">
      <alignment horizontal="center" readingOrder="0" vertical="center"/>
    </xf>
    <xf borderId="35" fillId="0" fontId="4" numFmtId="0" xfId="0" applyBorder="1" applyFont="1"/>
    <xf borderId="32" fillId="0" fontId="5" numFmtId="0" xfId="0" applyAlignment="1" applyBorder="1" applyFont="1">
      <alignment horizontal="center" readingOrder="0" vertical="center"/>
    </xf>
    <xf borderId="36" fillId="0" fontId="4" numFmtId="0" xfId="0" applyBorder="1" applyFont="1"/>
    <xf borderId="37" fillId="0" fontId="4" numFmtId="0" xfId="0" applyBorder="1" applyFont="1"/>
    <xf borderId="38" fillId="0" fontId="4" numFmtId="0" xfId="0" applyBorder="1" applyFont="1"/>
    <xf borderId="39" fillId="0" fontId="4" numFmtId="0" xfId="0" applyBorder="1" applyFont="1"/>
    <xf borderId="40" fillId="0" fontId="4" numFmtId="0" xfId="0" applyBorder="1" applyFont="1"/>
    <xf borderId="30" fillId="0" fontId="2" numFmtId="0" xfId="0" applyAlignment="1" applyBorder="1" applyFont="1">
      <alignment horizontal="center" readingOrder="0"/>
    </xf>
    <xf borderId="41" fillId="0" fontId="2" numFmtId="0" xfId="0" applyAlignment="1" applyBorder="1" applyFont="1">
      <alignment horizontal="center" readingOrder="0"/>
    </xf>
    <xf borderId="33" fillId="0" fontId="2" numFmtId="0" xfId="0" applyBorder="1" applyFont="1"/>
    <xf borderId="42" fillId="0" fontId="4" numFmtId="0" xfId="0" applyBorder="1" applyFont="1"/>
    <xf borderId="43" fillId="0" fontId="4" numFmtId="0" xfId="0" applyBorder="1" applyFont="1"/>
    <xf borderId="44" fillId="0" fontId="4" numFmtId="0" xfId="0" applyBorder="1" applyFont="1"/>
    <xf borderId="45" fillId="0" fontId="4" numFmtId="0" xfId="0" applyBorder="1" applyFont="1"/>
    <xf borderId="46" fillId="0" fontId="4" numFmtId="0" xfId="0" applyBorder="1" applyFont="1"/>
    <xf borderId="0" fillId="0" fontId="34" numFmtId="0" xfId="0" applyFont="1"/>
    <xf borderId="30" fillId="0" fontId="2" numFmtId="0" xfId="0" applyAlignment="1" applyBorder="1" applyFont="1">
      <alignment horizontal="center"/>
    </xf>
    <xf borderId="47" fillId="0" fontId="2" numFmtId="0" xfId="0" applyAlignment="1" applyBorder="1" applyFont="1">
      <alignment horizontal="center"/>
    </xf>
    <xf borderId="48" fillId="0" fontId="4" numFmtId="0" xfId="0" applyBorder="1" applyFont="1"/>
    <xf borderId="49" fillId="0" fontId="25" numFmtId="3" xfId="0" applyAlignment="1" applyBorder="1" applyFont="1" applyNumberFormat="1">
      <alignment horizontal="left" readingOrder="0" vertical="center"/>
    </xf>
    <xf borderId="50" fillId="0" fontId="2" numFmtId="0" xfId="0" applyBorder="1" applyFont="1"/>
    <xf borderId="51" fillId="0" fontId="25" numFmtId="3" xfId="0" applyAlignment="1" applyBorder="1" applyFont="1" applyNumberFormat="1">
      <alignment horizontal="left" readingOrder="0" vertical="center"/>
    </xf>
    <xf borderId="52" fillId="0" fontId="2" numFmtId="0" xfId="0" applyAlignment="1" applyBorder="1" applyFont="1">
      <alignment horizontal="center"/>
    </xf>
    <xf borderId="53" fillId="0" fontId="4" numFmtId="0" xfId="0" applyBorder="1" applyFont="1"/>
    <xf borderId="54" fillId="0" fontId="25" numFmtId="3" xfId="0" applyAlignment="1" applyBorder="1" applyFont="1" applyNumberFormat="1">
      <alignment horizontal="left" readingOrder="0" vertical="center"/>
    </xf>
    <xf borderId="55" fillId="0" fontId="2" numFmtId="0" xfId="0" applyBorder="1" applyFont="1"/>
    <xf borderId="56" fillId="0" fontId="25" numFmtId="3" xfId="0" applyAlignment="1" applyBorder="1" applyFont="1" applyNumberFormat="1">
      <alignment horizontal="left" readingOrder="0" vertical="center"/>
    </xf>
    <xf borderId="0" fillId="0" fontId="2" numFmtId="0" xfId="0" applyAlignment="1" applyFont="1">
      <alignment horizontal="center"/>
    </xf>
    <xf borderId="5" fillId="0" fontId="2" numFmtId="0" xfId="0" applyAlignment="1" applyBorder="1" applyFont="1">
      <alignment horizontal="center"/>
    </xf>
    <xf borderId="6" fillId="0" fontId="28" numFmtId="0" xfId="0" applyAlignment="1" applyBorder="1" applyFont="1">
      <alignment readingOrder="0" vertical="center"/>
    </xf>
    <xf borderId="57" fillId="0" fontId="4" numFmtId="0" xfId="0" applyBorder="1" applyFont="1"/>
    <xf borderId="58" fillId="0" fontId="25" numFmtId="3" xfId="0" applyAlignment="1" applyBorder="1" applyFont="1" applyNumberFormat="1">
      <alignment readingOrder="0" vertical="center"/>
    </xf>
    <xf borderId="5" fillId="0" fontId="36" numFmtId="0" xfId="0" applyAlignment="1" applyBorder="1" applyFont="1">
      <alignment readingOrder="0" shrinkToFit="0" wrapText="1"/>
    </xf>
    <xf borderId="0" fillId="0" fontId="25" numFmtId="3" xfId="0" applyAlignment="1" applyFont="1" applyNumberFormat="1">
      <alignment horizontal="left" readingOrder="0" vertical="center"/>
    </xf>
    <xf borderId="0" fillId="0" fontId="2" numFmtId="2" xfId="0" applyAlignment="1" applyFont="1" applyNumberFormat="1">
      <alignment horizontal="left"/>
    </xf>
    <xf borderId="11" fillId="11" fontId="37" numFmtId="0" xfId="0" applyAlignment="1" applyBorder="1" applyFill="1" applyFont="1">
      <alignment horizontal="center"/>
    </xf>
    <xf borderId="0" fillId="11" fontId="38" numFmtId="0" xfId="0" applyFont="1"/>
    <xf borderId="0" fillId="11" fontId="39" numFmtId="0" xfId="0" applyFont="1"/>
    <xf borderId="11" fillId="0" fontId="35" numFmtId="0" xfId="0" applyAlignment="1" applyBorder="1" applyFont="1">
      <alignment horizontal="center"/>
    </xf>
    <xf borderId="0" fillId="0" fontId="40" numFmtId="0" xfId="0" applyFont="1"/>
    <xf borderId="12" fillId="0" fontId="35" numFmtId="0" xfId="0" applyBorder="1" applyFont="1"/>
    <xf borderId="11" fillId="0" fontId="2" numFmtId="0" xfId="0" applyBorder="1" applyFont="1"/>
    <xf borderId="12" fillId="0" fontId="2" numFmtId="0" xfId="0" applyBorder="1" applyFont="1"/>
    <xf borderId="9" fillId="0" fontId="8" numFmtId="0" xfId="0" applyAlignment="1" applyBorder="1" applyFont="1">
      <alignment readingOrder="0" vertical="center"/>
    </xf>
    <xf borderId="9" fillId="0" fontId="39" numFmtId="0" xfId="0" applyAlignment="1" applyBorder="1" applyFont="1">
      <alignment readingOrder="0" shrinkToFit="0" wrapText="1"/>
    </xf>
    <xf borderId="0" fillId="0" fontId="8" numFmtId="0" xfId="0" applyAlignment="1" applyFont="1">
      <alignment readingOrder="0" vertical="center"/>
    </xf>
    <xf borderId="0" fillId="0" fontId="39" numFmtId="0" xfId="0" applyAlignment="1" applyFont="1">
      <alignment readingOrder="0" shrinkToFit="0" wrapText="1"/>
    </xf>
    <xf borderId="0" fillId="9" fontId="2" numFmtId="0" xfId="0" applyFont="1"/>
    <xf borderId="11" fillId="6" fontId="2" numFmtId="0" xfId="0" applyAlignment="1" applyBorder="1" applyFont="1">
      <alignment horizontal="center" readingOrder="0" vertical="center"/>
    </xf>
    <xf borderId="11" fillId="9" fontId="25" numFmtId="0" xfId="0" applyAlignment="1" applyBorder="1" applyFont="1">
      <alignment readingOrder="0"/>
    </xf>
    <xf borderId="11" fillId="6" fontId="25" numFmtId="0" xfId="0" applyAlignment="1" applyBorder="1" applyFont="1">
      <alignment readingOrder="0"/>
    </xf>
    <xf borderId="3" fillId="0" fontId="8" numFmtId="0" xfId="0" applyAlignment="1" applyBorder="1" applyFont="1">
      <alignment readingOrder="0" vertical="center"/>
    </xf>
    <xf borderId="3" fillId="0" fontId="39" numFmtId="0" xfId="0" applyAlignment="1" applyBorder="1" applyFont="1">
      <alignment readingOrder="0" shrinkToFit="0" wrapText="1"/>
    </xf>
    <xf borderId="22" fillId="0" fontId="25" numFmtId="0" xfId="0" applyAlignment="1" applyBorder="1" applyFont="1">
      <alignment readingOrder="0"/>
    </xf>
    <xf borderId="3" fillId="0" fontId="25" numFmtId="0" xfId="0" applyBorder="1" applyFont="1"/>
    <xf borderId="23" fillId="0" fontId="25" numFmtId="0" xfId="0" applyBorder="1" applyFont="1"/>
    <xf borderId="10" fillId="0" fontId="13" numFmtId="0" xfId="0" applyAlignment="1" applyBorder="1" applyFont="1">
      <alignment readingOrder="0" vertical="bottom"/>
    </xf>
    <xf borderId="59" fillId="0" fontId="13" numFmtId="0" xfId="0" applyAlignment="1" applyBorder="1" applyFont="1">
      <alignment vertical="bottom"/>
    </xf>
    <xf borderId="60" fillId="0" fontId="13" numFmtId="0" xfId="0" applyAlignment="1" applyBorder="1" applyFont="1">
      <alignment horizontal="center"/>
    </xf>
    <xf borderId="61" fillId="0" fontId="2" numFmtId="0" xfId="0" applyBorder="1" applyFont="1"/>
    <xf borderId="23" fillId="0" fontId="41" numFmtId="0" xfId="0" applyAlignment="1" applyBorder="1" applyFont="1">
      <alignment vertical="bottom"/>
    </xf>
    <xf borderId="56" fillId="0" fontId="41" numFmtId="0" xfId="0" applyAlignment="1" applyBorder="1" applyFont="1">
      <alignment vertical="bottom"/>
    </xf>
    <xf borderId="61" fillId="0" fontId="13" numFmtId="0" xfId="0" applyAlignment="1" applyBorder="1" applyFont="1">
      <alignment readingOrder="0" vertical="bottom"/>
    </xf>
    <xf borderId="62" fillId="0" fontId="4" numFmtId="0" xfId="0" applyBorder="1" applyFont="1"/>
    <xf borderId="60" fillId="0" fontId="13" numFmtId="0" xfId="0" applyAlignment="1" applyBorder="1" applyFont="1">
      <alignment horizontal="center"/>
    </xf>
    <xf borderId="63" fillId="0" fontId="28" numFmtId="0" xfId="0" applyAlignment="1" applyBorder="1" applyFont="1">
      <alignment readingOrder="0" vertical="center"/>
    </xf>
    <xf borderId="59" fillId="0" fontId="2" numFmtId="0" xfId="0" applyAlignment="1" applyBorder="1" applyFont="1">
      <alignment horizontal="center" vertical="center"/>
    </xf>
    <xf borderId="60" fillId="0" fontId="2" numFmtId="0" xfId="0" applyAlignment="1" applyBorder="1" applyFont="1">
      <alignment readingOrder="0" vertical="center"/>
    </xf>
    <xf borderId="61" fillId="0" fontId="2" numFmtId="0" xfId="0" applyAlignment="1" applyBorder="1" applyFont="1">
      <alignment readingOrder="0"/>
    </xf>
    <xf borderId="63" fillId="0" fontId="42" numFmtId="0" xfId="0" applyAlignment="1" applyBorder="1" applyFont="1">
      <alignment readingOrder="0" shrinkToFit="0" vertical="center" wrapText="1"/>
    </xf>
    <xf borderId="0" fillId="12" fontId="8" numFmtId="0" xfId="0" applyAlignment="1" applyFill="1" applyFont="1">
      <alignment readingOrder="0"/>
    </xf>
    <xf borderId="3" fillId="0" fontId="31" numFmtId="0" xfId="0" applyAlignment="1" applyBorder="1" applyFont="1">
      <alignment readingOrder="0"/>
    </xf>
    <xf borderId="3" fillId="0" fontId="31" numFmtId="0" xfId="0" applyAlignment="1" applyBorder="1" applyFont="1">
      <alignment horizontal="left" readingOrder="0"/>
    </xf>
    <xf borderId="3" fillId="0" fontId="31" numFmtId="0" xfId="0" applyBorder="1" applyFont="1"/>
    <xf borderId="0" fillId="0" fontId="2" numFmtId="0" xfId="0" applyAlignment="1" applyFont="1">
      <alignment readingOrder="0"/>
    </xf>
    <xf borderId="0" fillId="0" fontId="2" numFmtId="3" xfId="0" applyAlignment="1" applyFont="1" applyNumberFormat="1">
      <alignment horizontal="right"/>
    </xf>
    <xf borderId="0" fillId="0" fontId="2" numFmtId="3" xfId="0" applyAlignment="1" applyFont="1" applyNumberFormat="1">
      <alignment horizontal="right" readingOrder="0"/>
    </xf>
    <xf borderId="14" fillId="0" fontId="2" numFmtId="0" xfId="0" applyAlignment="1" applyBorder="1" applyFont="1">
      <alignment readingOrder="0"/>
    </xf>
    <xf borderId="14" fillId="0" fontId="2" numFmtId="3" xfId="0" applyAlignment="1" applyBorder="1" applyFont="1" applyNumberFormat="1">
      <alignment horizontal="right"/>
    </xf>
    <xf borderId="14" fillId="0" fontId="2" numFmtId="3" xfId="0" applyAlignment="1" applyBorder="1" applyFont="1" applyNumberFormat="1">
      <alignment horizontal="right" readingOrder="0"/>
    </xf>
    <xf borderId="14" fillId="0" fontId="2" numFmtId="0" xfId="0" applyBorder="1" applyFont="1"/>
    <xf borderId="17" fillId="0" fontId="2" numFmtId="0" xfId="0" applyAlignment="1" applyBorder="1" applyFont="1">
      <alignment readingOrder="0"/>
    </xf>
    <xf borderId="17" fillId="0" fontId="2" numFmtId="3" xfId="0" applyAlignment="1" applyBorder="1" applyFont="1" applyNumberFormat="1">
      <alignment horizontal="right"/>
    </xf>
    <xf borderId="17" fillId="0" fontId="2" numFmtId="3" xfId="0" applyAlignment="1" applyBorder="1" applyFont="1" applyNumberFormat="1">
      <alignment horizontal="right" readingOrder="0"/>
    </xf>
    <xf borderId="9" fillId="0" fontId="2" numFmtId="3" xfId="0" applyAlignment="1" applyBorder="1" applyFont="1" applyNumberFormat="1">
      <alignment horizontal="right"/>
    </xf>
    <xf borderId="9" fillId="0" fontId="2" numFmtId="3" xfId="0" applyAlignment="1" applyBorder="1" applyFont="1" applyNumberFormat="1">
      <alignment horizontal="right" readingOrder="0"/>
    </xf>
    <xf borderId="9" fillId="0" fontId="2" numFmtId="0" xfId="0" applyAlignment="1" applyBorder="1" applyFont="1">
      <alignment readingOrder="0"/>
    </xf>
    <xf borderId="0" fillId="0" fontId="2" numFmtId="0" xfId="0" applyAlignment="1" applyFont="1">
      <alignment horizontal="center"/>
    </xf>
    <xf borderId="0" fillId="0" fontId="2" numFmtId="0" xfId="0" applyAlignment="1" applyFont="1">
      <alignment horizontal="left"/>
    </xf>
    <xf borderId="0" fillId="13" fontId="29" numFmtId="0" xfId="0" applyAlignment="1" applyFill="1" applyFont="1">
      <alignment readingOrder="0" vertical="bottom"/>
    </xf>
    <xf borderId="0" fillId="13" fontId="29" numFmtId="0" xfId="0" applyAlignment="1" applyFont="1">
      <alignment horizontal="center" readingOrder="0" vertical="center"/>
    </xf>
    <xf borderId="0" fillId="13" fontId="31" numFmtId="0" xfId="0" applyAlignment="1" applyFont="1">
      <alignment readingOrder="0" vertical="center"/>
    </xf>
    <xf borderId="0" fillId="13" fontId="29" numFmtId="0" xfId="0" applyAlignment="1" applyFont="1">
      <alignment vertical="bottom"/>
    </xf>
    <xf borderId="0" fillId="13" fontId="29" numFmtId="0" xfId="0" applyAlignment="1" applyFont="1">
      <alignment shrinkToFit="0" vertical="bottom" wrapText="1"/>
    </xf>
    <xf borderId="0" fillId="13" fontId="29" numFmtId="0" xfId="0" applyAlignment="1" applyFont="1">
      <alignment readingOrder="0" shrinkToFit="0" vertical="bottom" wrapText="1"/>
    </xf>
    <xf borderId="0" fillId="13" fontId="31" numFmtId="0" xfId="0" applyAlignment="1" applyFont="1">
      <alignment readingOrder="0"/>
    </xf>
    <xf borderId="0" fillId="14" fontId="13" numFmtId="0" xfId="0" applyAlignment="1" applyFill="1" applyFont="1">
      <alignment readingOrder="0" vertical="bottom"/>
    </xf>
    <xf borderId="0" fillId="0" fontId="13" numFmtId="0" xfId="0" applyAlignment="1" applyFont="1">
      <alignment horizontal="center" readingOrder="0" vertical="center"/>
    </xf>
    <xf borderId="0" fillId="0" fontId="13" numFmtId="0" xfId="0" applyAlignment="1" applyFont="1">
      <alignment readingOrder="0" vertical="bottom"/>
    </xf>
    <xf borderId="0" fillId="0" fontId="13" numFmtId="0" xfId="0" applyAlignment="1" applyFont="1">
      <alignment readingOrder="0" vertical="center"/>
    </xf>
    <xf borderId="0" fillId="15" fontId="37" numFmtId="0" xfId="0" applyFill="1" applyFont="1"/>
    <xf borderId="0" fillId="14" fontId="13" numFmtId="0" xfId="0" applyAlignment="1" applyFont="1">
      <alignment vertical="bottom"/>
    </xf>
    <xf borderId="0" fillId="16" fontId="13" numFmtId="0" xfId="0" applyAlignment="1" applyFill="1" applyFont="1">
      <alignment shrinkToFit="0" vertical="bottom" wrapText="1"/>
    </xf>
    <xf borderId="0" fillId="16" fontId="13" numFmtId="0" xfId="0" applyAlignment="1" applyFont="1">
      <alignment vertical="bottom"/>
    </xf>
    <xf borderId="0" fillId="16" fontId="13" numFmtId="0" xfId="0" applyAlignment="1" applyFont="1">
      <alignment readingOrder="0" vertical="bottom"/>
    </xf>
    <xf borderId="0" fillId="11" fontId="37" numFmtId="0" xfId="0" applyFont="1"/>
    <xf borderId="0" fillId="16" fontId="2" numFmtId="0" xfId="0" applyAlignment="1" applyFont="1">
      <alignment readingOrder="0"/>
    </xf>
    <xf borderId="0" fillId="16" fontId="2" numFmtId="0" xfId="0" applyFont="1"/>
    <xf borderId="0" fillId="15" fontId="13" numFmtId="0" xfId="0" applyAlignment="1" applyFont="1">
      <alignment readingOrder="0" vertical="center"/>
    </xf>
    <xf borderId="0" fillId="17" fontId="13" numFmtId="0" xfId="0" applyAlignment="1" applyFill="1" applyFont="1">
      <alignment vertical="bottom"/>
    </xf>
    <xf borderId="0" fillId="16" fontId="13" numFmtId="0" xfId="0" applyAlignment="1" applyFont="1">
      <alignment shrinkToFit="0" vertical="bottom" wrapText="0"/>
    </xf>
    <xf borderId="0" fillId="16" fontId="13" numFmtId="0" xfId="0" applyAlignment="1" applyFont="1">
      <alignment readingOrder="0" shrinkToFit="0" vertical="bottom" wrapText="0"/>
    </xf>
    <xf borderId="0" fillId="18" fontId="13" numFmtId="0" xfId="0" applyAlignment="1" applyFill="1" applyFont="1">
      <alignment vertical="bottom"/>
    </xf>
    <xf borderId="0" fillId="0" fontId="13" numFmtId="0" xfId="0" applyAlignment="1" applyFont="1">
      <alignment readingOrder="0" vertical="center"/>
    </xf>
    <xf borderId="0" fillId="16" fontId="43" numFmtId="0" xfId="0" applyAlignment="1" applyFont="1">
      <alignment vertical="bottom"/>
    </xf>
    <xf borderId="0" fillId="19" fontId="13" numFmtId="0" xfId="0" applyAlignment="1" applyFill="1" applyFont="1">
      <alignment vertical="bottom"/>
    </xf>
    <xf borderId="0" fillId="16" fontId="44" numFmtId="0" xfId="0" applyAlignment="1" applyFont="1">
      <alignment vertical="bottom"/>
    </xf>
    <xf borderId="0" fillId="17" fontId="13" numFmtId="0" xfId="0" applyAlignment="1" applyFont="1">
      <alignment vertical="bottom"/>
    </xf>
    <xf borderId="0" fillId="16" fontId="45" numFmtId="0" xfId="0" applyAlignment="1" applyFont="1">
      <alignment shrinkToFit="0" vertical="bottom" wrapText="1"/>
    </xf>
    <xf borderId="0" fillId="16" fontId="45" numFmtId="0" xfId="0" applyAlignment="1" applyFont="1">
      <alignment vertical="bottom"/>
    </xf>
    <xf borderId="0" fillId="16" fontId="45" numFmtId="0" xfId="0" applyAlignment="1" applyFont="1">
      <alignment readingOrder="0" vertical="bottom"/>
    </xf>
    <xf borderId="0" fillId="7" fontId="13" numFmtId="0" xfId="0" applyAlignment="1" applyFont="1">
      <alignment shrinkToFit="0" vertical="bottom" wrapText="1"/>
    </xf>
    <xf borderId="0" fillId="7" fontId="13" numFmtId="0" xfId="0" applyAlignment="1" applyFont="1">
      <alignment vertical="bottom"/>
    </xf>
    <xf borderId="0" fillId="7" fontId="13" numFmtId="0" xfId="0" applyAlignment="1" applyFont="1">
      <alignment readingOrder="0" vertical="bottom"/>
    </xf>
    <xf borderId="0" fillId="7" fontId="2" numFmtId="0" xfId="0" applyAlignment="1" applyFont="1">
      <alignment readingOrder="0"/>
    </xf>
    <xf borderId="0" fillId="7" fontId="2" numFmtId="0" xfId="0" applyFont="1"/>
    <xf borderId="0" fillId="7" fontId="43" numFmtId="0" xfId="0" applyAlignment="1" applyFont="1">
      <alignment vertical="bottom"/>
    </xf>
    <xf borderId="0" fillId="7" fontId="46" numFmtId="0" xfId="0" applyAlignment="1" applyFont="1">
      <alignment vertical="bottom"/>
    </xf>
    <xf borderId="0" fillId="7" fontId="13" numFmtId="0" xfId="0" applyAlignment="1" applyFont="1">
      <alignment shrinkToFit="0" vertical="bottom" wrapText="0"/>
    </xf>
    <xf borderId="0" fillId="7" fontId="13" numFmtId="0" xfId="0" applyAlignment="1" applyFont="1">
      <alignment readingOrder="0" shrinkToFit="0" vertical="bottom" wrapText="0"/>
    </xf>
    <xf borderId="0" fillId="7" fontId="29" numFmtId="0" xfId="0" applyAlignment="1" applyFont="1">
      <alignment vertical="bottom"/>
    </xf>
    <xf borderId="0" fillId="20" fontId="13" numFmtId="0" xfId="0" applyAlignment="1" applyFill="1" applyFont="1">
      <alignment shrinkToFit="0" vertical="bottom" wrapText="1"/>
    </xf>
    <xf borderId="0" fillId="20" fontId="13" numFmtId="0" xfId="0" applyAlignment="1" applyFont="1">
      <alignment vertical="bottom"/>
    </xf>
    <xf borderId="0" fillId="20" fontId="13" numFmtId="0" xfId="0" applyAlignment="1" applyFont="1">
      <alignment readingOrder="0" vertical="bottom"/>
    </xf>
    <xf borderId="0" fillId="20" fontId="2" numFmtId="0" xfId="0" applyAlignment="1" applyFont="1">
      <alignment readingOrder="0"/>
    </xf>
    <xf borderId="0" fillId="20" fontId="2" numFmtId="0" xfId="0" applyFont="1"/>
    <xf borderId="0" fillId="20" fontId="43" numFmtId="0" xfId="0" applyAlignment="1" applyFont="1">
      <alignment vertical="bottom"/>
    </xf>
    <xf borderId="0" fillId="20" fontId="45" numFmtId="0" xfId="0" applyAlignment="1" applyFont="1">
      <alignment shrinkToFit="0" vertical="bottom" wrapText="1"/>
    </xf>
    <xf borderId="0" fillId="20" fontId="45" numFmtId="0" xfId="0" applyAlignment="1" applyFont="1">
      <alignment vertical="bottom"/>
    </xf>
    <xf borderId="0" fillId="20" fontId="45" numFmtId="0" xfId="0" applyAlignment="1" applyFont="1">
      <alignment readingOrder="0" vertical="bottom"/>
    </xf>
    <xf borderId="0" fillId="20" fontId="45" numFmtId="0" xfId="0" applyAlignment="1" applyFont="1">
      <alignment shrinkToFit="0" vertical="bottom" wrapText="0"/>
    </xf>
    <xf borderId="0" fillId="20" fontId="45" numFmtId="0" xfId="0" applyAlignment="1" applyFont="1">
      <alignment readingOrder="0" shrinkToFit="0" vertical="bottom" wrapText="0"/>
    </xf>
    <xf borderId="0" fillId="18" fontId="13" numFmtId="0" xfId="0" applyAlignment="1" applyFont="1">
      <alignment vertical="bottom"/>
    </xf>
    <xf borderId="0" fillId="20" fontId="45" numFmtId="0" xfId="0" applyAlignment="1" applyFont="1">
      <alignment shrinkToFit="0" vertical="bottom" wrapText="1"/>
    </xf>
    <xf borderId="0" fillId="20" fontId="45" numFmtId="0" xfId="0" applyAlignment="1" applyFont="1">
      <alignment vertical="bottom"/>
    </xf>
    <xf borderId="0" fillId="21" fontId="13" numFmtId="0" xfId="0" applyAlignment="1" applyFill="1" applyFont="1">
      <alignment shrinkToFit="0" vertical="bottom" wrapText="1"/>
    </xf>
    <xf borderId="0" fillId="21" fontId="13" numFmtId="0" xfId="0" applyAlignment="1" applyFont="1">
      <alignment vertical="bottom"/>
    </xf>
    <xf borderId="0" fillId="21" fontId="13" numFmtId="0" xfId="0" applyAlignment="1" applyFont="1">
      <alignment readingOrder="0" vertical="bottom"/>
    </xf>
    <xf borderId="0" fillId="21" fontId="2" numFmtId="0" xfId="0" applyAlignment="1" applyFont="1">
      <alignment readingOrder="0"/>
    </xf>
    <xf borderId="0" fillId="21" fontId="2" numFmtId="0" xfId="0" applyFont="1"/>
    <xf borderId="0" fillId="21" fontId="43" numFmtId="0" xfId="0" applyAlignment="1" applyFont="1">
      <alignment vertical="bottom"/>
    </xf>
    <xf borderId="0" fillId="0" fontId="13" numFmtId="0" xfId="0" applyAlignment="1" applyFont="1">
      <alignment horizontal="center" readingOrder="0" vertical="center"/>
    </xf>
    <xf borderId="0" fillId="0" fontId="13" numFmtId="0" xfId="0" applyAlignment="1" applyFont="1">
      <alignment readingOrder="0" vertical="center"/>
    </xf>
    <xf borderId="0" fillId="21" fontId="13" numFmtId="0" xfId="0" applyAlignment="1" applyFont="1">
      <alignment vertical="bottom"/>
    </xf>
    <xf borderId="0" fillId="22" fontId="13" numFmtId="0" xfId="0" applyAlignment="1" applyFill="1" applyFont="1">
      <alignment shrinkToFit="0" vertical="bottom" wrapText="1"/>
    </xf>
    <xf borderId="0" fillId="22" fontId="13" numFmtId="0" xfId="0" applyAlignment="1" applyFont="1">
      <alignment vertical="bottom"/>
    </xf>
    <xf borderId="0" fillId="22" fontId="13" numFmtId="0" xfId="0" applyAlignment="1" applyFont="1">
      <alignment readingOrder="0" vertical="bottom"/>
    </xf>
    <xf borderId="0" fillId="22" fontId="2" numFmtId="0" xfId="0" applyAlignment="1" applyFont="1">
      <alignment readingOrder="0"/>
    </xf>
    <xf borderId="0" fillId="22" fontId="2" numFmtId="0" xfId="0" applyFont="1"/>
    <xf borderId="0" fillId="22" fontId="43" numFmtId="0" xfId="0" applyAlignment="1" applyFont="1">
      <alignment vertical="bottom"/>
    </xf>
    <xf borderId="0" fillId="19" fontId="13" numFmtId="0" xfId="0" applyAlignment="1" applyFont="1">
      <alignment vertical="bottom"/>
    </xf>
    <xf borderId="0" fillId="17" fontId="13" numFmtId="0" xfId="0" applyAlignment="1" applyFont="1">
      <alignment vertical="bottom"/>
    </xf>
    <xf borderId="0" fillId="22" fontId="13" numFmtId="0" xfId="0" applyAlignment="1" applyFont="1">
      <alignment vertical="bottom"/>
    </xf>
    <xf borderId="0" fillId="18" fontId="13" numFmtId="0" xfId="0" applyAlignment="1" applyFont="1">
      <alignment vertical="bottom"/>
    </xf>
    <xf borderId="0" fillId="19" fontId="13" numFmtId="0" xfId="0" applyAlignment="1" applyFont="1">
      <alignment vertical="bottom"/>
    </xf>
    <xf borderId="0" fillId="18" fontId="13" numFmtId="0" xfId="0" applyAlignment="1" applyFont="1">
      <alignment vertical="bottom"/>
    </xf>
    <xf borderId="0" fillId="17" fontId="13" numFmtId="0" xfId="0" applyAlignment="1" applyFont="1">
      <alignment vertical="bottom"/>
    </xf>
    <xf borderId="0" fillId="19" fontId="13" numFmtId="0" xfId="0" applyAlignment="1" applyFont="1">
      <alignment vertical="bottom"/>
    </xf>
    <xf borderId="0" fillId="13" fontId="13" numFmtId="0" xfId="0" applyAlignment="1" applyFont="1">
      <alignment shrinkToFit="0" vertical="bottom" wrapText="1"/>
    </xf>
    <xf borderId="0" fillId="13" fontId="13" numFmtId="0" xfId="0" applyAlignment="1" applyFont="1">
      <alignment vertical="bottom"/>
    </xf>
    <xf borderId="0" fillId="13" fontId="13" numFmtId="0" xfId="0" applyAlignment="1" applyFont="1">
      <alignment readingOrder="0" vertical="bottom"/>
    </xf>
    <xf borderId="0" fillId="13" fontId="2" numFmtId="0" xfId="0" applyAlignment="1" applyFont="1">
      <alignment readingOrder="0"/>
    </xf>
    <xf borderId="0" fillId="13" fontId="2" numFmtId="0" xfId="0" applyFont="1"/>
    <xf borderId="0" fillId="13" fontId="43" numFmtId="0" xfId="0" applyAlignment="1" applyFont="1">
      <alignment vertical="bottom"/>
    </xf>
    <xf borderId="0" fillId="5" fontId="13" numFmtId="0" xfId="0" applyAlignment="1" applyFont="1">
      <alignment shrinkToFit="0" vertical="bottom" wrapText="1"/>
    </xf>
    <xf borderId="0" fillId="5" fontId="13" numFmtId="0" xfId="0" applyAlignment="1" applyFont="1">
      <alignment vertical="bottom"/>
    </xf>
    <xf borderId="0" fillId="5" fontId="13" numFmtId="0" xfId="0" applyAlignment="1" applyFont="1">
      <alignment readingOrder="0" vertical="bottom"/>
    </xf>
    <xf borderId="0" fillId="5" fontId="2" numFmtId="0" xfId="0" applyAlignment="1" applyFont="1">
      <alignment readingOrder="0"/>
    </xf>
    <xf borderId="0" fillId="5" fontId="2" numFmtId="0" xfId="0" applyFont="1"/>
    <xf borderId="0" fillId="5" fontId="43" numFmtId="0" xfId="0" applyAlignment="1" applyFont="1">
      <alignment vertical="bottom"/>
    </xf>
    <xf borderId="0" fillId="5" fontId="2" numFmtId="0" xfId="0" applyAlignment="1" applyFont="1">
      <alignment horizontal="center" vertical="center"/>
    </xf>
    <xf borderId="0" fillId="5" fontId="13" numFmtId="0" xfId="0" applyAlignment="1" applyFont="1">
      <alignment shrinkToFit="0" vertical="bottom" wrapText="0"/>
    </xf>
    <xf borderId="0" fillId="5" fontId="13" numFmtId="0" xfId="0" applyAlignment="1" applyFont="1">
      <alignment readingOrder="0" shrinkToFit="0" vertical="bottom" wrapText="0"/>
    </xf>
    <xf borderId="0" fillId="13" fontId="43" numFmtId="0" xfId="0" applyAlignment="1" applyFont="1">
      <alignment vertical="bottom"/>
    </xf>
    <xf borderId="0" fillId="2" fontId="47" numFmtId="0" xfId="0" applyAlignment="1" applyFont="1">
      <alignment shrinkToFit="0" vertical="bottom" wrapText="1"/>
    </xf>
    <xf borderId="0" fillId="2" fontId="47" numFmtId="0" xfId="0" applyAlignment="1" applyFont="1">
      <alignment vertical="bottom"/>
    </xf>
    <xf borderId="0" fillId="2" fontId="47" numFmtId="0" xfId="0" applyAlignment="1" applyFont="1">
      <alignment readingOrder="0" vertical="bottom"/>
    </xf>
    <xf borderId="0" fillId="2" fontId="24" numFmtId="0" xfId="0" applyAlignment="1" applyFont="1">
      <alignment readingOrder="0"/>
    </xf>
    <xf borderId="0" fillId="2" fontId="24" numFmtId="0" xfId="0" applyFont="1"/>
    <xf borderId="0" fillId="2" fontId="47" numFmtId="0" xfId="0" applyAlignment="1" applyFont="1">
      <alignment vertical="bottom"/>
    </xf>
    <xf borderId="0" fillId="2" fontId="48" numFmtId="0" xfId="0" applyAlignment="1" applyFont="1">
      <alignment vertical="bottom"/>
    </xf>
    <xf borderId="0" fillId="23" fontId="13" numFmtId="0" xfId="0" applyAlignment="1" applyFill="1" applyFont="1">
      <alignment shrinkToFit="0" vertical="bottom" wrapText="1"/>
    </xf>
    <xf borderId="0" fillId="23" fontId="13" numFmtId="0" xfId="0" applyAlignment="1" applyFont="1">
      <alignment vertical="bottom"/>
    </xf>
    <xf borderId="0" fillId="23" fontId="13" numFmtId="0" xfId="0" applyAlignment="1" applyFont="1">
      <alignment readingOrder="0" vertical="bottom"/>
    </xf>
    <xf borderId="0" fillId="23" fontId="2" numFmtId="0" xfId="0" applyAlignment="1" applyFont="1">
      <alignment readingOrder="0"/>
    </xf>
    <xf borderId="0" fillId="23" fontId="2" numFmtId="0" xfId="0" applyFont="1"/>
    <xf borderId="0" fillId="24" fontId="13" numFmtId="0" xfId="0" applyAlignment="1" applyFill="1" applyFont="1">
      <alignment shrinkToFit="0" vertical="bottom" wrapText="1"/>
    </xf>
    <xf borderId="0" fillId="24" fontId="13" numFmtId="0" xfId="0" applyAlignment="1" applyFont="1">
      <alignment vertical="bottom"/>
    </xf>
    <xf borderId="0" fillId="24" fontId="13" numFmtId="0" xfId="0" applyAlignment="1" applyFont="1">
      <alignment readingOrder="0" vertical="bottom"/>
    </xf>
    <xf borderId="0" fillId="24" fontId="2" numFmtId="0" xfId="0" applyAlignment="1" applyFont="1">
      <alignment readingOrder="0"/>
    </xf>
    <xf borderId="0" fillId="24" fontId="2" numFmtId="0" xfId="0" applyFont="1"/>
    <xf borderId="0" fillId="24" fontId="43" numFmtId="0" xfId="0" applyAlignment="1" applyFont="1">
      <alignment vertical="bottom"/>
    </xf>
    <xf borderId="0" fillId="25" fontId="13" numFmtId="0" xfId="0" applyAlignment="1" applyFill="1" applyFont="1">
      <alignment shrinkToFit="0" vertical="bottom" wrapText="1"/>
    </xf>
    <xf borderId="0" fillId="25" fontId="13" numFmtId="0" xfId="0" applyAlignment="1" applyFont="1">
      <alignment vertical="bottom"/>
    </xf>
    <xf borderId="0" fillId="25" fontId="13" numFmtId="0" xfId="0" applyAlignment="1" applyFont="1">
      <alignment readingOrder="0" vertical="bottom"/>
    </xf>
    <xf borderId="0" fillId="25" fontId="2" numFmtId="0" xfId="0" applyAlignment="1" applyFont="1">
      <alignment readingOrder="0"/>
    </xf>
    <xf borderId="0" fillId="25" fontId="2" numFmtId="0" xfId="0" applyFont="1"/>
    <xf borderId="0" fillId="25" fontId="43" numFmtId="0" xfId="0" applyAlignment="1" applyFont="1">
      <alignment vertical="bottom"/>
    </xf>
    <xf borderId="0" fillId="26" fontId="13" numFmtId="0" xfId="0" applyAlignment="1" applyFill="1" applyFont="1">
      <alignment shrinkToFit="0" vertical="bottom" wrapText="1"/>
    </xf>
    <xf borderId="0" fillId="26" fontId="13" numFmtId="0" xfId="0" applyAlignment="1" applyFont="1">
      <alignment vertical="bottom"/>
    </xf>
    <xf borderId="0" fillId="26" fontId="13" numFmtId="0" xfId="0" applyAlignment="1" applyFont="1">
      <alignment readingOrder="0" vertical="bottom"/>
    </xf>
    <xf borderId="0" fillId="26" fontId="2" numFmtId="0" xfId="0" applyAlignment="1" applyFont="1">
      <alignment readingOrder="0"/>
    </xf>
    <xf borderId="0" fillId="26" fontId="2" numFmtId="0" xfId="0" applyFont="1"/>
    <xf borderId="0" fillId="24" fontId="13" numFmtId="0" xfId="0" applyAlignment="1" applyFont="1">
      <alignment vertical="bottom"/>
    </xf>
    <xf borderId="0" fillId="26" fontId="49" numFmtId="0" xfId="0" applyAlignment="1" applyFont="1">
      <alignment vertical="bottom"/>
    </xf>
    <xf borderId="0" fillId="26" fontId="13" numFmtId="0" xfId="0" applyAlignment="1" applyFont="1">
      <alignment vertical="bottom"/>
    </xf>
    <xf borderId="0" fillId="26" fontId="43" numFmtId="0" xfId="0" applyAlignment="1" applyFont="1">
      <alignment vertical="bottom"/>
    </xf>
    <xf borderId="0" fillId="26" fontId="43" numFmtId="0" xfId="0" applyAlignment="1" applyFont="1">
      <alignment shrinkToFit="0" vertical="bottom" wrapText="1"/>
    </xf>
    <xf borderId="0" fillId="26" fontId="45" numFmtId="0" xfId="0" applyAlignment="1" applyFont="1">
      <alignment shrinkToFit="0" vertical="bottom" wrapText="1"/>
    </xf>
    <xf borderId="0" fillId="26" fontId="45" numFmtId="0" xfId="0" applyAlignment="1" applyFont="1">
      <alignment vertical="bottom"/>
    </xf>
    <xf borderId="0" fillId="14" fontId="13" numFmtId="0" xfId="0" applyAlignment="1" applyFont="1">
      <alignment shrinkToFit="0" vertical="bottom" wrapText="1"/>
    </xf>
    <xf borderId="0" fillId="14" fontId="13" numFmtId="0" xfId="0" applyAlignment="1" applyFont="1">
      <alignment vertical="bottom"/>
    </xf>
    <xf borderId="0" fillId="14" fontId="2" numFmtId="0" xfId="0" applyAlignment="1" applyFont="1">
      <alignment readingOrder="0"/>
    </xf>
    <xf borderId="0" fillId="14" fontId="2" numFmtId="0" xfId="0" applyFont="1"/>
    <xf borderId="0" fillId="27" fontId="13" numFmtId="0" xfId="0" applyAlignment="1" applyFill="1" applyFont="1">
      <alignment vertical="bottom"/>
    </xf>
    <xf borderId="0" fillId="14" fontId="43" numFmtId="0" xfId="0" applyAlignment="1" applyFont="1">
      <alignment vertical="bottom"/>
    </xf>
    <xf borderId="0" fillId="20" fontId="13" numFmtId="0" xfId="0" applyAlignment="1" applyFont="1">
      <alignment shrinkToFit="0" vertical="bottom" wrapText="0"/>
    </xf>
    <xf borderId="0" fillId="20" fontId="13" numFmtId="0" xfId="0" applyAlignment="1" applyFont="1">
      <alignment readingOrder="0" shrinkToFit="0" vertical="bottom" wrapText="0"/>
    </xf>
    <xf borderId="0" fillId="25" fontId="13" numFmtId="0" xfId="0" applyAlignment="1" applyFont="1">
      <alignment vertical="bottom"/>
    </xf>
    <xf borderId="0" fillId="20" fontId="13" numFmtId="0" xfId="0" applyAlignment="1" applyFont="1">
      <alignment vertical="bottom"/>
    </xf>
    <xf borderId="0" fillId="28" fontId="13" numFmtId="0" xfId="0" applyAlignment="1" applyFill="1" applyFont="1">
      <alignment vertical="bottom"/>
    </xf>
    <xf borderId="0" fillId="13" fontId="29" numFmtId="0" xfId="0" applyAlignment="1" applyFont="1">
      <alignment horizontal="center" vertical="bottom"/>
    </xf>
    <xf borderId="0" fillId="13" fontId="29" numFmtId="0" xfId="0" applyAlignment="1" applyFont="1">
      <alignment vertical="bottom"/>
    </xf>
    <xf borderId="0" fillId="0" fontId="2" numFmtId="0" xfId="0" applyAlignment="1" applyFont="1">
      <alignment readingOrder="0" shrinkToFit="0" wrapText="1"/>
    </xf>
    <xf borderId="0" fillId="29" fontId="2" numFmtId="0" xfId="0" applyAlignment="1" applyFill="1" applyFont="1">
      <alignment readingOrder="0" shrinkToFit="0" wrapText="1"/>
    </xf>
    <xf borderId="0" fillId="11" fontId="37" numFmtId="0" xfId="0" applyFont="1"/>
    <xf borderId="0" fillId="0" fontId="2" numFmtId="0" xfId="0" applyAlignment="1" applyFont="1">
      <alignment shrinkToFit="0" wrapText="1"/>
    </xf>
    <xf borderId="0" fillId="11" fontId="37" numFmtId="0" xfId="0" applyAlignment="1" applyFont="1">
      <alignment readingOrder="0"/>
    </xf>
    <xf borderId="0" fillId="0" fontId="2" numFmtId="0" xfId="0" applyAlignment="1" applyFont="1">
      <alignment horizontal="left" shrinkToFit="0" vertical="center" wrapText="1"/>
    </xf>
    <xf borderId="0" fillId="11" fontId="13" numFmtId="0" xfId="0" applyAlignment="1" applyFont="1">
      <alignment vertical="bottom"/>
    </xf>
    <xf borderId="0" fillId="0" fontId="13" numFmtId="0" xfId="0" applyAlignment="1" applyFont="1">
      <alignment horizontal="center" vertical="bottom"/>
    </xf>
    <xf borderId="8" fillId="2" fontId="50" numFmtId="0" xfId="0" applyAlignment="1" applyBorder="1" applyFont="1">
      <alignment horizontal="center" readingOrder="0" vertical="center"/>
    </xf>
    <xf borderId="8" fillId="17" fontId="13" numFmtId="0" xfId="0" applyAlignment="1" applyBorder="1" applyFont="1">
      <alignment horizontal="center" readingOrder="0" vertical="bottom"/>
    </xf>
    <xf borderId="9" fillId="17" fontId="2" numFmtId="0" xfId="0" applyAlignment="1" applyBorder="1" applyFont="1">
      <alignment horizontal="center"/>
    </xf>
    <xf borderId="10" fillId="17" fontId="51" numFmtId="0" xfId="0" applyAlignment="1" applyBorder="1" applyFont="1">
      <alignment readingOrder="0" shrinkToFit="0" wrapText="1"/>
    </xf>
    <xf borderId="0" fillId="0" fontId="2" numFmtId="0" xfId="0" applyAlignment="1" applyFont="1">
      <alignment readingOrder="0" vertical="top"/>
    </xf>
    <xf borderId="8" fillId="24" fontId="13" numFmtId="0" xfId="0" applyAlignment="1" applyBorder="1" applyFont="1">
      <alignment horizontal="center" readingOrder="0" vertical="bottom"/>
    </xf>
    <xf borderId="9" fillId="24" fontId="2" numFmtId="0" xfId="0" applyAlignment="1" applyBorder="1" applyFont="1">
      <alignment horizontal="center"/>
    </xf>
    <xf borderId="10" fillId="24" fontId="51" numFmtId="0" xfId="0" applyAlignment="1" applyBorder="1" applyFont="1">
      <alignment readingOrder="0" shrinkToFit="0" wrapText="1"/>
    </xf>
    <xf borderId="9" fillId="24" fontId="13" numFmtId="0" xfId="0" applyAlignment="1" applyBorder="1" applyFont="1">
      <alignment horizontal="center"/>
    </xf>
    <xf borderId="10" fillId="24" fontId="12" numFmtId="0" xfId="0" applyAlignment="1" applyBorder="1" applyFont="1">
      <alignment readingOrder="0" shrinkToFit="0" vertical="bottom" wrapText="1"/>
    </xf>
    <xf borderId="9" fillId="17" fontId="13" numFmtId="0" xfId="0" applyAlignment="1" applyBorder="1" applyFont="1">
      <alignment horizontal="center"/>
    </xf>
    <xf borderId="10" fillId="17" fontId="12" numFmtId="0" xfId="0" applyAlignment="1" applyBorder="1" applyFont="1">
      <alignment shrinkToFit="0" vertical="bottom" wrapText="1"/>
    </xf>
    <xf borderId="10" fillId="17" fontId="12" numFmtId="0" xfId="0" applyAlignment="1" applyBorder="1" applyFont="1">
      <alignment readingOrder="0" shrinkToFit="0" vertical="bottom" wrapText="1"/>
    </xf>
    <xf borderId="8" fillId="25" fontId="13" numFmtId="0" xfId="0" applyAlignment="1" applyBorder="1" applyFont="1">
      <alignment horizontal="center" readingOrder="0" vertical="bottom"/>
    </xf>
    <xf borderId="9" fillId="25" fontId="13" numFmtId="0" xfId="0" applyAlignment="1" applyBorder="1" applyFont="1">
      <alignment horizontal="center"/>
    </xf>
    <xf borderId="10" fillId="25" fontId="12" numFmtId="0" xfId="0" applyAlignment="1" applyBorder="1" applyFont="1">
      <alignment readingOrder="0" shrinkToFit="0" vertical="bottom" wrapText="1"/>
    </xf>
    <xf borderId="8" fillId="30" fontId="13" numFmtId="0" xfId="0" applyAlignment="1" applyBorder="1" applyFill="1" applyFont="1">
      <alignment horizontal="center" readingOrder="0" vertical="bottom"/>
    </xf>
    <xf borderId="9" fillId="30" fontId="13" numFmtId="0" xfId="0" applyAlignment="1" applyBorder="1" applyFont="1">
      <alignment horizontal="center"/>
    </xf>
    <xf borderId="10" fillId="30" fontId="12" numFmtId="0" xfId="0" applyAlignment="1" applyBorder="1" applyFont="1">
      <alignment readingOrder="0" shrinkToFit="0" vertical="bottom" wrapText="1"/>
    </xf>
    <xf borderId="10" fillId="30" fontId="12" numFmtId="0" xfId="0" applyAlignment="1" applyBorder="1" applyFont="1">
      <alignment shrinkToFit="0" vertical="bottom" wrapText="1"/>
    </xf>
    <xf borderId="11" fillId="12" fontId="52" numFmtId="0" xfId="0" applyAlignment="1" applyBorder="1" applyFont="1">
      <alignment horizontal="center" readingOrder="0"/>
    </xf>
    <xf borderId="11" fillId="24" fontId="31" numFmtId="0" xfId="0" applyAlignment="1" applyBorder="1" applyFont="1">
      <alignment horizontal="center" readingOrder="0"/>
    </xf>
    <xf borderId="12" fillId="24" fontId="2" numFmtId="0" xfId="0" applyAlignment="1" applyBorder="1" applyFont="1">
      <alignment readingOrder="0" shrinkToFit="0" wrapText="1"/>
    </xf>
    <xf borderId="12" fillId="24" fontId="13" numFmtId="0" xfId="0" applyAlignment="1" applyBorder="1" applyFont="1">
      <alignment vertical="bottom"/>
    </xf>
    <xf borderId="11" fillId="17" fontId="29" numFmtId="0" xfId="0" applyAlignment="1" applyBorder="1" applyFont="1">
      <alignment horizontal="center" vertical="bottom"/>
    </xf>
    <xf borderId="12" fillId="17" fontId="13" numFmtId="0" xfId="0" applyAlignment="1" applyBorder="1" applyFont="1">
      <alignment vertical="bottom"/>
    </xf>
    <xf borderId="11" fillId="25" fontId="29" numFmtId="0" xfId="0" applyAlignment="1" applyBorder="1" applyFont="1">
      <alignment horizontal="center" vertical="bottom"/>
    </xf>
    <xf borderId="12" fillId="25" fontId="13" numFmtId="0" xfId="0" applyAlignment="1" applyBorder="1" applyFont="1">
      <alignment vertical="bottom"/>
    </xf>
    <xf borderId="11" fillId="30" fontId="29" numFmtId="0" xfId="0" applyAlignment="1" applyBorder="1" applyFont="1">
      <alignment horizontal="center" vertical="bottom"/>
    </xf>
    <xf borderId="12" fillId="30" fontId="13" numFmtId="0" xfId="0" applyAlignment="1" applyBorder="1" applyFont="1">
      <alignment vertical="bottom"/>
    </xf>
    <xf borderId="22" fillId="2" fontId="53" numFmtId="0" xfId="0" applyAlignment="1" applyBorder="1" applyFont="1">
      <alignment horizontal="center" readingOrder="0" vertical="center"/>
    </xf>
    <xf borderId="11" fillId="17" fontId="22" numFmtId="0" xfId="0" applyAlignment="1" applyBorder="1" applyFont="1">
      <alignment horizontal="left" shrinkToFit="0" vertical="top" wrapText="1"/>
    </xf>
    <xf borderId="11" fillId="24" fontId="22" numFmtId="0" xfId="0" applyAlignment="1" applyBorder="1" applyFont="1">
      <alignment horizontal="left" shrinkToFit="0" vertical="top" wrapText="1"/>
    </xf>
    <xf borderId="0" fillId="0" fontId="2" numFmtId="0" xfId="0" applyAlignment="1" applyFont="1">
      <alignment horizontal="left" vertical="top"/>
    </xf>
    <xf borderId="11" fillId="24" fontId="54" numFmtId="0" xfId="0" applyAlignment="1" applyBorder="1" applyFont="1">
      <alignment horizontal="left" shrinkToFit="0" vertical="top" wrapText="1"/>
    </xf>
    <xf borderId="0" fillId="0" fontId="35" numFmtId="0" xfId="0" applyAlignment="1" applyFont="1">
      <alignment horizontal="left" vertical="top"/>
    </xf>
    <xf borderId="11" fillId="17" fontId="54" numFmtId="0" xfId="0" applyAlignment="1" applyBorder="1" applyFont="1">
      <alignment horizontal="left" shrinkToFit="0" vertical="top" wrapText="1"/>
    </xf>
    <xf borderId="11" fillId="25" fontId="54" numFmtId="0" xfId="0" applyAlignment="1" applyBorder="1" applyFont="1">
      <alignment horizontal="left" shrinkToFit="0" vertical="top" wrapText="1"/>
    </xf>
    <xf borderId="11" fillId="30" fontId="55" numFmtId="0" xfId="0" applyAlignment="1" applyBorder="1" applyFont="1">
      <alignment horizontal="left" shrinkToFit="0" vertical="top" wrapText="1"/>
    </xf>
    <xf borderId="0" fillId="0" fontId="35" numFmtId="0" xfId="0" applyFont="1"/>
    <xf borderId="64" fillId="24" fontId="56" numFmtId="0" xfId="0" applyAlignment="1" applyBorder="1" applyFont="1">
      <alignment readingOrder="0" textRotation="180" vertical="top"/>
    </xf>
    <xf borderId="65" fillId="24" fontId="29" numFmtId="0" xfId="0" applyAlignment="1" applyBorder="1" applyFont="1">
      <alignment horizontal="center"/>
    </xf>
    <xf borderId="66" fillId="24" fontId="13" numFmtId="0" xfId="0" applyAlignment="1" applyBorder="1" applyFont="1">
      <alignment vertical="bottom"/>
    </xf>
    <xf borderId="67" fillId="24" fontId="29" numFmtId="0" xfId="0" applyAlignment="1" applyBorder="1" applyFont="1">
      <alignment vertical="bottom"/>
    </xf>
    <xf borderId="8" fillId="10" fontId="57" numFmtId="0" xfId="0" applyAlignment="1" applyBorder="1" applyFont="1">
      <alignment horizontal="center" readingOrder="0"/>
    </xf>
    <xf borderId="0" fillId="10" fontId="34" numFmtId="0" xfId="0" applyAlignment="1" applyFont="1">
      <alignment readingOrder="0"/>
    </xf>
    <xf borderId="10" fillId="10" fontId="6" numFmtId="0" xfId="0" applyAlignment="1" applyBorder="1" applyFont="1">
      <alignment readingOrder="0"/>
    </xf>
    <xf borderId="8" fillId="31" fontId="57" numFmtId="0" xfId="0" applyAlignment="1" applyBorder="1" applyFill="1" applyFont="1">
      <alignment horizontal="center" readingOrder="0"/>
    </xf>
    <xf borderId="0" fillId="31" fontId="34" numFmtId="0" xfId="0" applyAlignment="1" applyFont="1">
      <alignment readingOrder="0"/>
    </xf>
    <xf borderId="10" fillId="31" fontId="6" numFmtId="0" xfId="0" applyAlignment="1" applyBorder="1" applyFont="1">
      <alignment readingOrder="0"/>
    </xf>
    <xf borderId="8" fillId="31" fontId="13" numFmtId="0" xfId="0" applyAlignment="1" applyBorder="1" applyFont="1">
      <alignment horizontal="center" vertical="bottom"/>
    </xf>
    <xf borderId="9" fillId="31" fontId="34" numFmtId="0" xfId="0" applyAlignment="1" applyBorder="1" applyFont="1">
      <alignment readingOrder="0"/>
    </xf>
    <xf borderId="10" fillId="31" fontId="30" numFmtId="0" xfId="0" applyAlignment="1" applyBorder="1" applyFont="1">
      <alignment vertical="bottom"/>
    </xf>
    <xf borderId="0" fillId="0" fontId="57" numFmtId="0" xfId="0" applyAlignment="1" applyFont="1">
      <alignment readingOrder="0"/>
    </xf>
    <xf borderId="8" fillId="10" fontId="13" numFmtId="0" xfId="0" applyAlignment="1" applyBorder="1" applyFont="1">
      <alignment horizontal="center" vertical="bottom"/>
    </xf>
    <xf borderId="9" fillId="10" fontId="34" numFmtId="0" xfId="0" applyAlignment="1" applyBorder="1" applyFont="1">
      <alignment readingOrder="0"/>
    </xf>
    <xf borderId="10" fillId="10" fontId="30" numFmtId="0" xfId="0" applyAlignment="1" applyBorder="1" applyFont="1">
      <alignment vertical="bottom"/>
    </xf>
    <xf borderId="8" fillId="5" fontId="13" numFmtId="0" xfId="0" applyAlignment="1" applyBorder="1" applyFont="1">
      <alignment horizontal="center" vertical="bottom"/>
    </xf>
    <xf borderId="9" fillId="5" fontId="34" numFmtId="0" xfId="0" applyAlignment="1" applyBorder="1" applyFont="1">
      <alignment readingOrder="0"/>
    </xf>
    <xf borderId="10" fillId="5" fontId="30" numFmtId="0" xfId="0" applyAlignment="1" applyBorder="1" applyFont="1">
      <alignment vertical="bottom"/>
    </xf>
    <xf borderId="8" fillId="3" fontId="13" numFmtId="0" xfId="0" applyAlignment="1" applyBorder="1" applyFont="1">
      <alignment horizontal="center" vertical="bottom"/>
    </xf>
    <xf borderId="9" fillId="3" fontId="45" numFmtId="0" xfId="0" applyAlignment="1" applyBorder="1" applyFont="1">
      <alignment horizontal="center"/>
    </xf>
    <xf borderId="10" fillId="3" fontId="30" numFmtId="0" xfId="0" applyAlignment="1" applyBorder="1" applyFont="1">
      <alignment vertical="bottom"/>
    </xf>
    <xf borderId="9" fillId="3" fontId="34" numFmtId="0" xfId="0" applyAlignment="1" applyBorder="1" applyFont="1">
      <alignment readingOrder="0"/>
    </xf>
    <xf borderId="68" fillId="0" fontId="4" numFmtId="0" xfId="0" applyBorder="1" applyFont="1"/>
    <xf borderId="16" fillId="31" fontId="13" numFmtId="0" xfId="0" applyAlignment="1" applyBorder="1" applyFont="1">
      <alignment horizontal="center"/>
    </xf>
    <xf borderId="17" fillId="31" fontId="13" numFmtId="0" xfId="0" applyAlignment="1" applyBorder="1" applyFont="1">
      <alignment vertical="bottom"/>
    </xf>
    <xf borderId="18" fillId="31" fontId="13" numFmtId="0" xfId="0" applyAlignment="1" applyBorder="1" applyFont="1">
      <alignment vertical="bottom"/>
    </xf>
    <xf borderId="11" fillId="10" fontId="57" numFmtId="0" xfId="0" applyAlignment="1" applyBorder="1" applyFont="1">
      <alignment horizontal="center" readingOrder="0"/>
    </xf>
    <xf borderId="12" fillId="10" fontId="6" numFmtId="0" xfId="0" applyAlignment="1" applyBorder="1" applyFont="1">
      <alignment readingOrder="0"/>
    </xf>
    <xf borderId="11" fillId="31" fontId="57" numFmtId="0" xfId="0" applyAlignment="1" applyBorder="1" applyFont="1">
      <alignment horizontal="center" readingOrder="0"/>
    </xf>
    <xf borderId="12" fillId="31" fontId="6" numFmtId="0" xfId="0" applyAlignment="1" applyBorder="1" applyFont="1">
      <alignment readingOrder="0"/>
    </xf>
    <xf borderId="11" fillId="31" fontId="13" numFmtId="0" xfId="0" applyAlignment="1" applyBorder="1" applyFont="1">
      <alignment horizontal="center" vertical="bottom"/>
    </xf>
    <xf borderId="12" fillId="31" fontId="30" numFmtId="0" xfId="0" applyAlignment="1" applyBorder="1" applyFont="1">
      <alignment vertical="bottom"/>
    </xf>
    <xf borderId="0" fillId="0" fontId="2" numFmtId="0" xfId="0" applyAlignment="1" applyFont="1">
      <alignment horizontal="left" shrinkToFit="0" vertical="top" wrapText="1"/>
    </xf>
    <xf borderId="11" fillId="10" fontId="13" numFmtId="0" xfId="0" applyAlignment="1" applyBorder="1" applyFont="1">
      <alignment horizontal="center" vertical="bottom"/>
    </xf>
    <xf borderId="12" fillId="10" fontId="30" numFmtId="0" xfId="0" applyAlignment="1" applyBorder="1" applyFont="1">
      <alignment vertical="bottom"/>
    </xf>
    <xf borderId="11" fillId="5" fontId="13" numFmtId="0" xfId="0" applyAlignment="1" applyBorder="1" applyFont="1">
      <alignment horizontal="center" vertical="bottom"/>
    </xf>
    <xf borderId="0" fillId="5" fontId="34" numFmtId="0" xfId="0" applyAlignment="1" applyFont="1">
      <alignment readingOrder="0"/>
    </xf>
    <xf borderId="12" fillId="5" fontId="30" numFmtId="0" xfId="0" applyAlignment="1" applyBorder="1" applyFont="1">
      <alignment vertical="bottom"/>
    </xf>
    <xf borderId="11" fillId="3" fontId="13" numFmtId="0" xfId="0" applyAlignment="1" applyBorder="1" applyFont="1">
      <alignment horizontal="center" vertical="bottom"/>
    </xf>
    <xf borderId="0" fillId="3" fontId="45" numFmtId="0" xfId="0" applyAlignment="1" applyFont="1">
      <alignment horizontal="center"/>
    </xf>
    <xf borderId="12" fillId="3" fontId="30" numFmtId="0" xfId="0" applyAlignment="1" applyBorder="1" applyFont="1">
      <alignment vertical="bottom"/>
    </xf>
    <xf borderId="0" fillId="3" fontId="34" numFmtId="0" xfId="0" applyAlignment="1" applyFont="1">
      <alignment readingOrder="0"/>
    </xf>
    <xf borderId="12" fillId="3" fontId="30" numFmtId="0" xfId="0" applyAlignment="1" applyBorder="1" applyFont="1">
      <alignment readingOrder="0" vertical="bottom"/>
    </xf>
    <xf borderId="11" fillId="31" fontId="13" numFmtId="0" xfId="0" applyAlignment="1" applyBorder="1" applyFont="1">
      <alignment horizontal="center"/>
    </xf>
    <xf borderId="0" fillId="31" fontId="13" numFmtId="0" xfId="0" applyAlignment="1" applyFont="1">
      <alignment vertical="bottom"/>
    </xf>
    <xf borderId="12" fillId="31" fontId="13" numFmtId="0" xfId="0" applyAlignment="1" applyBorder="1" applyFont="1">
      <alignment vertical="bottom"/>
    </xf>
    <xf borderId="69" fillId="31" fontId="13" numFmtId="0" xfId="0" applyAlignment="1" applyBorder="1" applyFont="1">
      <alignment horizontal="center"/>
    </xf>
    <xf borderId="3" fillId="31" fontId="13" numFmtId="0" xfId="0" applyAlignment="1" applyBorder="1" applyFont="1">
      <alignment vertical="bottom"/>
    </xf>
    <xf borderId="23" fillId="31" fontId="13" numFmtId="0" xfId="0" applyAlignment="1" applyBorder="1" applyFont="1">
      <alignment vertical="bottom"/>
    </xf>
    <xf borderId="0" fillId="0" fontId="13" numFmtId="0" xfId="0" applyAlignment="1" applyFont="1">
      <alignment vertical="bottom"/>
    </xf>
    <xf borderId="0" fillId="11" fontId="58" numFmtId="0" xfId="0" applyAlignment="1" applyFont="1">
      <alignment readingOrder="0"/>
    </xf>
    <xf borderId="70" fillId="0" fontId="4" numFmtId="0" xfId="0" applyBorder="1" applyFont="1"/>
    <xf borderId="22" fillId="31" fontId="13" numFmtId="0" xfId="0" applyAlignment="1" applyBorder="1" applyFont="1">
      <alignment horizontal="center"/>
    </xf>
    <xf borderId="22" fillId="3" fontId="13" numFmtId="0" xfId="0" applyAlignment="1" applyBorder="1" applyFont="1">
      <alignment horizontal="center" vertical="bottom"/>
    </xf>
    <xf borderId="3" fillId="3" fontId="34" numFmtId="0" xfId="0" applyAlignment="1" applyBorder="1" applyFont="1">
      <alignment readingOrder="0"/>
    </xf>
    <xf borderId="23" fillId="3" fontId="30" numFmtId="0" xfId="0" applyAlignment="1" applyBorder="1" applyFont="1">
      <alignment vertical="bottom"/>
    </xf>
    <xf borderId="64" fillId="28" fontId="56" numFmtId="0" xfId="0" applyAlignment="1" applyBorder="1" applyFont="1">
      <alignment readingOrder="0" textRotation="180" vertical="top"/>
    </xf>
    <xf borderId="65" fillId="28" fontId="29" numFmtId="0" xfId="0" applyAlignment="1" applyBorder="1" applyFont="1">
      <alignment horizontal="center"/>
    </xf>
    <xf borderId="66" fillId="28" fontId="13" numFmtId="0" xfId="0" applyAlignment="1" applyBorder="1" applyFont="1">
      <alignment vertical="bottom"/>
    </xf>
    <xf borderId="67" fillId="28" fontId="29" numFmtId="0" xfId="0" applyAlignment="1" applyBorder="1" applyFont="1">
      <alignment vertical="bottom"/>
    </xf>
    <xf borderId="16" fillId="29" fontId="13" numFmtId="0" xfId="0" applyAlignment="1" applyBorder="1" applyFont="1">
      <alignment horizontal="center"/>
    </xf>
    <xf borderId="17" fillId="29" fontId="13" numFmtId="0" xfId="0" applyAlignment="1" applyBorder="1" applyFont="1">
      <alignment vertical="bottom"/>
    </xf>
    <xf borderId="18" fillId="29" fontId="13" numFmtId="0" xfId="0" applyAlignment="1" applyBorder="1" applyFont="1">
      <alignment vertical="bottom"/>
    </xf>
    <xf borderId="11" fillId="29" fontId="13" numFmtId="0" xfId="0" applyAlignment="1" applyBorder="1" applyFont="1">
      <alignment horizontal="center"/>
    </xf>
    <xf borderId="0" fillId="29" fontId="13" numFmtId="0" xfId="0" applyAlignment="1" applyFont="1">
      <alignment vertical="bottom"/>
    </xf>
    <xf borderId="12" fillId="29" fontId="13" numFmtId="0" xfId="0" applyAlignment="1" applyBorder="1" applyFont="1">
      <alignment vertical="bottom"/>
    </xf>
    <xf borderId="12" fillId="10" fontId="59" numFmtId="0" xfId="0" applyAlignment="1" applyBorder="1" applyFont="1">
      <alignment readingOrder="0"/>
    </xf>
    <xf borderId="69" fillId="29" fontId="13" numFmtId="0" xfId="0" applyAlignment="1" applyBorder="1" applyFont="1">
      <alignment horizontal="center"/>
    </xf>
    <xf borderId="3" fillId="29" fontId="13" numFmtId="0" xfId="0" applyAlignment="1" applyBorder="1" applyFont="1">
      <alignment vertical="bottom"/>
    </xf>
    <xf borderId="23" fillId="29" fontId="13" numFmtId="0" xfId="0" applyAlignment="1" applyBorder="1" applyFont="1">
      <alignment vertical="bottom"/>
    </xf>
    <xf borderId="22" fillId="29" fontId="13" numFmtId="0" xfId="0" applyAlignment="1" applyBorder="1" applyFont="1">
      <alignment horizontal="center"/>
    </xf>
    <xf borderId="64" fillId="25" fontId="56" numFmtId="0" xfId="0" applyAlignment="1" applyBorder="1" applyFont="1">
      <alignment readingOrder="0" textRotation="180" vertical="top"/>
    </xf>
    <xf borderId="65" fillId="25" fontId="29" numFmtId="0" xfId="0" applyAlignment="1" applyBorder="1" applyFont="1">
      <alignment horizontal="center"/>
    </xf>
    <xf borderId="66" fillId="25" fontId="13" numFmtId="0" xfId="0" applyAlignment="1" applyBorder="1" applyFont="1">
      <alignment vertical="bottom"/>
    </xf>
    <xf borderId="67" fillId="25" fontId="29" numFmtId="0" xfId="0" applyAlignment="1" applyBorder="1" applyFont="1">
      <alignment vertical="bottom"/>
    </xf>
    <xf borderId="16" fillId="5" fontId="13" numFmtId="0" xfId="0" applyAlignment="1" applyBorder="1" applyFont="1">
      <alignment horizontal="center"/>
    </xf>
    <xf borderId="17" fillId="5" fontId="13" numFmtId="0" xfId="0" applyAlignment="1" applyBorder="1" applyFont="1">
      <alignment vertical="bottom"/>
    </xf>
    <xf borderId="18" fillId="5" fontId="13" numFmtId="0" xfId="0" applyAlignment="1" applyBorder="1" applyFont="1">
      <alignment vertical="bottom"/>
    </xf>
    <xf borderId="11" fillId="5" fontId="13" numFmtId="0" xfId="0" applyAlignment="1" applyBorder="1" applyFont="1">
      <alignment horizontal="center"/>
    </xf>
    <xf borderId="0" fillId="5" fontId="13" numFmtId="0" xfId="0" applyAlignment="1" applyFont="1">
      <alignment vertical="bottom"/>
    </xf>
    <xf borderId="12" fillId="5" fontId="13" numFmtId="0" xfId="0" applyAlignment="1" applyBorder="1" applyFont="1">
      <alignment vertical="bottom"/>
    </xf>
    <xf borderId="22" fillId="5" fontId="13" numFmtId="0" xfId="0" applyAlignment="1" applyBorder="1" applyFont="1">
      <alignment horizontal="center" vertical="bottom"/>
    </xf>
    <xf borderId="3" fillId="5" fontId="34" numFmtId="0" xfId="0" applyAlignment="1" applyBorder="1" applyFont="1">
      <alignment readingOrder="0"/>
    </xf>
    <xf borderId="23" fillId="5" fontId="30" numFmtId="0" xfId="0" applyAlignment="1" applyBorder="1" applyFont="1">
      <alignment vertical="bottom"/>
    </xf>
    <xf borderId="3" fillId="3" fontId="45" numFmtId="0" xfId="0" applyAlignment="1" applyBorder="1" applyFont="1">
      <alignment horizontal="center"/>
    </xf>
    <xf borderId="22" fillId="10" fontId="13" numFmtId="0" xfId="0" applyAlignment="1" applyBorder="1" applyFont="1">
      <alignment horizontal="center" vertical="bottom"/>
    </xf>
    <xf borderId="3" fillId="10" fontId="34" numFmtId="0" xfId="0" applyAlignment="1" applyBorder="1" applyFont="1">
      <alignment readingOrder="0"/>
    </xf>
    <xf borderId="23" fillId="10" fontId="30" numFmtId="0" xfId="0" applyAlignment="1" applyBorder="1" applyFont="1">
      <alignment vertical="bottom"/>
    </xf>
    <xf borderId="69" fillId="5" fontId="13" numFmtId="0" xfId="0" applyAlignment="1" applyBorder="1" applyFont="1">
      <alignment horizontal="center"/>
    </xf>
    <xf borderId="3" fillId="5" fontId="13" numFmtId="0" xfId="0" applyAlignment="1" applyBorder="1" applyFont="1">
      <alignment vertical="bottom"/>
    </xf>
    <xf borderId="23" fillId="5" fontId="13" numFmtId="0" xfId="0" applyAlignment="1" applyBorder="1" applyFont="1">
      <alignment vertical="bottom"/>
    </xf>
    <xf borderId="22" fillId="5" fontId="13" numFmtId="0" xfId="0" applyAlignment="1" applyBorder="1" applyFont="1">
      <alignment horizontal="center"/>
    </xf>
    <xf borderId="64" fillId="17" fontId="56" numFmtId="0" xfId="0" applyAlignment="1" applyBorder="1" applyFont="1">
      <alignment readingOrder="0" textRotation="180" vertical="top"/>
    </xf>
    <xf borderId="65" fillId="17" fontId="29" numFmtId="0" xfId="0" applyAlignment="1" applyBorder="1" applyFont="1">
      <alignment horizontal="center"/>
    </xf>
    <xf borderId="66" fillId="17" fontId="13" numFmtId="0" xfId="0" applyAlignment="1" applyBorder="1" applyFont="1">
      <alignment vertical="bottom"/>
    </xf>
    <xf borderId="67" fillId="17" fontId="29" numFmtId="0" xfId="0" applyAlignment="1" applyBorder="1" applyFont="1">
      <alignment vertical="bottom"/>
    </xf>
    <xf borderId="11" fillId="31" fontId="13" numFmtId="0" xfId="0" applyAlignment="1" applyBorder="1" applyFont="1">
      <alignment horizontal="center" vertical="bottom"/>
    </xf>
    <xf borderId="12" fillId="31" fontId="30" numFmtId="0" xfId="0" applyAlignment="1" applyBorder="1" applyFont="1">
      <alignment vertical="bottom"/>
    </xf>
    <xf borderId="16" fillId="10" fontId="13" numFmtId="0" xfId="0" applyAlignment="1" applyBorder="1" applyFont="1">
      <alignment horizontal="center"/>
    </xf>
    <xf borderId="17" fillId="10" fontId="13" numFmtId="0" xfId="0" applyAlignment="1" applyBorder="1" applyFont="1">
      <alignment vertical="bottom"/>
    </xf>
    <xf borderId="18" fillId="10" fontId="13" numFmtId="0" xfId="0" applyAlignment="1" applyBorder="1" applyFont="1">
      <alignment vertical="bottom"/>
    </xf>
    <xf borderId="22" fillId="10" fontId="57" numFmtId="0" xfId="0" applyAlignment="1" applyBorder="1" applyFont="1">
      <alignment horizontal="center" readingOrder="0"/>
    </xf>
    <xf borderId="23" fillId="10" fontId="6" numFmtId="0" xfId="0" applyAlignment="1" applyBorder="1" applyFont="1">
      <alignment readingOrder="0"/>
    </xf>
    <xf borderId="22" fillId="10" fontId="13" numFmtId="0" xfId="0" applyAlignment="1" applyBorder="1" applyFont="1">
      <alignment horizontal="center"/>
    </xf>
    <xf borderId="3" fillId="10" fontId="13" numFmtId="0" xfId="0" applyAlignment="1" applyBorder="1" applyFont="1">
      <alignment vertical="bottom"/>
    </xf>
    <xf borderId="23" fillId="10" fontId="13" numFmtId="0" xfId="0" applyAlignment="1" applyBorder="1" applyFont="1">
      <alignment vertical="bottom"/>
    </xf>
    <xf borderId="11" fillId="10" fontId="13" numFmtId="0" xfId="0" applyAlignment="1" applyBorder="1" applyFont="1">
      <alignment horizontal="center"/>
    </xf>
    <xf borderId="0" fillId="10" fontId="13" numFmtId="0" xfId="0" applyAlignment="1" applyFont="1">
      <alignment vertical="bottom"/>
    </xf>
    <xf borderId="12" fillId="10" fontId="13" numFmtId="0" xfId="0" applyAlignment="1" applyBorder="1" applyFont="1">
      <alignment vertical="bottom"/>
    </xf>
    <xf borderId="0" fillId="0" fontId="13" numFmtId="0" xfId="0" applyFont="1"/>
    <xf borderId="23" fillId="10" fontId="13" numFmtId="0" xfId="0" applyAlignment="1" applyBorder="1" applyFont="1">
      <alignment vertical="bottom"/>
    </xf>
    <xf borderId="64" fillId="32" fontId="56" numFmtId="0" xfId="0" applyAlignment="1" applyBorder="1" applyFill="1" applyFont="1">
      <alignment readingOrder="0" textRotation="180" vertical="top"/>
    </xf>
    <xf borderId="65" fillId="32" fontId="29" numFmtId="0" xfId="0" applyAlignment="1" applyBorder="1" applyFont="1">
      <alignment horizontal="center"/>
    </xf>
    <xf borderId="66" fillId="32" fontId="13" numFmtId="0" xfId="0" applyAlignment="1" applyBorder="1" applyFont="1">
      <alignment vertical="bottom"/>
    </xf>
    <xf borderId="67" fillId="32" fontId="29" numFmtId="0" xfId="0" applyAlignment="1" applyBorder="1" applyFont="1">
      <alignment vertical="bottom"/>
    </xf>
    <xf borderId="22" fillId="31" fontId="13" numFmtId="0" xfId="0" applyAlignment="1" applyBorder="1" applyFont="1">
      <alignment horizontal="center" vertical="bottom"/>
    </xf>
    <xf borderId="3" fillId="31" fontId="34" numFmtId="0" xfId="0" applyAlignment="1" applyBorder="1" applyFont="1">
      <alignment readingOrder="0"/>
    </xf>
    <xf borderId="23" fillId="31" fontId="30" numFmtId="0" xfId="0" applyAlignment="1" applyBorder="1" applyFont="1">
      <alignment vertical="bottom"/>
    </xf>
    <xf borderId="16" fillId="33" fontId="13" numFmtId="0" xfId="0" applyAlignment="1" applyBorder="1" applyFill="1" applyFont="1">
      <alignment horizontal="center"/>
    </xf>
    <xf borderId="17" fillId="33" fontId="13" numFmtId="0" xfId="0" applyAlignment="1" applyBorder="1" applyFont="1">
      <alignment vertical="bottom"/>
    </xf>
    <xf borderId="18" fillId="33" fontId="13" numFmtId="0" xfId="0" applyAlignment="1" applyBorder="1" applyFont="1">
      <alignment vertical="bottom"/>
    </xf>
    <xf borderId="11" fillId="33" fontId="13" numFmtId="0" xfId="0" applyAlignment="1" applyBorder="1" applyFont="1">
      <alignment horizontal="center"/>
    </xf>
    <xf borderId="0" fillId="33" fontId="13" numFmtId="0" xfId="0" applyAlignment="1" applyFont="1">
      <alignment vertical="bottom"/>
    </xf>
    <xf borderId="12" fillId="33" fontId="13" numFmtId="0" xfId="0" applyAlignment="1" applyBorder="1" applyFont="1">
      <alignment vertical="bottom"/>
    </xf>
    <xf borderId="69" fillId="33" fontId="13" numFmtId="0" xfId="0" applyAlignment="1" applyBorder="1" applyFont="1">
      <alignment horizontal="center"/>
    </xf>
    <xf borderId="3" fillId="33" fontId="13" numFmtId="0" xfId="0" applyAlignment="1" applyBorder="1" applyFont="1">
      <alignment vertical="bottom"/>
    </xf>
    <xf borderId="23" fillId="33" fontId="13" numFmtId="0" xfId="0" applyAlignment="1" applyBorder="1" applyFont="1">
      <alignment vertical="bottom"/>
    </xf>
    <xf borderId="22" fillId="33" fontId="13" numFmtId="0" xfId="0" applyAlignment="1" applyBorder="1" applyFont="1">
      <alignment horizontal="center"/>
    </xf>
    <xf borderId="64" fillId="18" fontId="56" numFmtId="0" xfId="0" applyAlignment="1" applyBorder="1" applyFont="1">
      <alignment readingOrder="0" textRotation="180" vertical="top"/>
    </xf>
    <xf borderId="65" fillId="18" fontId="29" numFmtId="0" xfId="0" applyAlignment="1" applyBorder="1" applyFont="1">
      <alignment horizontal="center"/>
    </xf>
    <xf borderId="66" fillId="18" fontId="13" numFmtId="0" xfId="0" applyAlignment="1" applyBorder="1" applyFont="1">
      <alignment vertical="bottom"/>
    </xf>
    <xf borderId="67" fillId="18" fontId="29" numFmtId="0" xfId="0" applyAlignment="1" applyBorder="1" applyFont="1">
      <alignment vertical="bottom"/>
    </xf>
    <xf borderId="16" fillId="9" fontId="13" numFmtId="0" xfId="0" applyAlignment="1" applyBorder="1" applyFont="1">
      <alignment horizontal="center"/>
    </xf>
    <xf borderId="17" fillId="9" fontId="13" numFmtId="0" xfId="0" applyAlignment="1" applyBorder="1" applyFont="1">
      <alignment vertical="bottom"/>
    </xf>
    <xf borderId="18" fillId="9" fontId="13" numFmtId="0" xfId="0" applyAlignment="1" applyBorder="1" applyFont="1">
      <alignment vertical="bottom"/>
    </xf>
    <xf borderId="11" fillId="9" fontId="13" numFmtId="0" xfId="0" applyAlignment="1" applyBorder="1" applyFont="1">
      <alignment horizontal="center"/>
    </xf>
    <xf borderId="0" fillId="9" fontId="13" numFmtId="0" xfId="0" applyAlignment="1" applyFont="1">
      <alignment vertical="bottom"/>
    </xf>
    <xf borderId="12" fillId="9" fontId="13" numFmtId="0" xfId="0" applyAlignment="1" applyBorder="1" applyFont="1">
      <alignment vertical="bottom"/>
    </xf>
    <xf borderId="22" fillId="9" fontId="13" numFmtId="0" xfId="0" applyAlignment="1" applyBorder="1" applyFont="1">
      <alignment horizontal="center"/>
    </xf>
    <xf borderId="3" fillId="9" fontId="13" numFmtId="0" xfId="0" applyAlignment="1" applyBorder="1" applyFont="1">
      <alignment vertical="bottom"/>
    </xf>
    <xf borderId="23" fillId="9" fontId="13" numFmtId="0" xfId="0" applyAlignment="1" applyBorder="1" applyFont="1">
      <alignment vertical="bottom"/>
    </xf>
    <xf borderId="69" fillId="9" fontId="13" numFmtId="0" xfId="0" applyAlignment="1" applyBorder="1" applyFont="1">
      <alignment horizontal="center"/>
    </xf>
    <xf borderId="64" fillId="27" fontId="56" numFmtId="0" xfId="0" applyAlignment="1" applyBorder="1" applyFont="1">
      <alignment readingOrder="0" textRotation="180" vertical="top"/>
    </xf>
    <xf borderId="65" fillId="27" fontId="29" numFmtId="0" xfId="0" applyAlignment="1" applyBorder="1" applyFont="1">
      <alignment horizontal="center"/>
    </xf>
    <xf borderId="66" fillId="27" fontId="13" numFmtId="0" xfId="0" applyAlignment="1" applyBorder="1" applyFont="1">
      <alignment vertical="bottom"/>
    </xf>
    <xf borderId="67" fillId="27" fontId="29" numFmtId="0" xfId="0" applyAlignment="1" applyBorder="1" applyFont="1">
      <alignment vertical="bottom"/>
    </xf>
    <xf borderId="16" fillId="34" fontId="13" numFmtId="0" xfId="0" applyAlignment="1" applyBorder="1" applyFill="1" applyFont="1">
      <alignment horizontal="center"/>
    </xf>
    <xf borderId="17" fillId="34" fontId="13" numFmtId="0" xfId="0" applyAlignment="1" applyBorder="1" applyFont="1">
      <alignment vertical="bottom"/>
    </xf>
    <xf borderId="18" fillId="34" fontId="13" numFmtId="0" xfId="0" applyAlignment="1" applyBorder="1" applyFont="1">
      <alignment vertical="bottom"/>
    </xf>
    <xf borderId="11" fillId="34" fontId="13" numFmtId="0" xfId="0" applyAlignment="1" applyBorder="1" applyFont="1">
      <alignment horizontal="center"/>
    </xf>
    <xf borderId="0" fillId="34" fontId="13" numFmtId="0" xfId="0" applyAlignment="1" applyFont="1">
      <alignment vertical="bottom"/>
    </xf>
    <xf borderId="12" fillId="34" fontId="13" numFmtId="0" xfId="0" applyAlignment="1" applyBorder="1" applyFont="1">
      <alignment vertical="bottom"/>
    </xf>
    <xf borderId="22" fillId="34" fontId="13" numFmtId="0" xfId="0" applyAlignment="1" applyBorder="1" applyFont="1">
      <alignment horizontal="center"/>
    </xf>
    <xf borderId="3" fillId="34" fontId="13" numFmtId="0" xfId="0" applyAlignment="1" applyBorder="1" applyFont="1">
      <alignment vertical="bottom"/>
    </xf>
    <xf borderId="23" fillId="34" fontId="13" numFmtId="0" xfId="0" applyAlignment="1" applyBorder="1" applyFont="1">
      <alignment vertical="bottom"/>
    </xf>
    <xf borderId="64" fillId="35" fontId="56" numFmtId="0" xfId="0" applyAlignment="1" applyBorder="1" applyFill="1" applyFont="1">
      <alignment readingOrder="0" textRotation="180" vertical="top"/>
    </xf>
    <xf borderId="65" fillId="35" fontId="29" numFmtId="0" xfId="0" applyAlignment="1" applyBorder="1" applyFont="1">
      <alignment horizontal="center"/>
    </xf>
    <xf borderId="66" fillId="35" fontId="13" numFmtId="0" xfId="0" applyAlignment="1" applyBorder="1" applyFont="1">
      <alignment vertical="bottom"/>
    </xf>
    <xf borderId="67" fillId="35" fontId="29" numFmtId="0" xfId="0" applyAlignment="1" applyBorder="1" applyFont="1">
      <alignment vertical="bottom"/>
    </xf>
    <xf borderId="22" fillId="31" fontId="57" numFmtId="0" xfId="0" applyAlignment="1" applyBorder="1" applyFont="1">
      <alignment horizontal="center" readingOrder="0"/>
    </xf>
    <xf borderId="23" fillId="31" fontId="6" numFmtId="0" xfId="0" applyAlignment="1" applyBorder="1" applyFont="1">
      <alignment readingOrder="0"/>
    </xf>
    <xf borderId="16" fillId="6" fontId="13" numFmtId="0" xfId="0" applyAlignment="1" applyBorder="1" applyFont="1">
      <alignment horizontal="center"/>
    </xf>
    <xf borderId="17" fillId="6" fontId="13" numFmtId="0" xfId="0" applyAlignment="1" applyBorder="1" applyFont="1">
      <alignment vertical="bottom"/>
    </xf>
    <xf borderId="18" fillId="6" fontId="13" numFmtId="0" xfId="0" applyAlignment="1" applyBorder="1" applyFont="1">
      <alignment vertical="bottom"/>
    </xf>
    <xf borderId="11" fillId="6" fontId="13" numFmtId="0" xfId="0" applyAlignment="1" applyBorder="1" applyFont="1">
      <alignment horizontal="center"/>
    </xf>
    <xf borderId="12" fillId="6" fontId="13" numFmtId="0" xfId="0" applyAlignment="1" applyBorder="1" applyFont="1">
      <alignment vertical="bottom"/>
    </xf>
    <xf borderId="22" fillId="6" fontId="13" numFmtId="0" xfId="0" applyAlignment="1" applyBorder="1" applyFont="1">
      <alignment horizontal="center"/>
    </xf>
    <xf borderId="3" fillId="6" fontId="13" numFmtId="0" xfId="0" applyAlignment="1" applyBorder="1" applyFont="1">
      <alignment vertical="bottom"/>
    </xf>
    <xf borderId="23" fillId="6" fontId="13" numFmtId="0" xfId="0" applyAlignment="1" applyBorder="1" applyFont="1">
      <alignment vertical="bottom"/>
    </xf>
    <xf borderId="0" fillId="0" fontId="13" numFmtId="0" xfId="0" applyFont="1"/>
    <xf borderId="12" fillId="29" fontId="13" numFmtId="0" xfId="0" applyAlignment="1" applyBorder="1" applyFont="1">
      <alignment readingOrder="0" vertical="bottom"/>
    </xf>
    <xf borderId="0" fillId="11" fontId="35" numFmtId="0" xfId="0" applyFont="1"/>
    <xf borderId="0" fillId="0" fontId="60" numFmtId="0" xfId="0" applyAlignment="1" applyFont="1">
      <alignment horizontal="center" readingOrder="0"/>
    </xf>
    <xf borderId="0" fillId="0" fontId="2" numFmtId="0" xfId="0" applyAlignment="1" applyFont="1">
      <alignment vertical="top"/>
    </xf>
    <xf borderId="5" fillId="2" fontId="2" numFmtId="0" xfId="0" applyBorder="1" applyFont="1"/>
    <xf borderId="6" fillId="2" fontId="61" numFmtId="0" xfId="0" applyAlignment="1" applyBorder="1" applyFont="1">
      <alignment horizontal="center" readingOrder="0" vertical="center"/>
    </xf>
    <xf borderId="5" fillId="0" fontId="62" numFmtId="0" xfId="0" applyAlignment="1" applyBorder="1" applyFont="1">
      <alignment shrinkToFit="0" vertical="center" wrapText="1"/>
    </xf>
    <xf borderId="11" fillId="0" fontId="63" numFmtId="0" xfId="0" applyAlignment="1" applyBorder="1" applyFont="1">
      <alignment shrinkToFit="0" vertical="center" wrapText="1"/>
    </xf>
    <xf borderId="5" fillId="0" fontId="62" numFmtId="0" xfId="0" applyAlignment="1" applyBorder="1" applyFont="1">
      <alignment readingOrder="0" shrinkToFit="0" vertical="center" wrapText="1"/>
    </xf>
    <xf borderId="0" fillId="0" fontId="62" numFmtId="0" xfId="0" applyAlignment="1" applyFont="1">
      <alignment readingOrder="0" shrinkToFit="0" vertical="center" wrapText="1"/>
    </xf>
    <xf borderId="5" fillId="3" fontId="51" numFmtId="0" xfId="0" applyAlignment="1" applyBorder="1" applyFont="1">
      <alignment horizontal="center" readingOrder="0"/>
    </xf>
    <xf borderId="0" fillId="0" fontId="51" numFmtId="0" xfId="0" applyAlignment="1" applyFont="1">
      <alignment horizontal="center" readingOrder="0"/>
    </xf>
    <xf borderId="0" fillId="0" fontId="31" numFmtId="0" xfId="0" applyAlignment="1" applyFont="1">
      <alignment horizontal="center" readingOrder="0"/>
    </xf>
    <xf borderId="8" fillId="3" fontId="51" numFmtId="0" xfId="0" applyAlignment="1" applyBorder="1" applyFont="1">
      <alignment horizontal="center" readingOrder="0"/>
    </xf>
    <xf borderId="3" fillId="0" fontId="20" numFmtId="0" xfId="0" applyAlignment="1" applyBorder="1" applyFont="1">
      <alignment readingOrder="0"/>
    </xf>
    <xf borderId="6" fillId="29" fontId="51" numFmtId="0" xfId="0" applyAlignment="1" applyBorder="1" applyFont="1">
      <alignment horizontal="center" readingOrder="0"/>
    </xf>
    <xf borderId="6" fillId="5" fontId="51" numFmtId="0" xfId="0" applyAlignment="1" applyBorder="1" applyFont="1">
      <alignment horizontal="center" readingOrder="0"/>
    </xf>
    <xf borderId="6" fillId="10" fontId="51" numFmtId="0" xfId="0" applyAlignment="1" applyBorder="1" applyFont="1">
      <alignment horizontal="center" readingOrder="0"/>
    </xf>
    <xf borderId="6" fillId="0" fontId="51" numFmtId="0" xfId="0" applyAlignment="1" applyBorder="1" applyFont="1">
      <alignment horizontal="center" readingOrder="0"/>
    </xf>
    <xf borderId="6" fillId="21" fontId="51" numFmtId="0" xfId="0" applyAlignment="1" applyBorder="1" applyFont="1">
      <alignment horizontal="center" readingOrder="0"/>
    </xf>
    <xf borderId="7" fillId="6" fontId="51" numFmtId="0" xfId="0" applyAlignment="1" applyBorder="1" applyFont="1">
      <alignment horizontal="center" readingOrder="0"/>
    </xf>
    <xf borderId="11" fillId="3" fontId="2" numFmtId="0" xfId="0" applyAlignment="1" applyBorder="1" applyFont="1">
      <alignment readingOrder="0"/>
    </xf>
    <xf borderId="0" fillId="3" fontId="2" numFmtId="0" xfId="0" applyFont="1"/>
    <xf borderId="12" fillId="14" fontId="2" numFmtId="0" xfId="0" applyBorder="1" applyFont="1"/>
    <xf borderId="11" fillId="0" fontId="2" numFmtId="0" xfId="0" applyAlignment="1" applyBorder="1" applyFont="1">
      <alignment readingOrder="0"/>
    </xf>
    <xf borderId="12" fillId="0" fontId="35" numFmtId="0" xfId="0" applyBorder="1" applyFont="1"/>
    <xf borderId="71" fillId="17" fontId="31" numFmtId="0" xfId="0" applyAlignment="1" applyBorder="1" applyFont="1">
      <alignment horizontal="right" readingOrder="0"/>
    </xf>
    <xf borderId="72" fillId="0" fontId="4" numFmtId="0" xfId="0" applyBorder="1" applyFont="1"/>
    <xf borderId="73" fillId="17" fontId="2" numFmtId="0" xfId="0" applyAlignment="1" applyBorder="1" applyFont="1">
      <alignment horizontal="center" readingOrder="0"/>
    </xf>
    <xf borderId="74" fillId="29" fontId="37" numFmtId="0" xfId="0" applyBorder="1" applyFont="1"/>
    <xf borderId="74" fillId="5" fontId="37" numFmtId="0" xfId="0" applyBorder="1" applyFont="1"/>
    <xf borderId="74" fillId="10" fontId="37" numFmtId="0" xfId="0" applyBorder="1" applyFont="1"/>
    <xf borderId="74" fillId="11" fontId="37" numFmtId="0" xfId="0" applyBorder="1" applyFont="1"/>
    <xf borderId="74" fillId="21" fontId="37" numFmtId="0" xfId="0" applyBorder="1" applyFont="1"/>
    <xf borderId="73" fillId="6" fontId="37" numFmtId="0" xfId="0" applyBorder="1" applyFont="1"/>
    <xf borderId="0" fillId="0" fontId="37" numFmtId="0" xfId="0" applyFont="1"/>
    <xf borderId="11" fillId="14" fontId="2" numFmtId="0" xfId="0" applyBorder="1" applyFont="1"/>
    <xf borderId="75" fillId="36" fontId="31" numFmtId="0" xfId="0" applyAlignment="1" applyBorder="1" applyFill="1" applyFont="1">
      <alignment horizontal="right" readingOrder="0"/>
    </xf>
    <xf borderId="76" fillId="0" fontId="4" numFmtId="0" xfId="0" applyBorder="1" applyFont="1"/>
    <xf borderId="77" fillId="36" fontId="2" numFmtId="0" xfId="0" applyAlignment="1" applyBorder="1" applyFont="1">
      <alignment horizontal="center" readingOrder="0"/>
    </xf>
    <xf borderId="76" fillId="29" fontId="37" numFmtId="0" xfId="0" applyBorder="1" applyFont="1"/>
    <xf borderId="76" fillId="5" fontId="37" numFmtId="0" xfId="0" applyBorder="1" applyFont="1"/>
    <xf borderId="76" fillId="10" fontId="37" numFmtId="0" xfId="0" applyBorder="1" applyFont="1"/>
    <xf borderId="76" fillId="11" fontId="37" numFmtId="0" xfId="0" applyBorder="1" applyFont="1"/>
    <xf borderId="76" fillId="21" fontId="37" numFmtId="0" xfId="0" applyBorder="1" applyFont="1"/>
    <xf borderId="77" fillId="6" fontId="37" numFmtId="0" xfId="0" applyBorder="1" applyFont="1"/>
    <xf borderId="11" fillId="0" fontId="31" numFmtId="0" xfId="0" applyAlignment="1" applyBorder="1" applyFont="1">
      <alignment horizontal="right" readingOrder="0"/>
    </xf>
    <xf borderId="12" fillId="11" fontId="37" numFmtId="0" xfId="0" applyAlignment="1" applyBorder="1" applyFont="1">
      <alignment horizontal="center"/>
    </xf>
    <xf borderId="0" fillId="29" fontId="37" numFmtId="0" xfId="0" applyFont="1"/>
    <xf borderId="0" fillId="5" fontId="37" numFmtId="0" xfId="0" applyFont="1"/>
    <xf borderId="0" fillId="10" fontId="37" numFmtId="0" xfId="0" applyFont="1"/>
    <xf borderId="0" fillId="21" fontId="37" numFmtId="0" xfId="0" applyFont="1"/>
    <xf borderId="12" fillId="6" fontId="37" numFmtId="0" xfId="0" applyBorder="1" applyFont="1"/>
    <xf borderId="22" fillId="14" fontId="2" numFmtId="0" xfId="0" applyBorder="1" applyFont="1"/>
    <xf borderId="23" fillId="14" fontId="35" numFmtId="0" xfId="0" applyBorder="1" applyFont="1"/>
    <xf borderId="8" fillId="0" fontId="51" numFmtId="0" xfId="0" applyAlignment="1" applyBorder="1" applyFont="1">
      <alignment horizontal="center" readingOrder="0"/>
    </xf>
    <xf borderId="11" fillId="14" fontId="2" numFmtId="0" xfId="0" applyAlignment="1" applyBorder="1" applyFont="1">
      <alignment readingOrder="0"/>
    </xf>
    <xf borderId="22" fillId="0" fontId="31" numFmtId="0" xfId="0" applyAlignment="1" applyBorder="1" applyFont="1">
      <alignment horizontal="right" readingOrder="0"/>
    </xf>
    <xf borderId="23" fillId="11" fontId="37" numFmtId="0" xfId="0" applyAlignment="1" applyBorder="1" applyFont="1">
      <alignment horizontal="center"/>
    </xf>
    <xf borderId="3" fillId="29" fontId="37" numFmtId="0" xfId="0" applyBorder="1" applyFont="1"/>
    <xf borderId="3" fillId="5" fontId="37" numFmtId="0" xfId="0" applyBorder="1" applyFont="1"/>
    <xf borderId="3" fillId="10" fontId="37" numFmtId="0" xfId="0" applyBorder="1" applyFont="1"/>
    <xf borderId="3" fillId="11" fontId="37" numFmtId="0" xfId="0" applyBorder="1" applyFont="1"/>
    <xf borderId="3" fillId="21" fontId="37" numFmtId="0" xfId="0" applyBorder="1" applyFont="1"/>
    <xf borderId="23" fillId="6" fontId="37" numFmtId="0" xfId="0" applyBorder="1" applyFont="1"/>
    <xf borderId="22" fillId="0" fontId="2" numFmtId="0" xfId="0" applyBorder="1" applyFont="1"/>
    <xf borderId="23" fillId="0" fontId="2" numFmtId="0" xfId="0" applyAlignment="1" applyBorder="1" applyFont="1">
      <alignment readingOrder="0"/>
    </xf>
    <xf borderId="8" fillId="2" fontId="2" numFmtId="0" xfId="0" applyAlignment="1" applyBorder="1" applyFont="1">
      <alignment readingOrder="0"/>
    </xf>
    <xf borderId="8" fillId="2" fontId="11" numFmtId="0" xfId="0" applyAlignment="1" applyBorder="1" applyFont="1">
      <alignment readingOrder="0" vertical="center"/>
    </xf>
    <xf borderId="9" fillId="2" fontId="61" numFmtId="0" xfId="0" applyAlignment="1" applyBorder="1" applyFont="1">
      <alignment horizontal="center" readingOrder="0" vertical="center"/>
    </xf>
    <xf borderId="8" fillId="0" fontId="62" numFmtId="0" xfId="0" applyAlignment="1" applyBorder="1" applyFont="1">
      <alignment shrinkToFit="0" vertical="center" wrapText="1"/>
    </xf>
    <xf borderId="0" fillId="11" fontId="64" numFmtId="0" xfId="0" applyAlignment="1" applyFont="1">
      <alignment readingOrder="0"/>
    </xf>
    <xf borderId="11" fillId="0" fontId="31" numFmtId="0" xfId="0" applyBorder="1" applyFont="1"/>
    <xf borderId="11" fillId="0" fontId="65" numFmtId="0" xfId="0" applyBorder="1" applyFont="1"/>
    <xf borderId="23" fillId="0" fontId="2" numFmtId="0" xfId="0" applyBorder="1" applyFont="1"/>
    <xf borderId="3" fillId="14" fontId="2" numFmtId="0" xfId="0" applyBorder="1" applyFont="1"/>
    <xf borderId="3" fillId="14" fontId="2" numFmtId="0" xfId="0" applyAlignment="1" applyBorder="1" applyFont="1">
      <alignment readingOrder="0"/>
    </xf>
    <xf borderId="0" fillId="0" fontId="31" numFmtId="0" xfId="0" applyAlignment="1" applyFont="1">
      <alignment shrinkToFit="0" wrapText="1"/>
    </xf>
    <xf borderId="5" fillId="2" fontId="66" numFmtId="0" xfId="0" applyAlignment="1" applyBorder="1" applyFont="1">
      <alignment readingOrder="0"/>
    </xf>
    <xf borderId="6" fillId="2" fontId="67" numFmtId="0" xfId="0" applyAlignment="1" applyBorder="1" applyFont="1">
      <alignment horizontal="left" readingOrder="0"/>
    </xf>
    <xf borderId="6" fillId="37" fontId="67" numFmtId="0" xfId="0" applyAlignment="1" applyBorder="1" applyFill="1" applyFont="1">
      <alignment readingOrder="0" shrinkToFit="0" wrapText="1"/>
    </xf>
    <xf borderId="5" fillId="0" fontId="2" numFmtId="0" xfId="0" applyBorder="1" applyFont="1"/>
    <xf borderId="6" fillId="2" fontId="68" numFmtId="0" xfId="0" applyAlignment="1" applyBorder="1" applyFont="1">
      <alignment horizontal="left" readingOrder="0" vertical="center"/>
    </xf>
    <xf borderId="11" fillId="3" fontId="2" numFmtId="0" xfId="0" applyBorder="1" applyFont="1"/>
    <xf borderId="0" fillId="3" fontId="2" numFmtId="0" xfId="0" applyAlignment="1" applyFont="1">
      <alignment shrinkToFit="0" wrapText="1"/>
    </xf>
    <xf borderId="12" fillId="3" fontId="31" numFmtId="0" xfId="0" applyAlignment="1" applyBorder="1" applyFont="1">
      <alignment shrinkToFit="0" wrapText="1"/>
    </xf>
    <xf borderId="11" fillId="10" fontId="2" numFmtId="0" xfId="0" applyBorder="1" applyFont="1"/>
    <xf borderId="0" fillId="10" fontId="2" numFmtId="0" xfId="0" applyFont="1"/>
    <xf borderId="0" fillId="10" fontId="2" numFmtId="0" xfId="0" applyAlignment="1" applyFont="1">
      <alignment shrinkToFit="0" wrapText="1"/>
    </xf>
    <xf borderId="12" fillId="10" fontId="2" numFmtId="0" xfId="0" applyAlignment="1" applyBorder="1" applyFont="1">
      <alignment shrinkToFit="0" wrapText="1"/>
    </xf>
    <xf borderId="12" fillId="0" fontId="2" numFmtId="0" xfId="0" applyAlignment="1" applyBorder="1" applyFont="1">
      <alignment shrinkToFit="0" wrapText="1"/>
    </xf>
    <xf borderId="3" fillId="0" fontId="2" numFmtId="0" xfId="0" applyAlignment="1" applyBorder="1" applyFont="1">
      <alignment shrinkToFit="0" wrapText="1"/>
    </xf>
    <xf borderId="23" fillId="0" fontId="2" numFmtId="0" xfId="0" applyAlignment="1" applyBorder="1" applyFont="1">
      <alignment shrinkToFit="0" wrapText="1"/>
    </xf>
    <xf borderId="5" fillId="0" fontId="2" numFmtId="0" xfId="0" applyAlignment="1" applyBorder="1" applyFont="1">
      <alignment vertical="center"/>
    </xf>
    <xf borderId="8" fillId="0" fontId="2" numFmtId="0" xfId="0" applyBorder="1" applyFont="1"/>
    <xf borderId="9" fillId="0" fontId="2" numFmtId="0" xfId="0" applyAlignment="1" applyBorder="1" applyFont="1">
      <alignment shrinkToFit="0" wrapText="1"/>
    </xf>
    <xf borderId="10" fillId="0" fontId="2" numFmtId="0" xfId="0" applyAlignment="1" applyBorder="1" applyFont="1">
      <alignment shrinkToFit="0" wrapText="1"/>
    </xf>
    <xf borderId="5" fillId="0" fontId="2" numFmtId="0" xfId="0" applyAlignment="1" applyBorder="1" applyFont="1">
      <alignment horizontal="center" vertical="center"/>
    </xf>
    <xf borderId="8" fillId="10" fontId="2" numFmtId="0" xfId="0" applyBorder="1" applyFont="1"/>
    <xf borderId="9" fillId="10" fontId="2" numFmtId="0" xfId="0" applyBorder="1" applyFont="1"/>
    <xf borderId="9" fillId="10" fontId="2" numFmtId="0" xfId="0" applyAlignment="1" applyBorder="1" applyFont="1">
      <alignment shrinkToFit="0" wrapText="1"/>
    </xf>
    <xf borderId="10" fillId="10" fontId="2" numFmtId="0" xfId="0" applyAlignment="1" applyBorder="1" applyFont="1">
      <alignment shrinkToFit="0" wrapText="1"/>
    </xf>
    <xf borderId="5" fillId="0" fontId="2" numFmtId="0" xfId="0" applyAlignment="1" applyBorder="1" applyFont="1">
      <alignment vertical="center"/>
    </xf>
    <xf borderId="22" fillId="10" fontId="2" numFmtId="0" xfId="0" applyBorder="1" applyFont="1"/>
    <xf borderId="3" fillId="10" fontId="2" numFmtId="0" xfId="0" applyBorder="1" applyFont="1"/>
    <xf borderId="3" fillId="10" fontId="2" numFmtId="0" xfId="0" applyAlignment="1" applyBorder="1" applyFont="1">
      <alignment shrinkToFit="0" wrapText="1"/>
    </xf>
    <xf borderId="23" fillId="10" fontId="2" numFmtId="0" xfId="0" applyAlignment="1" applyBorder="1" applyFont="1">
      <alignment shrinkToFit="0" wrapText="1"/>
    </xf>
    <xf borderId="9" fillId="2" fontId="68" numFmtId="0" xfId="0" applyAlignment="1" applyBorder="1" applyFont="1">
      <alignment horizontal="left" readingOrder="0" vertical="center"/>
    </xf>
    <xf borderId="12" fillId="10" fontId="2" numFmtId="0" xfId="0" applyBorder="1" applyFont="1"/>
    <xf borderId="0" fillId="10" fontId="2" numFmtId="0" xfId="0" applyAlignment="1" applyFont="1">
      <alignment readingOrder="0"/>
    </xf>
    <xf borderId="23" fillId="10" fontId="2" numFmtId="0" xfId="0" applyBorder="1" applyFont="1"/>
    <xf borderId="5" fillId="0" fontId="2" numFmtId="0" xfId="0" applyAlignment="1" applyBorder="1" applyFont="1">
      <alignment horizontal="center" vertical="center"/>
    </xf>
    <xf borderId="3" fillId="10" fontId="2" numFmtId="0" xfId="0" applyAlignment="1" applyBorder="1" applyFont="1">
      <alignment readingOrder="0"/>
    </xf>
    <xf borderId="0" fillId="0" fontId="31" numFmtId="0" xfId="0" applyAlignment="1" applyFont="1">
      <alignment readingOrder="0"/>
    </xf>
    <xf borderId="0" fillId="0" fontId="2" numFmtId="0" xfId="0" applyAlignment="1" applyFont="1">
      <alignment horizontal="center" readingOrder="0" vertical="center"/>
    </xf>
    <xf borderId="0" fillId="0" fontId="2" numFmtId="0" xfId="0" applyAlignment="1" applyFont="1">
      <alignment horizontal="left" shrinkToFit="0" wrapText="1"/>
    </xf>
    <xf borderId="0" fillId="0" fontId="2" numFmtId="0" xfId="0" applyAlignment="1" applyFont="1">
      <alignment horizontal="center" vertical="center"/>
    </xf>
    <xf borderId="0" fillId="0" fontId="2" numFmtId="0" xfId="0" applyAlignment="1" applyFont="1">
      <alignment horizontal="center" readingOrder="0" vertical="center"/>
    </xf>
    <xf borderId="0" fillId="11" fontId="69" numFmtId="0" xfId="0" applyFont="1"/>
    <xf borderId="0" fillId="38" fontId="35" numFmtId="0" xfId="0" applyFill="1" applyFont="1"/>
    <xf borderId="0" fillId="11" fontId="37" numFmtId="0" xfId="0" applyAlignment="1" applyFont="1">
      <alignment horizontal="left" readingOrder="0"/>
    </xf>
    <xf borderId="14" fillId="0" fontId="2" numFmtId="0" xfId="0" applyAlignment="1" applyBorder="1" applyFont="1">
      <alignment horizontal="center" readingOrder="0"/>
    </xf>
    <xf borderId="0" fillId="0" fontId="2" numFmtId="0" xfId="0" applyAlignment="1" applyFont="1">
      <alignment horizontal="center" readingOrder="0"/>
    </xf>
    <xf borderId="0" fillId="30" fontId="2" numFmtId="0" xfId="0" applyAlignment="1" applyFont="1">
      <alignment horizontal="center"/>
    </xf>
    <xf borderId="0" fillId="30" fontId="2" numFmtId="0" xfId="0" applyAlignment="1" applyFont="1">
      <alignment readingOrder="0"/>
    </xf>
    <xf borderId="0" fillId="30" fontId="37" numFmtId="0" xfId="0" applyFont="1"/>
    <xf borderId="0" fillId="30" fontId="2" numFmtId="0" xfId="0" applyFont="1"/>
    <xf borderId="14" fillId="0" fontId="2" numFmtId="0" xfId="0" applyAlignment="1" applyBorder="1" applyFont="1">
      <alignment horizontal="center"/>
    </xf>
    <xf borderId="0" fillId="12" fontId="37" numFmtId="0" xfId="0" applyAlignment="1" applyFont="1">
      <alignment readingOrder="0"/>
    </xf>
    <xf borderId="9" fillId="0" fontId="2" numFmtId="0" xfId="0" applyAlignment="1" applyBorder="1" applyFont="1">
      <alignment horizontal="center"/>
    </xf>
    <xf borderId="0" fillId="0" fontId="31" numFmtId="0" xfId="0" applyAlignment="1" applyFont="1">
      <alignment horizontal="center"/>
    </xf>
    <xf borderId="0" fillId="0" fontId="70" numFmtId="0" xfId="0" applyAlignment="1" applyFont="1">
      <alignment horizontal="left" readingOrder="0"/>
    </xf>
    <xf borderId="3" fillId="0" fontId="31" numFmtId="0" xfId="0" applyAlignment="1" applyBorder="1" applyFont="1">
      <alignment horizontal="center" readingOrder="0"/>
    </xf>
    <xf borderId="22" fillId="0" fontId="31" numFmtId="0" xfId="0" applyAlignment="1" applyBorder="1" applyFont="1">
      <alignment readingOrder="0"/>
    </xf>
    <xf borderId="9" fillId="12" fontId="29" numFmtId="0" xfId="0" applyAlignment="1" applyBorder="1" applyFont="1">
      <alignment readingOrder="0" vertical="bottom"/>
    </xf>
    <xf borderId="9" fillId="0" fontId="13" numFmtId="0" xfId="0" applyAlignment="1" applyBorder="1" applyFont="1">
      <alignment readingOrder="0" vertical="bottom"/>
    </xf>
    <xf borderId="10" fillId="0" fontId="13" numFmtId="0" xfId="0" applyAlignment="1" applyBorder="1" applyFont="1">
      <alignment horizontal="center" readingOrder="0" vertical="bottom"/>
    </xf>
    <xf borderId="0" fillId="12" fontId="29" numFmtId="0" xfId="0" applyAlignment="1" applyFont="1">
      <alignment readingOrder="0" vertical="bottom"/>
    </xf>
    <xf borderId="12" fillId="0" fontId="13" numFmtId="0" xfId="0" applyAlignment="1" applyBorder="1" applyFont="1">
      <alignment horizontal="center" readingOrder="0" vertical="bottom"/>
    </xf>
    <xf borderId="12" fillId="0" fontId="2" numFmtId="0" xfId="0" applyAlignment="1" applyBorder="1" applyFont="1">
      <alignment horizontal="center" readingOrder="0"/>
    </xf>
    <xf borderId="0" fillId="0" fontId="71" numFmtId="0" xfId="0" applyAlignment="1" applyFont="1">
      <alignment readingOrder="0"/>
    </xf>
    <xf borderId="9" fillId="0" fontId="31" numFmtId="0" xfId="0" applyAlignment="1" applyBorder="1" applyFont="1">
      <alignment readingOrder="0"/>
    </xf>
    <xf borderId="8" fillId="0" fontId="31" numFmtId="0" xfId="0" applyAlignment="1" applyBorder="1" applyFont="1">
      <alignment readingOrder="0"/>
    </xf>
    <xf borderId="12" fillId="0" fontId="2" numFmtId="0" xfId="0" applyAlignment="1" applyBorder="1" applyFont="1">
      <alignment horizontal="center"/>
    </xf>
    <xf borderId="0" fillId="0" fontId="13" numFmtId="0" xfId="0" applyAlignment="1" applyFont="1">
      <alignment vertical="bottom"/>
    </xf>
    <xf borderId="0" fillId="0" fontId="13" numFmtId="0" xfId="0" applyAlignment="1" applyFont="1">
      <alignment vertical="bottom"/>
    </xf>
  </cellXfs>
  <cellStyles count="1">
    <cellStyle xfId="0" name="Normal" builtinId="0"/>
  </cellStyles>
  <dxfs count="15">
    <dxf>
      <font/>
      <fill>
        <patternFill patternType="solid">
          <fgColor rgb="FFD9EAD3"/>
          <bgColor rgb="FFD9EAD3"/>
        </patternFill>
      </fill>
      <border/>
    </dxf>
    <dxf>
      <font/>
      <fill>
        <patternFill patternType="solid">
          <fgColor rgb="FFF4CCCC"/>
          <bgColor rgb="FFF4CCCC"/>
        </patternFill>
      </fill>
      <border/>
    </dxf>
    <dxf>
      <font/>
      <fill>
        <patternFill patternType="solid">
          <fgColor rgb="FFB7E1CD"/>
          <bgColor rgb="FFB7E1CD"/>
        </patternFill>
      </fill>
      <border/>
    </dxf>
    <dxf>
      <font/>
      <fill>
        <patternFill patternType="solid">
          <fgColor rgb="FF6AA84F"/>
          <bgColor rgb="FF6AA84F"/>
        </patternFill>
      </fill>
      <border/>
    </dxf>
    <dxf>
      <font>
        <i/>
      </font>
      <fill>
        <patternFill patternType="solid">
          <fgColor rgb="FF6AA84F"/>
          <bgColor rgb="FF6AA84F"/>
        </patternFill>
      </fill>
      <border/>
    </dxf>
    <dxf>
      <font>
        <b/>
        <color rgb="FFFFFFFF"/>
      </font>
      <fill>
        <patternFill patternType="solid">
          <fgColor rgb="FF674EA7"/>
          <bgColor rgb="FF674EA7"/>
        </patternFill>
      </fill>
      <border/>
    </dxf>
    <dxf>
      <font>
        <b/>
      </font>
      <fill>
        <patternFill patternType="solid">
          <fgColor rgb="FFD9D2E9"/>
          <bgColor rgb="FFD9D2E9"/>
        </patternFill>
      </fill>
      <border/>
    </dxf>
    <dxf>
      <font/>
      <fill>
        <patternFill patternType="solid">
          <fgColor rgb="FFD9D9D9"/>
          <bgColor rgb="FFD9D9D9"/>
        </patternFill>
      </fill>
      <border/>
    </dxf>
    <dxf>
      <font/>
      <fill>
        <patternFill patternType="solid">
          <fgColor rgb="FFF1C232"/>
          <bgColor rgb="FFF1C232"/>
        </patternFill>
      </fill>
      <border/>
    </dxf>
    <dxf>
      <font/>
      <fill>
        <patternFill patternType="solid">
          <fgColor rgb="FFFCE8B2"/>
          <bgColor rgb="FFFCE8B2"/>
        </patternFill>
      </fill>
      <border/>
    </dxf>
    <dxf>
      <font/>
      <fill>
        <patternFill patternType="solid">
          <fgColor rgb="FFC27BA0"/>
          <bgColor rgb="FFC27BA0"/>
        </patternFill>
      </fill>
      <border/>
    </dxf>
    <dxf>
      <font/>
      <fill>
        <patternFill patternType="solid">
          <fgColor rgb="FF9FC5E8"/>
          <bgColor rgb="FF9FC5E8"/>
        </patternFill>
      </fill>
      <border/>
    </dxf>
    <dxf>
      <font>
        <color rgb="FF000000"/>
      </font>
      <fill>
        <patternFill patternType="solid">
          <fgColor rgb="FF6AA84F"/>
          <bgColor rgb="FF6AA84F"/>
        </patternFill>
      </fill>
      <border/>
    </dxf>
    <dxf>
      <font/>
      <fill>
        <patternFill patternType="solid">
          <fgColor rgb="FFF4C7C3"/>
          <bgColor rgb="FFF4C7C3"/>
        </patternFill>
      </fill>
      <border/>
    </dxf>
    <dxf>
      <font/>
      <fill>
        <patternFill patternType="solid">
          <fgColor rgb="FFD9D2E9"/>
          <bgColor rgb="FFD9D2E9"/>
        </patternFill>
      </fill>
      <border/>
    </dxf>
  </dxf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5" Type="http://schemas.openxmlformats.org/officeDocument/2006/relationships/worksheet" Target="worksheets/sheet12.xml"/><Relationship Id="rId14" Type="http://schemas.openxmlformats.org/officeDocument/2006/relationships/worksheet" Target="worksheets/sheet11.xml"/><Relationship Id="rId16" Type="http://schemas.openxmlformats.org/officeDocument/2006/relationships/worksheet" Target="worksheets/sheet13.xml"/></Relationships>
</file>

<file path=xl/drawings/_rels/drawing1.xml.rels><?xml version="1.0" encoding="UTF-8" standalone="yes"?><Relationships xmlns="http://schemas.openxmlformats.org/package/2006/relationships"><Relationship Id="rId11" Type="http://schemas.openxmlformats.org/officeDocument/2006/relationships/image" Target="../media/image8.png"/><Relationship Id="rId10" Type="http://schemas.openxmlformats.org/officeDocument/2006/relationships/image" Target="../media/image3.png"/><Relationship Id="rId13" Type="http://schemas.openxmlformats.org/officeDocument/2006/relationships/image" Target="../media/image15.png"/><Relationship Id="rId12" Type="http://schemas.openxmlformats.org/officeDocument/2006/relationships/image" Target="../media/image13.png"/><Relationship Id="rId1" Type="http://schemas.openxmlformats.org/officeDocument/2006/relationships/image" Target="../media/image1.png"/><Relationship Id="rId2" Type="http://schemas.openxmlformats.org/officeDocument/2006/relationships/image" Target="../media/image2.png"/><Relationship Id="rId3" Type="http://schemas.openxmlformats.org/officeDocument/2006/relationships/image" Target="../media/image6.png"/><Relationship Id="rId4" Type="http://schemas.openxmlformats.org/officeDocument/2006/relationships/image" Target="../media/image4.png"/><Relationship Id="rId9" Type="http://schemas.openxmlformats.org/officeDocument/2006/relationships/image" Target="../media/image10.png"/><Relationship Id="rId15" Type="http://schemas.openxmlformats.org/officeDocument/2006/relationships/image" Target="../media/image5.png"/><Relationship Id="rId14" Type="http://schemas.openxmlformats.org/officeDocument/2006/relationships/image" Target="../media/image14.png"/><Relationship Id="rId5" Type="http://schemas.openxmlformats.org/officeDocument/2006/relationships/image" Target="../media/image11.png"/><Relationship Id="rId6" Type="http://schemas.openxmlformats.org/officeDocument/2006/relationships/image" Target="../media/image7.png"/><Relationship Id="rId7" Type="http://schemas.openxmlformats.org/officeDocument/2006/relationships/image" Target="../media/image9.png"/><Relationship Id="rId8" Type="http://schemas.openxmlformats.org/officeDocument/2006/relationships/image" Target="../media/image12.png"/></Relationships>
</file>

<file path=xl/drawings/_rels/drawing2.xml.rels><?xml version="1.0" encoding="UTF-8" standalone="yes"?><Relationships xmlns="http://schemas.openxmlformats.org/package/2006/relationships"><Relationship Id="rId11" Type="http://schemas.openxmlformats.org/officeDocument/2006/relationships/image" Target="../media/image8.png"/><Relationship Id="rId10" Type="http://schemas.openxmlformats.org/officeDocument/2006/relationships/image" Target="../media/image3.png"/><Relationship Id="rId13" Type="http://schemas.openxmlformats.org/officeDocument/2006/relationships/image" Target="../media/image15.png"/><Relationship Id="rId12" Type="http://schemas.openxmlformats.org/officeDocument/2006/relationships/image" Target="../media/image13.png"/><Relationship Id="rId1" Type="http://schemas.openxmlformats.org/officeDocument/2006/relationships/image" Target="../media/image1.png"/><Relationship Id="rId2" Type="http://schemas.openxmlformats.org/officeDocument/2006/relationships/image" Target="../media/image2.png"/><Relationship Id="rId3" Type="http://schemas.openxmlformats.org/officeDocument/2006/relationships/image" Target="../media/image6.png"/><Relationship Id="rId4" Type="http://schemas.openxmlformats.org/officeDocument/2006/relationships/image" Target="../media/image4.png"/><Relationship Id="rId9" Type="http://schemas.openxmlformats.org/officeDocument/2006/relationships/image" Target="../media/image10.png"/><Relationship Id="rId15" Type="http://schemas.openxmlformats.org/officeDocument/2006/relationships/image" Target="../media/image5.png"/><Relationship Id="rId14" Type="http://schemas.openxmlformats.org/officeDocument/2006/relationships/image" Target="../media/image14.png"/><Relationship Id="rId5" Type="http://schemas.openxmlformats.org/officeDocument/2006/relationships/image" Target="../media/image11.png"/><Relationship Id="rId6" Type="http://schemas.openxmlformats.org/officeDocument/2006/relationships/image" Target="../media/image7.png"/><Relationship Id="rId7" Type="http://schemas.openxmlformats.org/officeDocument/2006/relationships/image" Target="../media/image9.png"/><Relationship Id="rId8" Type="http://schemas.openxmlformats.org/officeDocument/2006/relationships/image" Target="../media/image12.png"/></Relationships>
</file>

<file path=xl/drawings/_rels/drawing6.xml.rels><?xml version="1.0" encoding="UTF-8" standalone="yes"?><Relationships xmlns="http://schemas.openxmlformats.org/package/2006/relationships"><Relationship Id="rId40" Type="http://schemas.openxmlformats.org/officeDocument/2006/relationships/image" Target="../media/image50.png"/><Relationship Id="rId42" Type="http://schemas.openxmlformats.org/officeDocument/2006/relationships/image" Target="../media/image52.png"/><Relationship Id="rId41" Type="http://schemas.openxmlformats.org/officeDocument/2006/relationships/image" Target="../media/image47.png"/><Relationship Id="rId44" Type="http://schemas.openxmlformats.org/officeDocument/2006/relationships/image" Target="../media/image64.png"/><Relationship Id="rId43" Type="http://schemas.openxmlformats.org/officeDocument/2006/relationships/image" Target="../media/image59.png"/><Relationship Id="rId46" Type="http://schemas.openxmlformats.org/officeDocument/2006/relationships/image" Target="../media/image57.png"/><Relationship Id="rId45" Type="http://schemas.openxmlformats.org/officeDocument/2006/relationships/image" Target="../media/image55.png"/><Relationship Id="rId1" Type="http://schemas.openxmlformats.org/officeDocument/2006/relationships/image" Target="../media/image20.png"/><Relationship Id="rId2" Type="http://schemas.openxmlformats.org/officeDocument/2006/relationships/image" Target="../media/image17.png"/><Relationship Id="rId3" Type="http://schemas.openxmlformats.org/officeDocument/2006/relationships/image" Target="../media/image18.png"/><Relationship Id="rId4" Type="http://schemas.openxmlformats.org/officeDocument/2006/relationships/image" Target="../media/image27.png"/><Relationship Id="rId9" Type="http://schemas.openxmlformats.org/officeDocument/2006/relationships/image" Target="../media/image19.png"/><Relationship Id="rId48" Type="http://schemas.openxmlformats.org/officeDocument/2006/relationships/image" Target="../media/image61.png"/><Relationship Id="rId47" Type="http://schemas.openxmlformats.org/officeDocument/2006/relationships/image" Target="../media/image66.png"/><Relationship Id="rId49" Type="http://schemas.openxmlformats.org/officeDocument/2006/relationships/image" Target="../media/image63.png"/><Relationship Id="rId5" Type="http://schemas.openxmlformats.org/officeDocument/2006/relationships/image" Target="../media/image16.png"/><Relationship Id="rId6" Type="http://schemas.openxmlformats.org/officeDocument/2006/relationships/image" Target="../media/image21.png"/><Relationship Id="rId7" Type="http://schemas.openxmlformats.org/officeDocument/2006/relationships/image" Target="../media/image26.png"/><Relationship Id="rId8" Type="http://schemas.openxmlformats.org/officeDocument/2006/relationships/image" Target="../media/image22.png"/><Relationship Id="rId73" Type="http://schemas.openxmlformats.org/officeDocument/2006/relationships/image" Target="../media/image85.png"/><Relationship Id="rId72" Type="http://schemas.openxmlformats.org/officeDocument/2006/relationships/image" Target="../media/image2.png"/><Relationship Id="rId31" Type="http://schemas.openxmlformats.org/officeDocument/2006/relationships/image" Target="../media/image51.png"/><Relationship Id="rId75" Type="http://schemas.openxmlformats.org/officeDocument/2006/relationships/image" Target="../media/image90.png"/><Relationship Id="rId30" Type="http://schemas.openxmlformats.org/officeDocument/2006/relationships/image" Target="../media/image49.png"/><Relationship Id="rId74" Type="http://schemas.openxmlformats.org/officeDocument/2006/relationships/image" Target="../media/image87.png"/><Relationship Id="rId33" Type="http://schemas.openxmlformats.org/officeDocument/2006/relationships/image" Target="../media/image48.png"/><Relationship Id="rId77" Type="http://schemas.openxmlformats.org/officeDocument/2006/relationships/image" Target="../media/image86.png"/><Relationship Id="rId32" Type="http://schemas.openxmlformats.org/officeDocument/2006/relationships/image" Target="../media/image62.png"/><Relationship Id="rId76" Type="http://schemas.openxmlformats.org/officeDocument/2006/relationships/image" Target="../media/image89.png"/><Relationship Id="rId35" Type="http://schemas.openxmlformats.org/officeDocument/2006/relationships/image" Target="../media/image42.png"/><Relationship Id="rId79" Type="http://schemas.openxmlformats.org/officeDocument/2006/relationships/image" Target="../media/image1.png"/><Relationship Id="rId34" Type="http://schemas.openxmlformats.org/officeDocument/2006/relationships/image" Target="../media/image44.png"/><Relationship Id="rId78" Type="http://schemas.openxmlformats.org/officeDocument/2006/relationships/image" Target="../media/image91.png"/><Relationship Id="rId71" Type="http://schemas.openxmlformats.org/officeDocument/2006/relationships/image" Target="../media/image84.png"/><Relationship Id="rId70" Type="http://schemas.openxmlformats.org/officeDocument/2006/relationships/image" Target="../media/image82.png"/><Relationship Id="rId37" Type="http://schemas.openxmlformats.org/officeDocument/2006/relationships/image" Target="../media/image53.png"/><Relationship Id="rId36" Type="http://schemas.openxmlformats.org/officeDocument/2006/relationships/image" Target="../media/image56.png"/><Relationship Id="rId39" Type="http://schemas.openxmlformats.org/officeDocument/2006/relationships/image" Target="../media/image54.png"/><Relationship Id="rId38" Type="http://schemas.openxmlformats.org/officeDocument/2006/relationships/image" Target="../media/image58.png"/><Relationship Id="rId62" Type="http://schemas.openxmlformats.org/officeDocument/2006/relationships/image" Target="../media/image77.png"/><Relationship Id="rId61" Type="http://schemas.openxmlformats.org/officeDocument/2006/relationships/image" Target="../media/image79.png"/><Relationship Id="rId20" Type="http://schemas.openxmlformats.org/officeDocument/2006/relationships/image" Target="../media/image31.png"/><Relationship Id="rId64" Type="http://schemas.openxmlformats.org/officeDocument/2006/relationships/image" Target="../media/image83.png"/><Relationship Id="rId63" Type="http://schemas.openxmlformats.org/officeDocument/2006/relationships/image" Target="../media/image70.png"/><Relationship Id="rId22" Type="http://schemas.openxmlformats.org/officeDocument/2006/relationships/image" Target="../media/image45.png"/><Relationship Id="rId66" Type="http://schemas.openxmlformats.org/officeDocument/2006/relationships/image" Target="../media/image78.png"/><Relationship Id="rId21" Type="http://schemas.openxmlformats.org/officeDocument/2006/relationships/image" Target="../media/image35.png"/><Relationship Id="rId65" Type="http://schemas.openxmlformats.org/officeDocument/2006/relationships/image" Target="../media/image75.png"/><Relationship Id="rId24" Type="http://schemas.openxmlformats.org/officeDocument/2006/relationships/image" Target="../media/image37.png"/><Relationship Id="rId68" Type="http://schemas.openxmlformats.org/officeDocument/2006/relationships/image" Target="../media/image88.png"/><Relationship Id="rId23" Type="http://schemas.openxmlformats.org/officeDocument/2006/relationships/image" Target="../media/image41.png"/><Relationship Id="rId67" Type="http://schemas.openxmlformats.org/officeDocument/2006/relationships/image" Target="../media/image6.png"/><Relationship Id="rId60" Type="http://schemas.openxmlformats.org/officeDocument/2006/relationships/image" Target="../media/image71.png"/><Relationship Id="rId26" Type="http://schemas.openxmlformats.org/officeDocument/2006/relationships/image" Target="../media/image39.png"/><Relationship Id="rId25" Type="http://schemas.openxmlformats.org/officeDocument/2006/relationships/image" Target="../media/image38.png"/><Relationship Id="rId69" Type="http://schemas.openxmlformats.org/officeDocument/2006/relationships/image" Target="../media/image81.png"/><Relationship Id="rId28" Type="http://schemas.openxmlformats.org/officeDocument/2006/relationships/image" Target="../media/image43.png"/><Relationship Id="rId27" Type="http://schemas.openxmlformats.org/officeDocument/2006/relationships/image" Target="../media/image40.png"/><Relationship Id="rId29" Type="http://schemas.openxmlformats.org/officeDocument/2006/relationships/image" Target="../media/image36.png"/><Relationship Id="rId51" Type="http://schemas.openxmlformats.org/officeDocument/2006/relationships/image" Target="../media/image74.png"/><Relationship Id="rId50" Type="http://schemas.openxmlformats.org/officeDocument/2006/relationships/image" Target="../media/image65.png"/><Relationship Id="rId53" Type="http://schemas.openxmlformats.org/officeDocument/2006/relationships/image" Target="../media/image67.png"/><Relationship Id="rId52" Type="http://schemas.openxmlformats.org/officeDocument/2006/relationships/image" Target="../media/image60.png"/><Relationship Id="rId11" Type="http://schemas.openxmlformats.org/officeDocument/2006/relationships/image" Target="../media/image23.png"/><Relationship Id="rId55" Type="http://schemas.openxmlformats.org/officeDocument/2006/relationships/image" Target="../media/image76.png"/><Relationship Id="rId10" Type="http://schemas.openxmlformats.org/officeDocument/2006/relationships/image" Target="../media/image25.png"/><Relationship Id="rId54" Type="http://schemas.openxmlformats.org/officeDocument/2006/relationships/image" Target="../media/image80.png"/><Relationship Id="rId13" Type="http://schemas.openxmlformats.org/officeDocument/2006/relationships/image" Target="../media/image33.png"/><Relationship Id="rId57" Type="http://schemas.openxmlformats.org/officeDocument/2006/relationships/image" Target="../media/image72.png"/><Relationship Id="rId12" Type="http://schemas.openxmlformats.org/officeDocument/2006/relationships/image" Target="../media/image28.png"/><Relationship Id="rId56" Type="http://schemas.openxmlformats.org/officeDocument/2006/relationships/image" Target="../media/image69.png"/><Relationship Id="rId15" Type="http://schemas.openxmlformats.org/officeDocument/2006/relationships/image" Target="../media/image34.png"/><Relationship Id="rId59" Type="http://schemas.openxmlformats.org/officeDocument/2006/relationships/image" Target="../media/image73.png"/><Relationship Id="rId14" Type="http://schemas.openxmlformats.org/officeDocument/2006/relationships/image" Target="../media/image24.png"/><Relationship Id="rId58" Type="http://schemas.openxmlformats.org/officeDocument/2006/relationships/image" Target="../media/image68.png"/><Relationship Id="rId17" Type="http://schemas.openxmlformats.org/officeDocument/2006/relationships/image" Target="../media/image46.png"/><Relationship Id="rId16" Type="http://schemas.openxmlformats.org/officeDocument/2006/relationships/image" Target="../media/image29.png"/><Relationship Id="rId19" Type="http://schemas.openxmlformats.org/officeDocument/2006/relationships/image" Target="../media/image32.png"/><Relationship Id="rId18" Type="http://schemas.openxmlformats.org/officeDocument/2006/relationships/image" Target="../media/image30.png"/></Relationships>
</file>

<file path=xl/drawings/_rels/drawing7.xml.rels><?xml version="1.0" encoding="UTF-8" standalone="yes"?><Relationships xmlns="http://schemas.openxmlformats.org/package/2006/relationships"><Relationship Id="rId1" Type="http://schemas.openxmlformats.org/officeDocument/2006/relationships/image" Target="../media/image94.png"/><Relationship Id="rId2" Type="http://schemas.openxmlformats.org/officeDocument/2006/relationships/image" Target="../media/image93.png"/><Relationship Id="rId3" Type="http://schemas.openxmlformats.org/officeDocument/2006/relationships/image" Target="../media/image95.png"/></Relationships>
</file>

<file path=xl/drawings/_rels/drawing8.xml.rels><?xml version="1.0" encoding="UTF-8" standalone="yes"?><Relationships xmlns="http://schemas.openxmlformats.org/package/2006/relationships"><Relationship Id="rId1" Type="http://schemas.openxmlformats.org/officeDocument/2006/relationships/image" Target="../media/image92.png"/></Relationships>
</file>

<file path=xl/drawings/_rels/drawing11.xml.rels><?xml version="1.0" encoding="UTF-8" standalone="yes"?><Relationships xmlns="http://schemas.openxmlformats.org/package/2006/relationships"><Relationship Id="rId40" Type="http://schemas.openxmlformats.org/officeDocument/2006/relationships/image" Target="../media/image68.png"/><Relationship Id="rId42" Type="http://schemas.openxmlformats.org/officeDocument/2006/relationships/image" Target="../media/image72.png"/><Relationship Id="rId41" Type="http://schemas.openxmlformats.org/officeDocument/2006/relationships/image" Target="../media/image66.png"/><Relationship Id="rId44" Type="http://schemas.openxmlformats.org/officeDocument/2006/relationships/image" Target="../media/image45.png"/><Relationship Id="rId43" Type="http://schemas.openxmlformats.org/officeDocument/2006/relationships/image" Target="../media/image32.png"/><Relationship Id="rId46" Type="http://schemas.openxmlformats.org/officeDocument/2006/relationships/image" Target="../media/image77.png"/><Relationship Id="rId45" Type="http://schemas.openxmlformats.org/officeDocument/2006/relationships/image" Target="../media/image74.png"/><Relationship Id="rId1" Type="http://schemas.openxmlformats.org/officeDocument/2006/relationships/image" Target="../media/image20.png"/><Relationship Id="rId2" Type="http://schemas.openxmlformats.org/officeDocument/2006/relationships/image" Target="../media/image27.png"/><Relationship Id="rId3" Type="http://schemas.openxmlformats.org/officeDocument/2006/relationships/image" Target="../media/image16.png"/><Relationship Id="rId4" Type="http://schemas.openxmlformats.org/officeDocument/2006/relationships/image" Target="../media/image26.png"/><Relationship Id="rId9" Type="http://schemas.openxmlformats.org/officeDocument/2006/relationships/image" Target="../media/image24.png"/><Relationship Id="rId48" Type="http://schemas.openxmlformats.org/officeDocument/2006/relationships/image" Target="../media/image71.png"/><Relationship Id="rId47" Type="http://schemas.openxmlformats.org/officeDocument/2006/relationships/image" Target="../media/image62.png"/><Relationship Id="rId49" Type="http://schemas.openxmlformats.org/officeDocument/2006/relationships/image" Target="../media/image80.png"/><Relationship Id="rId5" Type="http://schemas.openxmlformats.org/officeDocument/2006/relationships/image" Target="../media/image17.png"/><Relationship Id="rId6" Type="http://schemas.openxmlformats.org/officeDocument/2006/relationships/image" Target="../media/image18.png"/><Relationship Id="rId7" Type="http://schemas.openxmlformats.org/officeDocument/2006/relationships/image" Target="../media/image21.png"/><Relationship Id="rId8" Type="http://schemas.openxmlformats.org/officeDocument/2006/relationships/image" Target="../media/image25.png"/><Relationship Id="rId73" Type="http://schemas.openxmlformats.org/officeDocument/2006/relationships/image" Target="../media/image90.png"/><Relationship Id="rId72" Type="http://schemas.openxmlformats.org/officeDocument/2006/relationships/image" Target="../media/image85.png"/><Relationship Id="rId31" Type="http://schemas.openxmlformats.org/officeDocument/2006/relationships/image" Target="../media/image55.png"/><Relationship Id="rId75" Type="http://schemas.openxmlformats.org/officeDocument/2006/relationships/image" Target="../media/image82.png"/><Relationship Id="rId30" Type="http://schemas.openxmlformats.org/officeDocument/2006/relationships/image" Target="../media/image23.png"/><Relationship Id="rId74" Type="http://schemas.openxmlformats.org/officeDocument/2006/relationships/image" Target="../media/image56.png"/><Relationship Id="rId33" Type="http://schemas.openxmlformats.org/officeDocument/2006/relationships/image" Target="../media/image60.png"/><Relationship Id="rId77" Type="http://schemas.openxmlformats.org/officeDocument/2006/relationships/image" Target="../media/image89.png"/><Relationship Id="rId32" Type="http://schemas.openxmlformats.org/officeDocument/2006/relationships/image" Target="../media/image59.png"/><Relationship Id="rId76" Type="http://schemas.openxmlformats.org/officeDocument/2006/relationships/image" Target="../media/image58.png"/><Relationship Id="rId35" Type="http://schemas.openxmlformats.org/officeDocument/2006/relationships/image" Target="../media/image34.png"/><Relationship Id="rId79" Type="http://schemas.openxmlformats.org/officeDocument/2006/relationships/image" Target="../media/image47.png"/><Relationship Id="rId34" Type="http://schemas.openxmlformats.org/officeDocument/2006/relationships/image" Target="../media/image61.png"/><Relationship Id="rId78" Type="http://schemas.openxmlformats.org/officeDocument/2006/relationships/image" Target="../media/image86.png"/><Relationship Id="rId71" Type="http://schemas.openxmlformats.org/officeDocument/2006/relationships/image" Target="../media/image84.png"/><Relationship Id="rId70" Type="http://schemas.openxmlformats.org/officeDocument/2006/relationships/image" Target="../media/image1.png"/><Relationship Id="rId37" Type="http://schemas.openxmlformats.org/officeDocument/2006/relationships/image" Target="../media/image65.png"/><Relationship Id="rId36" Type="http://schemas.openxmlformats.org/officeDocument/2006/relationships/image" Target="../media/image63.png"/><Relationship Id="rId39" Type="http://schemas.openxmlformats.org/officeDocument/2006/relationships/image" Target="../media/image76.png"/><Relationship Id="rId38" Type="http://schemas.openxmlformats.org/officeDocument/2006/relationships/image" Target="../media/image67.png"/><Relationship Id="rId62" Type="http://schemas.openxmlformats.org/officeDocument/2006/relationships/image" Target="../media/image51.png"/><Relationship Id="rId61" Type="http://schemas.openxmlformats.org/officeDocument/2006/relationships/image" Target="../media/image78.png"/><Relationship Id="rId20" Type="http://schemas.openxmlformats.org/officeDocument/2006/relationships/image" Target="../media/image38.png"/><Relationship Id="rId64" Type="http://schemas.openxmlformats.org/officeDocument/2006/relationships/image" Target="../media/image6.png"/><Relationship Id="rId63" Type="http://schemas.openxmlformats.org/officeDocument/2006/relationships/image" Target="../media/image52.png"/><Relationship Id="rId22" Type="http://schemas.openxmlformats.org/officeDocument/2006/relationships/image" Target="../media/image36.png"/><Relationship Id="rId66" Type="http://schemas.openxmlformats.org/officeDocument/2006/relationships/image" Target="../media/image57.png"/><Relationship Id="rId21" Type="http://schemas.openxmlformats.org/officeDocument/2006/relationships/image" Target="../media/image37.png"/><Relationship Id="rId65" Type="http://schemas.openxmlformats.org/officeDocument/2006/relationships/image" Target="../media/image64.png"/><Relationship Id="rId24" Type="http://schemas.openxmlformats.org/officeDocument/2006/relationships/image" Target="../media/image42.png"/><Relationship Id="rId68" Type="http://schemas.openxmlformats.org/officeDocument/2006/relationships/image" Target="../media/image91.png"/><Relationship Id="rId23" Type="http://schemas.openxmlformats.org/officeDocument/2006/relationships/image" Target="../media/image44.png"/><Relationship Id="rId67" Type="http://schemas.openxmlformats.org/officeDocument/2006/relationships/image" Target="../media/image88.png"/><Relationship Id="rId60" Type="http://schemas.openxmlformats.org/officeDocument/2006/relationships/image" Target="../media/image54.png"/><Relationship Id="rId26" Type="http://schemas.openxmlformats.org/officeDocument/2006/relationships/image" Target="../media/image22.png"/><Relationship Id="rId25" Type="http://schemas.openxmlformats.org/officeDocument/2006/relationships/image" Target="../media/image31.png"/><Relationship Id="rId69" Type="http://schemas.openxmlformats.org/officeDocument/2006/relationships/image" Target="../media/image81.png"/><Relationship Id="rId28" Type="http://schemas.openxmlformats.org/officeDocument/2006/relationships/image" Target="../media/image50.png"/><Relationship Id="rId27" Type="http://schemas.openxmlformats.org/officeDocument/2006/relationships/image" Target="../media/image41.png"/><Relationship Id="rId29" Type="http://schemas.openxmlformats.org/officeDocument/2006/relationships/image" Target="../media/image43.png"/><Relationship Id="rId51" Type="http://schemas.openxmlformats.org/officeDocument/2006/relationships/image" Target="../media/image79.png"/><Relationship Id="rId50" Type="http://schemas.openxmlformats.org/officeDocument/2006/relationships/image" Target="../media/image53.png"/><Relationship Id="rId53" Type="http://schemas.openxmlformats.org/officeDocument/2006/relationships/image" Target="../media/image73.png"/><Relationship Id="rId52" Type="http://schemas.openxmlformats.org/officeDocument/2006/relationships/image" Target="../media/image69.png"/><Relationship Id="rId11" Type="http://schemas.openxmlformats.org/officeDocument/2006/relationships/image" Target="../media/image33.png"/><Relationship Id="rId55" Type="http://schemas.openxmlformats.org/officeDocument/2006/relationships/image" Target="../media/image2.png"/><Relationship Id="rId10" Type="http://schemas.openxmlformats.org/officeDocument/2006/relationships/image" Target="../media/image30.png"/><Relationship Id="rId54" Type="http://schemas.openxmlformats.org/officeDocument/2006/relationships/image" Target="../media/image40.png"/><Relationship Id="rId13" Type="http://schemas.openxmlformats.org/officeDocument/2006/relationships/image" Target="../media/image19.png"/><Relationship Id="rId57" Type="http://schemas.openxmlformats.org/officeDocument/2006/relationships/image" Target="../media/image83.png"/><Relationship Id="rId12" Type="http://schemas.openxmlformats.org/officeDocument/2006/relationships/image" Target="../media/image35.png"/><Relationship Id="rId56" Type="http://schemas.openxmlformats.org/officeDocument/2006/relationships/image" Target="../media/image70.png"/><Relationship Id="rId15" Type="http://schemas.openxmlformats.org/officeDocument/2006/relationships/image" Target="../media/image46.png"/><Relationship Id="rId59" Type="http://schemas.openxmlformats.org/officeDocument/2006/relationships/image" Target="../media/image75.png"/><Relationship Id="rId14" Type="http://schemas.openxmlformats.org/officeDocument/2006/relationships/image" Target="../media/image39.png"/><Relationship Id="rId58" Type="http://schemas.openxmlformats.org/officeDocument/2006/relationships/image" Target="../media/image87.png"/><Relationship Id="rId17" Type="http://schemas.openxmlformats.org/officeDocument/2006/relationships/image" Target="../media/image49.png"/><Relationship Id="rId16" Type="http://schemas.openxmlformats.org/officeDocument/2006/relationships/image" Target="../media/image28.png"/><Relationship Id="rId19" Type="http://schemas.openxmlformats.org/officeDocument/2006/relationships/image" Target="../media/image48.png"/><Relationship Id="rId18" Type="http://schemas.openxmlformats.org/officeDocument/2006/relationships/image" Target="../media/image29.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20</xdr:col>
      <xdr:colOff>0</xdr:colOff>
      <xdr:row>17</xdr:row>
      <xdr:rowOff>0</xdr:rowOff>
    </xdr:from>
    <xdr:ext cx="190500" cy="200025"/>
    <xdr:pic>
      <xdr:nvPicPr>
        <xdr:cNvPr id="0" name="image1.png"/>
        <xdr:cNvPicPr preferRelativeResize="0"/>
      </xdr:nvPicPr>
      <xdr:blipFill>
        <a:blip cstate="print" r:embed="rId1"/>
        <a:stretch>
          <a:fillRect/>
        </a:stretch>
      </xdr:blipFill>
      <xdr:spPr>
        <a:prstGeom prst="rect">
          <a:avLst/>
        </a:prstGeom>
        <a:noFill/>
      </xdr:spPr>
    </xdr:pic>
    <xdr:clientData fLocksWithSheet="0"/>
  </xdr:oneCellAnchor>
  <xdr:oneCellAnchor>
    <xdr:from>
      <xdr:col>15</xdr:col>
      <xdr:colOff>0</xdr:colOff>
      <xdr:row>18</xdr:row>
      <xdr:rowOff>0</xdr:rowOff>
    </xdr:from>
    <xdr:ext cx="200025" cy="200025"/>
    <xdr:pic>
      <xdr:nvPicPr>
        <xdr:cNvPr id="0" name="image2.png"/>
        <xdr:cNvPicPr preferRelativeResize="0"/>
      </xdr:nvPicPr>
      <xdr:blipFill>
        <a:blip cstate="print" r:embed="rId2"/>
        <a:stretch>
          <a:fillRect/>
        </a:stretch>
      </xdr:blipFill>
      <xdr:spPr>
        <a:prstGeom prst="rect">
          <a:avLst/>
        </a:prstGeom>
        <a:noFill/>
      </xdr:spPr>
    </xdr:pic>
    <xdr:clientData fLocksWithSheet="0"/>
  </xdr:oneCellAnchor>
  <xdr:oneCellAnchor>
    <xdr:from>
      <xdr:col>20</xdr:col>
      <xdr:colOff>0</xdr:colOff>
      <xdr:row>18</xdr:row>
      <xdr:rowOff>0</xdr:rowOff>
    </xdr:from>
    <xdr:ext cx="190500" cy="200025"/>
    <xdr:pic>
      <xdr:nvPicPr>
        <xdr:cNvPr id="0" name="image1.png"/>
        <xdr:cNvPicPr preferRelativeResize="0"/>
      </xdr:nvPicPr>
      <xdr:blipFill>
        <a:blip cstate="print" r:embed="rId1"/>
        <a:stretch>
          <a:fillRect/>
        </a:stretch>
      </xdr:blipFill>
      <xdr:spPr>
        <a:prstGeom prst="rect">
          <a:avLst/>
        </a:prstGeom>
        <a:noFill/>
      </xdr:spPr>
    </xdr:pic>
    <xdr:clientData fLocksWithSheet="0"/>
  </xdr:oneCellAnchor>
  <xdr:oneCellAnchor>
    <xdr:from>
      <xdr:col>20</xdr:col>
      <xdr:colOff>0</xdr:colOff>
      <xdr:row>19</xdr:row>
      <xdr:rowOff>0</xdr:rowOff>
    </xdr:from>
    <xdr:ext cx="200025" cy="200025"/>
    <xdr:pic>
      <xdr:nvPicPr>
        <xdr:cNvPr id="0" name="image6.png"/>
        <xdr:cNvPicPr preferRelativeResize="0"/>
      </xdr:nvPicPr>
      <xdr:blipFill>
        <a:blip cstate="print" r:embed="rId3"/>
        <a:stretch>
          <a:fillRect/>
        </a:stretch>
      </xdr:blipFill>
      <xdr:spPr>
        <a:prstGeom prst="rect">
          <a:avLst/>
        </a:prstGeom>
        <a:noFill/>
      </xdr:spPr>
    </xdr:pic>
    <xdr:clientData fLocksWithSheet="0"/>
  </xdr:oneCellAnchor>
  <xdr:oneCellAnchor>
    <xdr:from>
      <xdr:col>1</xdr:col>
      <xdr:colOff>0</xdr:colOff>
      <xdr:row>31</xdr:row>
      <xdr:rowOff>0</xdr:rowOff>
    </xdr:from>
    <xdr:ext cx="200025" cy="123825"/>
    <xdr:pic>
      <xdr:nvPicPr>
        <xdr:cNvPr id="0" name="image4.png"/>
        <xdr:cNvPicPr preferRelativeResize="0"/>
      </xdr:nvPicPr>
      <xdr:blipFill>
        <a:blip cstate="print" r:embed="rId4"/>
        <a:stretch>
          <a:fillRect/>
        </a:stretch>
      </xdr:blipFill>
      <xdr:spPr>
        <a:prstGeom prst="rect">
          <a:avLst/>
        </a:prstGeom>
        <a:noFill/>
      </xdr:spPr>
    </xdr:pic>
    <xdr:clientData fLocksWithSheet="0"/>
  </xdr:oneCellAnchor>
  <xdr:oneCellAnchor>
    <xdr:from>
      <xdr:col>8</xdr:col>
      <xdr:colOff>0</xdr:colOff>
      <xdr:row>31</xdr:row>
      <xdr:rowOff>0</xdr:rowOff>
    </xdr:from>
    <xdr:ext cx="123825" cy="200025"/>
    <xdr:pic>
      <xdr:nvPicPr>
        <xdr:cNvPr id="0" name="image11.png"/>
        <xdr:cNvPicPr preferRelativeResize="0"/>
      </xdr:nvPicPr>
      <xdr:blipFill>
        <a:blip cstate="print" r:embed="rId5"/>
        <a:stretch>
          <a:fillRect/>
        </a:stretch>
      </xdr:blipFill>
      <xdr:spPr>
        <a:prstGeom prst="rect">
          <a:avLst/>
        </a:prstGeom>
        <a:noFill/>
      </xdr:spPr>
    </xdr:pic>
    <xdr:clientData fLocksWithSheet="0"/>
  </xdr:oneCellAnchor>
  <xdr:oneCellAnchor>
    <xdr:from>
      <xdr:col>1</xdr:col>
      <xdr:colOff>0</xdr:colOff>
      <xdr:row>37</xdr:row>
      <xdr:rowOff>0</xdr:rowOff>
    </xdr:from>
    <xdr:ext cx="95250" cy="200025"/>
    <xdr:pic>
      <xdr:nvPicPr>
        <xdr:cNvPr id="0" name="image7.png"/>
        <xdr:cNvPicPr preferRelativeResize="0"/>
      </xdr:nvPicPr>
      <xdr:blipFill>
        <a:blip cstate="print" r:embed="rId6"/>
        <a:stretch>
          <a:fillRect/>
        </a:stretch>
      </xdr:blipFill>
      <xdr:spPr>
        <a:prstGeom prst="rect">
          <a:avLst/>
        </a:prstGeom>
        <a:noFill/>
      </xdr:spPr>
    </xdr:pic>
    <xdr:clientData fLocksWithSheet="0"/>
  </xdr:oneCellAnchor>
  <xdr:oneCellAnchor>
    <xdr:from>
      <xdr:col>8</xdr:col>
      <xdr:colOff>0</xdr:colOff>
      <xdr:row>37</xdr:row>
      <xdr:rowOff>0</xdr:rowOff>
    </xdr:from>
    <xdr:ext cx="209550" cy="200025"/>
    <xdr:pic>
      <xdr:nvPicPr>
        <xdr:cNvPr id="0" name="image9.png"/>
        <xdr:cNvPicPr preferRelativeResize="0"/>
      </xdr:nvPicPr>
      <xdr:blipFill>
        <a:blip cstate="print" r:embed="rId7"/>
        <a:stretch>
          <a:fillRect/>
        </a:stretch>
      </xdr:blipFill>
      <xdr:spPr>
        <a:prstGeom prst="rect">
          <a:avLst/>
        </a:prstGeom>
        <a:noFill/>
      </xdr:spPr>
    </xdr:pic>
    <xdr:clientData fLocksWithSheet="0"/>
  </xdr:oneCellAnchor>
  <xdr:oneCellAnchor>
    <xdr:from>
      <xdr:col>1</xdr:col>
      <xdr:colOff>0</xdr:colOff>
      <xdr:row>40</xdr:row>
      <xdr:rowOff>0</xdr:rowOff>
    </xdr:from>
    <xdr:ext cx="95250" cy="200025"/>
    <xdr:pic>
      <xdr:nvPicPr>
        <xdr:cNvPr id="0" name="image12.png"/>
        <xdr:cNvPicPr preferRelativeResize="0"/>
      </xdr:nvPicPr>
      <xdr:blipFill>
        <a:blip cstate="print" r:embed="rId8"/>
        <a:stretch>
          <a:fillRect/>
        </a:stretch>
      </xdr:blipFill>
      <xdr:spPr>
        <a:prstGeom prst="rect">
          <a:avLst/>
        </a:prstGeom>
        <a:noFill/>
      </xdr:spPr>
    </xdr:pic>
    <xdr:clientData fLocksWithSheet="0"/>
  </xdr:oneCellAnchor>
  <xdr:oneCellAnchor>
    <xdr:from>
      <xdr:col>8</xdr:col>
      <xdr:colOff>0</xdr:colOff>
      <xdr:row>40</xdr:row>
      <xdr:rowOff>0</xdr:rowOff>
    </xdr:from>
    <xdr:ext cx="200025" cy="200025"/>
    <xdr:pic>
      <xdr:nvPicPr>
        <xdr:cNvPr id="0" name="image10.png"/>
        <xdr:cNvPicPr preferRelativeResize="0"/>
      </xdr:nvPicPr>
      <xdr:blipFill>
        <a:blip cstate="print" r:embed="rId9"/>
        <a:stretch>
          <a:fillRect/>
        </a:stretch>
      </xdr:blipFill>
      <xdr:spPr>
        <a:prstGeom prst="rect">
          <a:avLst/>
        </a:prstGeom>
        <a:noFill/>
      </xdr:spPr>
    </xdr:pic>
    <xdr:clientData fLocksWithSheet="0"/>
  </xdr:oneCellAnchor>
  <xdr:oneCellAnchor>
    <xdr:from>
      <xdr:col>1</xdr:col>
      <xdr:colOff>0</xdr:colOff>
      <xdr:row>51</xdr:row>
      <xdr:rowOff>0</xdr:rowOff>
    </xdr:from>
    <xdr:ext cx="200025" cy="200025"/>
    <xdr:pic>
      <xdr:nvPicPr>
        <xdr:cNvPr id="0" name="image3.png"/>
        <xdr:cNvPicPr preferRelativeResize="0"/>
      </xdr:nvPicPr>
      <xdr:blipFill>
        <a:blip cstate="print" r:embed="rId10"/>
        <a:stretch>
          <a:fillRect/>
        </a:stretch>
      </xdr:blipFill>
      <xdr:spPr>
        <a:prstGeom prst="rect">
          <a:avLst/>
        </a:prstGeom>
        <a:noFill/>
      </xdr:spPr>
    </xdr:pic>
    <xdr:clientData fLocksWithSheet="0"/>
  </xdr:oneCellAnchor>
  <xdr:oneCellAnchor>
    <xdr:from>
      <xdr:col>5</xdr:col>
      <xdr:colOff>0</xdr:colOff>
      <xdr:row>51</xdr:row>
      <xdr:rowOff>0</xdr:rowOff>
    </xdr:from>
    <xdr:ext cx="200025" cy="200025"/>
    <xdr:pic>
      <xdr:nvPicPr>
        <xdr:cNvPr id="0" name="image8.png"/>
        <xdr:cNvPicPr preferRelativeResize="0"/>
      </xdr:nvPicPr>
      <xdr:blipFill>
        <a:blip cstate="print" r:embed="rId11"/>
        <a:stretch>
          <a:fillRect/>
        </a:stretch>
      </xdr:blipFill>
      <xdr:spPr>
        <a:prstGeom prst="rect">
          <a:avLst/>
        </a:prstGeom>
        <a:noFill/>
      </xdr:spPr>
    </xdr:pic>
    <xdr:clientData fLocksWithSheet="0"/>
  </xdr:oneCellAnchor>
  <xdr:oneCellAnchor>
    <xdr:from>
      <xdr:col>1</xdr:col>
      <xdr:colOff>0</xdr:colOff>
      <xdr:row>53</xdr:row>
      <xdr:rowOff>0</xdr:rowOff>
    </xdr:from>
    <xdr:ext cx="200025" cy="200025"/>
    <xdr:pic>
      <xdr:nvPicPr>
        <xdr:cNvPr id="0" name="image13.png"/>
        <xdr:cNvPicPr preferRelativeResize="0"/>
      </xdr:nvPicPr>
      <xdr:blipFill>
        <a:blip cstate="print" r:embed="rId12"/>
        <a:stretch>
          <a:fillRect/>
        </a:stretch>
      </xdr:blipFill>
      <xdr:spPr>
        <a:prstGeom prst="rect">
          <a:avLst/>
        </a:prstGeom>
        <a:noFill/>
      </xdr:spPr>
    </xdr:pic>
    <xdr:clientData fLocksWithSheet="0"/>
  </xdr:oneCellAnchor>
  <xdr:oneCellAnchor>
    <xdr:from>
      <xdr:col>5</xdr:col>
      <xdr:colOff>0</xdr:colOff>
      <xdr:row>53</xdr:row>
      <xdr:rowOff>0</xdr:rowOff>
    </xdr:from>
    <xdr:ext cx="200025" cy="200025"/>
    <xdr:pic>
      <xdr:nvPicPr>
        <xdr:cNvPr id="0" name="image15.png"/>
        <xdr:cNvPicPr preferRelativeResize="0"/>
      </xdr:nvPicPr>
      <xdr:blipFill>
        <a:blip cstate="print" r:embed="rId13"/>
        <a:stretch>
          <a:fillRect/>
        </a:stretch>
      </xdr:blipFill>
      <xdr:spPr>
        <a:prstGeom prst="rect">
          <a:avLst/>
        </a:prstGeom>
        <a:noFill/>
      </xdr:spPr>
    </xdr:pic>
    <xdr:clientData fLocksWithSheet="0"/>
  </xdr:oneCellAnchor>
  <xdr:oneCellAnchor>
    <xdr:from>
      <xdr:col>8</xdr:col>
      <xdr:colOff>0</xdr:colOff>
      <xdr:row>53</xdr:row>
      <xdr:rowOff>0</xdr:rowOff>
    </xdr:from>
    <xdr:ext cx="200025" cy="200025"/>
    <xdr:pic>
      <xdr:nvPicPr>
        <xdr:cNvPr id="0" name="image14.png"/>
        <xdr:cNvPicPr preferRelativeResize="0"/>
      </xdr:nvPicPr>
      <xdr:blipFill>
        <a:blip cstate="print" r:embed="rId14"/>
        <a:stretch>
          <a:fillRect/>
        </a:stretch>
      </xdr:blipFill>
      <xdr:spPr>
        <a:prstGeom prst="rect">
          <a:avLst/>
        </a:prstGeom>
        <a:noFill/>
      </xdr:spPr>
    </xdr:pic>
    <xdr:clientData fLocksWithSheet="0"/>
  </xdr:oneCellAnchor>
  <xdr:oneCellAnchor>
    <xdr:from>
      <xdr:col>1</xdr:col>
      <xdr:colOff>0</xdr:colOff>
      <xdr:row>61</xdr:row>
      <xdr:rowOff>0</xdr:rowOff>
    </xdr:from>
    <xdr:ext cx="200025" cy="200025"/>
    <xdr:pic>
      <xdr:nvPicPr>
        <xdr:cNvPr id="0" name="image5.png"/>
        <xdr:cNvPicPr preferRelativeResize="0"/>
      </xdr:nvPicPr>
      <xdr:blipFill>
        <a:blip cstate="print" r:embed="rId15"/>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20</xdr:col>
      <xdr:colOff>0</xdr:colOff>
      <xdr:row>17</xdr:row>
      <xdr:rowOff>0</xdr:rowOff>
    </xdr:from>
    <xdr:ext cx="190500" cy="200025"/>
    <xdr:pic>
      <xdr:nvPicPr>
        <xdr:cNvPr id="0" name="image1.png"/>
        <xdr:cNvPicPr preferRelativeResize="0"/>
      </xdr:nvPicPr>
      <xdr:blipFill>
        <a:blip cstate="print" r:embed="rId1"/>
        <a:stretch>
          <a:fillRect/>
        </a:stretch>
      </xdr:blipFill>
      <xdr:spPr>
        <a:prstGeom prst="rect">
          <a:avLst/>
        </a:prstGeom>
        <a:noFill/>
      </xdr:spPr>
    </xdr:pic>
    <xdr:clientData fLocksWithSheet="0"/>
  </xdr:oneCellAnchor>
  <xdr:oneCellAnchor>
    <xdr:from>
      <xdr:col>15</xdr:col>
      <xdr:colOff>0</xdr:colOff>
      <xdr:row>18</xdr:row>
      <xdr:rowOff>0</xdr:rowOff>
    </xdr:from>
    <xdr:ext cx="200025" cy="200025"/>
    <xdr:pic>
      <xdr:nvPicPr>
        <xdr:cNvPr id="0" name="image2.png"/>
        <xdr:cNvPicPr preferRelativeResize="0"/>
      </xdr:nvPicPr>
      <xdr:blipFill>
        <a:blip cstate="print" r:embed="rId2"/>
        <a:stretch>
          <a:fillRect/>
        </a:stretch>
      </xdr:blipFill>
      <xdr:spPr>
        <a:prstGeom prst="rect">
          <a:avLst/>
        </a:prstGeom>
        <a:noFill/>
      </xdr:spPr>
    </xdr:pic>
    <xdr:clientData fLocksWithSheet="0"/>
  </xdr:oneCellAnchor>
  <xdr:oneCellAnchor>
    <xdr:from>
      <xdr:col>20</xdr:col>
      <xdr:colOff>0</xdr:colOff>
      <xdr:row>18</xdr:row>
      <xdr:rowOff>0</xdr:rowOff>
    </xdr:from>
    <xdr:ext cx="190500" cy="200025"/>
    <xdr:pic>
      <xdr:nvPicPr>
        <xdr:cNvPr id="0" name="image1.png"/>
        <xdr:cNvPicPr preferRelativeResize="0"/>
      </xdr:nvPicPr>
      <xdr:blipFill>
        <a:blip cstate="print" r:embed="rId1"/>
        <a:stretch>
          <a:fillRect/>
        </a:stretch>
      </xdr:blipFill>
      <xdr:spPr>
        <a:prstGeom prst="rect">
          <a:avLst/>
        </a:prstGeom>
        <a:noFill/>
      </xdr:spPr>
    </xdr:pic>
    <xdr:clientData fLocksWithSheet="0"/>
  </xdr:oneCellAnchor>
  <xdr:oneCellAnchor>
    <xdr:from>
      <xdr:col>20</xdr:col>
      <xdr:colOff>0</xdr:colOff>
      <xdr:row>19</xdr:row>
      <xdr:rowOff>0</xdr:rowOff>
    </xdr:from>
    <xdr:ext cx="200025" cy="200025"/>
    <xdr:pic>
      <xdr:nvPicPr>
        <xdr:cNvPr id="0" name="image6.png"/>
        <xdr:cNvPicPr preferRelativeResize="0"/>
      </xdr:nvPicPr>
      <xdr:blipFill>
        <a:blip cstate="print" r:embed="rId3"/>
        <a:stretch>
          <a:fillRect/>
        </a:stretch>
      </xdr:blipFill>
      <xdr:spPr>
        <a:prstGeom prst="rect">
          <a:avLst/>
        </a:prstGeom>
        <a:noFill/>
      </xdr:spPr>
    </xdr:pic>
    <xdr:clientData fLocksWithSheet="0"/>
  </xdr:oneCellAnchor>
  <xdr:oneCellAnchor>
    <xdr:from>
      <xdr:col>1</xdr:col>
      <xdr:colOff>0</xdr:colOff>
      <xdr:row>31</xdr:row>
      <xdr:rowOff>0</xdr:rowOff>
    </xdr:from>
    <xdr:ext cx="200025" cy="123825"/>
    <xdr:pic>
      <xdr:nvPicPr>
        <xdr:cNvPr id="0" name="image4.png"/>
        <xdr:cNvPicPr preferRelativeResize="0"/>
      </xdr:nvPicPr>
      <xdr:blipFill>
        <a:blip cstate="print" r:embed="rId4"/>
        <a:stretch>
          <a:fillRect/>
        </a:stretch>
      </xdr:blipFill>
      <xdr:spPr>
        <a:prstGeom prst="rect">
          <a:avLst/>
        </a:prstGeom>
        <a:noFill/>
      </xdr:spPr>
    </xdr:pic>
    <xdr:clientData fLocksWithSheet="0"/>
  </xdr:oneCellAnchor>
  <xdr:oneCellAnchor>
    <xdr:from>
      <xdr:col>8</xdr:col>
      <xdr:colOff>0</xdr:colOff>
      <xdr:row>31</xdr:row>
      <xdr:rowOff>0</xdr:rowOff>
    </xdr:from>
    <xdr:ext cx="123825" cy="200025"/>
    <xdr:pic>
      <xdr:nvPicPr>
        <xdr:cNvPr id="0" name="image11.png"/>
        <xdr:cNvPicPr preferRelativeResize="0"/>
      </xdr:nvPicPr>
      <xdr:blipFill>
        <a:blip cstate="print" r:embed="rId5"/>
        <a:stretch>
          <a:fillRect/>
        </a:stretch>
      </xdr:blipFill>
      <xdr:spPr>
        <a:prstGeom prst="rect">
          <a:avLst/>
        </a:prstGeom>
        <a:noFill/>
      </xdr:spPr>
    </xdr:pic>
    <xdr:clientData fLocksWithSheet="0"/>
  </xdr:oneCellAnchor>
  <xdr:oneCellAnchor>
    <xdr:from>
      <xdr:col>1</xdr:col>
      <xdr:colOff>0</xdr:colOff>
      <xdr:row>37</xdr:row>
      <xdr:rowOff>0</xdr:rowOff>
    </xdr:from>
    <xdr:ext cx="95250" cy="200025"/>
    <xdr:pic>
      <xdr:nvPicPr>
        <xdr:cNvPr id="0" name="image7.png"/>
        <xdr:cNvPicPr preferRelativeResize="0"/>
      </xdr:nvPicPr>
      <xdr:blipFill>
        <a:blip cstate="print" r:embed="rId6"/>
        <a:stretch>
          <a:fillRect/>
        </a:stretch>
      </xdr:blipFill>
      <xdr:spPr>
        <a:prstGeom prst="rect">
          <a:avLst/>
        </a:prstGeom>
        <a:noFill/>
      </xdr:spPr>
    </xdr:pic>
    <xdr:clientData fLocksWithSheet="0"/>
  </xdr:oneCellAnchor>
  <xdr:oneCellAnchor>
    <xdr:from>
      <xdr:col>8</xdr:col>
      <xdr:colOff>0</xdr:colOff>
      <xdr:row>37</xdr:row>
      <xdr:rowOff>0</xdr:rowOff>
    </xdr:from>
    <xdr:ext cx="209550" cy="200025"/>
    <xdr:pic>
      <xdr:nvPicPr>
        <xdr:cNvPr id="0" name="image9.png"/>
        <xdr:cNvPicPr preferRelativeResize="0"/>
      </xdr:nvPicPr>
      <xdr:blipFill>
        <a:blip cstate="print" r:embed="rId7"/>
        <a:stretch>
          <a:fillRect/>
        </a:stretch>
      </xdr:blipFill>
      <xdr:spPr>
        <a:prstGeom prst="rect">
          <a:avLst/>
        </a:prstGeom>
        <a:noFill/>
      </xdr:spPr>
    </xdr:pic>
    <xdr:clientData fLocksWithSheet="0"/>
  </xdr:oneCellAnchor>
  <xdr:oneCellAnchor>
    <xdr:from>
      <xdr:col>1</xdr:col>
      <xdr:colOff>0</xdr:colOff>
      <xdr:row>40</xdr:row>
      <xdr:rowOff>0</xdr:rowOff>
    </xdr:from>
    <xdr:ext cx="95250" cy="200025"/>
    <xdr:pic>
      <xdr:nvPicPr>
        <xdr:cNvPr id="0" name="image12.png"/>
        <xdr:cNvPicPr preferRelativeResize="0"/>
      </xdr:nvPicPr>
      <xdr:blipFill>
        <a:blip cstate="print" r:embed="rId8"/>
        <a:stretch>
          <a:fillRect/>
        </a:stretch>
      </xdr:blipFill>
      <xdr:spPr>
        <a:prstGeom prst="rect">
          <a:avLst/>
        </a:prstGeom>
        <a:noFill/>
      </xdr:spPr>
    </xdr:pic>
    <xdr:clientData fLocksWithSheet="0"/>
  </xdr:oneCellAnchor>
  <xdr:oneCellAnchor>
    <xdr:from>
      <xdr:col>8</xdr:col>
      <xdr:colOff>0</xdr:colOff>
      <xdr:row>40</xdr:row>
      <xdr:rowOff>0</xdr:rowOff>
    </xdr:from>
    <xdr:ext cx="200025" cy="200025"/>
    <xdr:pic>
      <xdr:nvPicPr>
        <xdr:cNvPr id="0" name="image10.png"/>
        <xdr:cNvPicPr preferRelativeResize="0"/>
      </xdr:nvPicPr>
      <xdr:blipFill>
        <a:blip cstate="print" r:embed="rId9"/>
        <a:stretch>
          <a:fillRect/>
        </a:stretch>
      </xdr:blipFill>
      <xdr:spPr>
        <a:prstGeom prst="rect">
          <a:avLst/>
        </a:prstGeom>
        <a:noFill/>
      </xdr:spPr>
    </xdr:pic>
    <xdr:clientData fLocksWithSheet="0"/>
  </xdr:oneCellAnchor>
  <xdr:oneCellAnchor>
    <xdr:from>
      <xdr:col>1</xdr:col>
      <xdr:colOff>0</xdr:colOff>
      <xdr:row>51</xdr:row>
      <xdr:rowOff>0</xdr:rowOff>
    </xdr:from>
    <xdr:ext cx="200025" cy="200025"/>
    <xdr:pic>
      <xdr:nvPicPr>
        <xdr:cNvPr id="0" name="image3.png"/>
        <xdr:cNvPicPr preferRelativeResize="0"/>
      </xdr:nvPicPr>
      <xdr:blipFill>
        <a:blip cstate="print" r:embed="rId10"/>
        <a:stretch>
          <a:fillRect/>
        </a:stretch>
      </xdr:blipFill>
      <xdr:spPr>
        <a:prstGeom prst="rect">
          <a:avLst/>
        </a:prstGeom>
        <a:noFill/>
      </xdr:spPr>
    </xdr:pic>
    <xdr:clientData fLocksWithSheet="0"/>
  </xdr:oneCellAnchor>
  <xdr:oneCellAnchor>
    <xdr:from>
      <xdr:col>5</xdr:col>
      <xdr:colOff>0</xdr:colOff>
      <xdr:row>51</xdr:row>
      <xdr:rowOff>0</xdr:rowOff>
    </xdr:from>
    <xdr:ext cx="200025" cy="200025"/>
    <xdr:pic>
      <xdr:nvPicPr>
        <xdr:cNvPr id="0" name="image8.png"/>
        <xdr:cNvPicPr preferRelativeResize="0"/>
      </xdr:nvPicPr>
      <xdr:blipFill>
        <a:blip cstate="print" r:embed="rId11"/>
        <a:stretch>
          <a:fillRect/>
        </a:stretch>
      </xdr:blipFill>
      <xdr:spPr>
        <a:prstGeom prst="rect">
          <a:avLst/>
        </a:prstGeom>
        <a:noFill/>
      </xdr:spPr>
    </xdr:pic>
    <xdr:clientData fLocksWithSheet="0"/>
  </xdr:oneCellAnchor>
  <xdr:oneCellAnchor>
    <xdr:from>
      <xdr:col>1</xdr:col>
      <xdr:colOff>0</xdr:colOff>
      <xdr:row>53</xdr:row>
      <xdr:rowOff>0</xdr:rowOff>
    </xdr:from>
    <xdr:ext cx="200025" cy="200025"/>
    <xdr:pic>
      <xdr:nvPicPr>
        <xdr:cNvPr id="0" name="image13.png"/>
        <xdr:cNvPicPr preferRelativeResize="0"/>
      </xdr:nvPicPr>
      <xdr:blipFill>
        <a:blip cstate="print" r:embed="rId12"/>
        <a:stretch>
          <a:fillRect/>
        </a:stretch>
      </xdr:blipFill>
      <xdr:spPr>
        <a:prstGeom prst="rect">
          <a:avLst/>
        </a:prstGeom>
        <a:noFill/>
      </xdr:spPr>
    </xdr:pic>
    <xdr:clientData fLocksWithSheet="0"/>
  </xdr:oneCellAnchor>
  <xdr:oneCellAnchor>
    <xdr:from>
      <xdr:col>5</xdr:col>
      <xdr:colOff>0</xdr:colOff>
      <xdr:row>53</xdr:row>
      <xdr:rowOff>0</xdr:rowOff>
    </xdr:from>
    <xdr:ext cx="200025" cy="200025"/>
    <xdr:pic>
      <xdr:nvPicPr>
        <xdr:cNvPr id="0" name="image15.png"/>
        <xdr:cNvPicPr preferRelativeResize="0"/>
      </xdr:nvPicPr>
      <xdr:blipFill>
        <a:blip cstate="print" r:embed="rId13"/>
        <a:stretch>
          <a:fillRect/>
        </a:stretch>
      </xdr:blipFill>
      <xdr:spPr>
        <a:prstGeom prst="rect">
          <a:avLst/>
        </a:prstGeom>
        <a:noFill/>
      </xdr:spPr>
    </xdr:pic>
    <xdr:clientData fLocksWithSheet="0"/>
  </xdr:oneCellAnchor>
  <xdr:oneCellAnchor>
    <xdr:from>
      <xdr:col>8</xdr:col>
      <xdr:colOff>0</xdr:colOff>
      <xdr:row>53</xdr:row>
      <xdr:rowOff>0</xdr:rowOff>
    </xdr:from>
    <xdr:ext cx="200025" cy="200025"/>
    <xdr:pic>
      <xdr:nvPicPr>
        <xdr:cNvPr id="0" name="image14.png"/>
        <xdr:cNvPicPr preferRelativeResize="0"/>
      </xdr:nvPicPr>
      <xdr:blipFill>
        <a:blip cstate="print" r:embed="rId14"/>
        <a:stretch>
          <a:fillRect/>
        </a:stretch>
      </xdr:blipFill>
      <xdr:spPr>
        <a:prstGeom prst="rect">
          <a:avLst/>
        </a:prstGeom>
        <a:noFill/>
      </xdr:spPr>
    </xdr:pic>
    <xdr:clientData fLocksWithSheet="0"/>
  </xdr:oneCellAnchor>
  <xdr:oneCellAnchor>
    <xdr:from>
      <xdr:col>1</xdr:col>
      <xdr:colOff>0</xdr:colOff>
      <xdr:row>61</xdr:row>
      <xdr:rowOff>0</xdr:rowOff>
    </xdr:from>
    <xdr:ext cx="200025" cy="200025"/>
    <xdr:pic>
      <xdr:nvPicPr>
        <xdr:cNvPr id="0" name="image5.png"/>
        <xdr:cNvPicPr preferRelativeResize="0"/>
      </xdr:nvPicPr>
      <xdr:blipFill>
        <a:blip cstate="print" r:embed="rId15"/>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38</xdr:col>
      <xdr:colOff>0</xdr:colOff>
      <xdr:row>5</xdr:row>
      <xdr:rowOff>0</xdr:rowOff>
    </xdr:from>
    <xdr:ext cx="200025" cy="200025"/>
    <xdr:pic>
      <xdr:nvPicPr>
        <xdr:cNvPr id="0" name="image20.png"/>
        <xdr:cNvPicPr preferRelativeResize="0"/>
      </xdr:nvPicPr>
      <xdr:blipFill>
        <a:blip cstate="print" r:embed="rId1"/>
        <a:stretch>
          <a:fillRect/>
        </a:stretch>
      </xdr:blipFill>
      <xdr:spPr>
        <a:prstGeom prst="rect">
          <a:avLst/>
        </a:prstGeom>
        <a:noFill/>
      </xdr:spPr>
    </xdr:pic>
    <xdr:clientData fLocksWithSheet="0"/>
  </xdr:oneCellAnchor>
  <xdr:oneCellAnchor>
    <xdr:from>
      <xdr:col>43</xdr:col>
      <xdr:colOff>0</xdr:colOff>
      <xdr:row>5</xdr:row>
      <xdr:rowOff>0</xdr:rowOff>
    </xdr:from>
    <xdr:ext cx="200025" cy="200025"/>
    <xdr:pic>
      <xdr:nvPicPr>
        <xdr:cNvPr id="0" name="image20.png"/>
        <xdr:cNvPicPr preferRelativeResize="0"/>
      </xdr:nvPicPr>
      <xdr:blipFill>
        <a:blip cstate="print" r:embed="rId1"/>
        <a:stretch>
          <a:fillRect/>
        </a:stretch>
      </xdr:blipFill>
      <xdr:spPr>
        <a:prstGeom prst="rect">
          <a:avLst/>
        </a:prstGeom>
        <a:noFill/>
      </xdr:spPr>
    </xdr:pic>
    <xdr:clientData fLocksWithSheet="0"/>
  </xdr:oneCellAnchor>
  <xdr:oneCellAnchor>
    <xdr:from>
      <xdr:col>48</xdr:col>
      <xdr:colOff>0</xdr:colOff>
      <xdr:row>5</xdr:row>
      <xdr:rowOff>0</xdr:rowOff>
    </xdr:from>
    <xdr:ext cx="200025" cy="200025"/>
    <xdr:pic>
      <xdr:nvPicPr>
        <xdr:cNvPr id="0" name="image20.png"/>
        <xdr:cNvPicPr preferRelativeResize="0"/>
      </xdr:nvPicPr>
      <xdr:blipFill>
        <a:blip cstate="print" r:embed="rId1"/>
        <a:stretch>
          <a:fillRect/>
        </a:stretch>
      </xdr:blipFill>
      <xdr:spPr>
        <a:prstGeom prst="rect">
          <a:avLst/>
        </a:prstGeom>
        <a:noFill/>
      </xdr:spPr>
    </xdr:pic>
    <xdr:clientData fLocksWithSheet="0"/>
  </xdr:oneCellAnchor>
  <xdr:oneCellAnchor>
    <xdr:from>
      <xdr:col>53</xdr:col>
      <xdr:colOff>0</xdr:colOff>
      <xdr:row>5</xdr:row>
      <xdr:rowOff>0</xdr:rowOff>
    </xdr:from>
    <xdr:ext cx="200025" cy="200025"/>
    <xdr:pic>
      <xdr:nvPicPr>
        <xdr:cNvPr id="0" name="image20.png"/>
        <xdr:cNvPicPr preferRelativeResize="0"/>
      </xdr:nvPicPr>
      <xdr:blipFill>
        <a:blip cstate="print" r:embed="rId1"/>
        <a:stretch>
          <a:fillRect/>
        </a:stretch>
      </xdr:blipFill>
      <xdr:spPr>
        <a:prstGeom prst="rect">
          <a:avLst/>
        </a:prstGeom>
        <a:noFill/>
      </xdr:spPr>
    </xdr:pic>
    <xdr:clientData fLocksWithSheet="0"/>
  </xdr:oneCellAnchor>
  <xdr:oneCellAnchor>
    <xdr:from>
      <xdr:col>58</xdr:col>
      <xdr:colOff>0</xdr:colOff>
      <xdr:row>5</xdr:row>
      <xdr:rowOff>0</xdr:rowOff>
    </xdr:from>
    <xdr:ext cx="200025" cy="200025"/>
    <xdr:pic>
      <xdr:nvPicPr>
        <xdr:cNvPr id="0" name="image20.png"/>
        <xdr:cNvPicPr preferRelativeResize="0"/>
      </xdr:nvPicPr>
      <xdr:blipFill>
        <a:blip cstate="print" r:embed="rId1"/>
        <a:stretch>
          <a:fillRect/>
        </a:stretch>
      </xdr:blipFill>
      <xdr:spPr>
        <a:prstGeom prst="rect">
          <a:avLst/>
        </a:prstGeom>
        <a:noFill/>
      </xdr:spPr>
    </xdr:pic>
    <xdr:clientData fLocksWithSheet="0"/>
  </xdr:oneCellAnchor>
  <xdr:oneCellAnchor>
    <xdr:from>
      <xdr:col>63</xdr:col>
      <xdr:colOff>0</xdr:colOff>
      <xdr:row>5</xdr:row>
      <xdr:rowOff>0</xdr:rowOff>
    </xdr:from>
    <xdr:ext cx="200025" cy="200025"/>
    <xdr:pic>
      <xdr:nvPicPr>
        <xdr:cNvPr id="0" name="image17.png"/>
        <xdr:cNvPicPr preferRelativeResize="0"/>
      </xdr:nvPicPr>
      <xdr:blipFill>
        <a:blip cstate="print" r:embed="rId2"/>
        <a:stretch>
          <a:fillRect/>
        </a:stretch>
      </xdr:blipFill>
      <xdr:spPr>
        <a:prstGeom prst="rect">
          <a:avLst/>
        </a:prstGeom>
        <a:noFill/>
      </xdr:spPr>
    </xdr:pic>
    <xdr:clientData fLocksWithSheet="0"/>
  </xdr:oneCellAnchor>
  <xdr:oneCellAnchor>
    <xdr:from>
      <xdr:col>68</xdr:col>
      <xdr:colOff>0</xdr:colOff>
      <xdr:row>5</xdr:row>
      <xdr:rowOff>0</xdr:rowOff>
    </xdr:from>
    <xdr:ext cx="200025" cy="200025"/>
    <xdr:pic>
      <xdr:nvPicPr>
        <xdr:cNvPr id="0" name="image18.png"/>
        <xdr:cNvPicPr preferRelativeResize="0"/>
      </xdr:nvPicPr>
      <xdr:blipFill>
        <a:blip cstate="print" r:embed="rId3"/>
        <a:stretch>
          <a:fillRect/>
        </a:stretch>
      </xdr:blipFill>
      <xdr:spPr>
        <a:prstGeom prst="rect">
          <a:avLst/>
        </a:prstGeom>
        <a:noFill/>
      </xdr:spPr>
    </xdr:pic>
    <xdr:clientData fLocksWithSheet="0"/>
  </xdr:oneCellAnchor>
  <xdr:oneCellAnchor>
    <xdr:from>
      <xdr:col>73</xdr:col>
      <xdr:colOff>0</xdr:colOff>
      <xdr:row>5</xdr:row>
      <xdr:rowOff>0</xdr:rowOff>
    </xdr:from>
    <xdr:ext cx="200025" cy="200025"/>
    <xdr:pic>
      <xdr:nvPicPr>
        <xdr:cNvPr id="0" name="image18.png"/>
        <xdr:cNvPicPr preferRelativeResize="0"/>
      </xdr:nvPicPr>
      <xdr:blipFill>
        <a:blip cstate="print" r:embed="rId3"/>
        <a:stretch>
          <a:fillRect/>
        </a:stretch>
      </xdr:blipFill>
      <xdr:spPr>
        <a:prstGeom prst="rect">
          <a:avLst/>
        </a:prstGeom>
        <a:noFill/>
      </xdr:spPr>
    </xdr:pic>
    <xdr:clientData fLocksWithSheet="0"/>
  </xdr:oneCellAnchor>
  <xdr:oneCellAnchor>
    <xdr:from>
      <xdr:col>78</xdr:col>
      <xdr:colOff>0</xdr:colOff>
      <xdr:row>5</xdr:row>
      <xdr:rowOff>0</xdr:rowOff>
    </xdr:from>
    <xdr:ext cx="200025" cy="200025"/>
    <xdr:pic>
      <xdr:nvPicPr>
        <xdr:cNvPr id="0" name="image18.png"/>
        <xdr:cNvPicPr preferRelativeResize="0"/>
      </xdr:nvPicPr>
      <xdr:blipFill>
        <a:blip cstate="print" r:embed="rId3"/>
        <a:stretch>
          <a:fillRect/>
        </a:stretch>
      </xdr:blipFill>
      <xdr:spPr>
        <a:prstGeom prst="rect">
          <a:avLst/>
        </a:prstGeom>
        <a:noFill/>
      </xdr:spPr>
    </xdr:pic>
    <xdr:clientData fLocksWithSheet="0"/>
  </xdr:oneCellAnchor>
  <xdr:oneCellAnchor>
    <xdr:from>
      <xdr:col>83</xdr:col>
      <xdr:colOff>0</xdr:colOff>
      <xdr:row>5</xdr:row>
      <xdr:rowOff>0</xdr:rowOff>
    </xdr:from>
    <xdr:ext cx="200025" cy="200025"/>
    <xdr:pic>
      <xdr:nvPicPr>
        <xdr:cNvPr id="0" name="image20.png"/>
        <xdr:cNvPicPr preferRelativeResize="0"/>
      </xdr:nvPicPr>
      <xdr:blipFill>
        <a:blip cstate="print" r:embed="rId1"/>
        <a:stretch>
          <a:fillRect/>
        </a:stretch>
      </xdr:blipFill>
      <xdr:spPr>
        <a:prstGeom prst="rect">
          <a:avLst/>
        </a:prstGeom>
        <a:noFill/>
      </xdr:spPr>
    </xdr:pic>
    <xdr:clientData fLocksWithSheet="0"/>
  </xdr:oneCellAnchor>
  <xdr:oneCellAnchor>
    <xdr:from>
      <xdr:col>88</xdr:col>
      <xdr:colOff>0</xdr:colOff>
      <xdr:row>5</xdr:row>
      <xdr:rowOff>0</xdr:rowOff>
    </xdr:from>
    <xdr:ext cx="200025" cy="200025"/>
    <xdr:pic>
      <xdr:nvPicPr>
        <xdr:cNvPr id="0" name="image27.png"/>
        <xdr:cNvPicPr preferRelativeResize="0"/>
      </xdr:nvPicPr>
      <xdr:blipFill>
        <a:blip cstate="print" r:embed="rId4"/>
        <a:stretch>
          <a:fillRect/>
        </a:stretch>
      </xdr:blipFill>
      <xdr:spPr>
        <a:prstGeom prst="rect">
          <a:avLst/>
        </a:prstGeom>
        <a:noFill/>
      </xdr:spPr>
    </xdr:pic>
    <xdr:clientData fLocksWithSheet="0"/>
  </xdr:oneCellAnchor>
  <xdr:oneCellAnchor>
    <xdr:from>
      <xdr:col>93</xdr:col>
      <xdr:colOff>0</xdr:colOff>
      <xdr:row>5</xdr:row>
      <xdr:rowOff>0</xdr:rowOff>
    </xdr:from>
    <xdr:ext cx="200025" cy="200025"/>
    <xdr:pic>
      <xdr:nvPicPr>
        <xdr:cNvPr id="0" name="image27.png"/>
        <xdr:cNvPicPr preferRelativeResize="0"/>
      </xdr:nvPicPr>
      <xdr:blipFill>
        <a:blip cstate="print" r:embed="rId4"/>
        <a:stretch>
          <a:fillRect/>
        </a:stretch>
      </xdr:blipFill>
      <xdr:spPr>
        <a:prstGeom prst="rect">
          <a:avLst/>
        </a:prstGeom>
        <a:noFill/>
      </xdr:spPr>
    </xdr:pic>
    <xdr:clientData fLocksWithSheet="0"/>
  </xdr:oneCellAnchor>
  <xdr:oneCellAnchor>
    <xdr:from>
      <xdr:col>98</xdr:col>
      <xdr:colOff>0</xdr:colOff>
      <xdr:row>5</xdr:row>
      <xdr:rowOff>0</xdr:rowOff>
    </xdr:from>
    <xdr:ext cx="200025" cy="200025"/>
    <xdr:pic>
      <xdr:nvPicPr>
        <xdr:cNvPr id="0" name="image18.png"/>
        <xdr:cNvPicPr preferRelativeResize="0"/>
      </xdr:nvPicPr>
      <xdr:blipFill>
        <a:blip cstate="print" r:embed="rId3"/>
        <a:stretch>
          <a:fillRect/>
        </a:stretch>
      </xdr:blipFill>
      <xdr:spPr>
        <a:prstGeom prst="rect">
          <a:avLst/>
        </a:prstGeom>
        <a:noFill/>
      </xdr:spPr>
    </xdr:pic>
    <xdr:clientData fLocksWithSheet="0"/>
  </xdr:oneCellAnchor>
  <xdr:oneCellAnchor>
    <xdr:from>
      <xdr:col>103</xdr:col>
      <xdr:colOff>0</xdr:colOff>
      <xdr:row>5</xdr:row>
      <xdr:rowOff>0</xdr:rowOff>
    </xdr:from>
    <xdr:ext cx="200025" cy="200025"/>
    <xdr:pic>
      <xdr:nvPicPr>
        <xdr:cNvPr id="0" name="image16.png"/>
        <xdr:cNvPicPr preferRelativeResize="0"/>
      </xdr:nvPicPr>
      <xdr:blipFill>
        <a:blip cstate="print" r:embed="rId5"/>
        <a:stretch>
          <a:fillRect/>
        </a:stretch>
      </xdr:blipFill>
      <xdr:spPr>
        <a:prstGeom prst="rect">
          <a:avLst/>
        </a:prstGeom>
        <a:noFill/>
      </xdr:spPr>
    </xdr:pic>
    <xdr:clientData fLocksWithSheet="0"/>
  </xdr:oneCellAnchor>
  <xdr:oneCellAnchor>
    <xdr:from>
      <xdr:col>38</xdr:col>
      <xdr:colOff>0</xdr:colOff>
      <xdr:row>6</xdr:row>
      <xdr:rowOff>0</xdr:rowOff>
    </xdr:from>
    <xdr:ext cx="200025" cy="200025"/>
    <xdr:pic>
      <xdr:nvPicPr>
        <xdr:cNvPr id="0" name="image27.png"/>
        <xdr:cNvPicPr preferRelativeResize="0"/>
      </xdr:nvPicPr>
      <xdr:blipFill>
        <a:blip cstate="print" r:embed="rId4"/>
        <a:stretch>
          <a:fillRect/>
        </a:stretch>
      </xdr:blipFill>
      <xdr:spPr>
        <a:prstGeom prst="rect">
          <a:avLst/>
        </a:prstGeom>
        <a:noFill/>
      </xdr:spPr>
    </xdr:pic>
    <xdr:clientData fLocksWithSheet="0"/>
  </xdr:oneCellAnchor>
  <xdr:oneCellAnchor>
    <xdr:from>
      <xdr:col>43</xdr:col>
      <xdr:colOff>0</xdr:colOff>
      <xdr:row>6</xdr:row>
      <xdr:rowOff>0</xdr:rowOff>
    </xdr:from>
    <xdr:ext cx="200025" cy="200025"/>
    <xdr:pic>
      <xdr:nvPicPr>
        <xdr:cNvPr id="0" name="image27.png"/>
        <xdr:cNvPicPr preferRelativeResize="0"/>
      </xdr:nvPicPr>
      <xdr:blipFill>
        <a:blip cstate="print" r:embed="rId4"/>
        <a:stretch>
          <a:fillRect/>
        </a:stretch>
      </xdr:blipFill>
      <xdr:spPr>
        <a:prstGeom prst="rect">
          <a:avLst/>
        </a:prstGeom>
        <a:noFill/>
      </xdr:spPr>
    </xdr:pic>
    <xdr:clientData fLocksWithSheet="0"/>
  </xdr:oneCellAnchor>
  <xdr:oneCellAnchor>
    <xdr:from>
      <xdr:col>48</xdr:col>
      <xdr:colOff>0</xdr:colOff>
      <xdr:row>6</xdr:row>
      <xdr:rowOff>0</xdr:rowOff>
    </xdr:from>
    <xdr:ext cx="200025" cy="200025"/>
    <xdr:pic>
      <xdr:nvPicPr>
        <xdr:cNvPr id="0" name="image27.png"/>
        <xdr:cNvPicPr preferRelativeResize="0"/>
      </xdr:nvPicPr>
      <xdr:blipFill>
        <a:blip cstate="print" r:embed="rId4"/>
        <a:stretch>
          <a:fillRect/>
        </a:stretch>
      </xdr:blipFill>
      <xdr:spPr>
        <a:prstGeom prst="rect">
          <a:avLst/>
        </a:prstGeom>
        <a:noFill/>
      </xdr:spPr>
    </xdr:pic>
    <xdr:clientData fLocksWithSheet="0"/>
  </xdr:oneCellAnchor>
  <xdr:oneCellAnchor>
    <xdr:from>
      <xdr:col>53</xdr:col>
      <xdr:colOff>0</xdr:colOff>
      <xdr:row>6</xdr:row>
      <xdr:rowOff>0</xdr:rowOff>
    </xdr:from>
    <xdr:ext cx="200025" cy="200025"/>
    <xdr:pic>
      <xdr:nvPicPr>
        <xdr:cNvPr id="0" name="image27.png"/>
        <xdr:cNvPicPr preferRelativeResize="0"/>
      </xdr:nvPicPr>
      <xdr:blipFill>
        <a:blip cstate="print" r:embed="rId4"/>
        <a:stretch>
          <a:fillRect/>
        </a:stretch>
      </xdr:blipFill>
      <xdr:spPr>
        <a:prstGeom prst="rect">
          <a:avLst/>
        </a:prstGeom>
        <a:noFill/>
      </xdr:spPr>
    </xdr:pic>
    <xdr:clientData fLocksWithSheet="0"/>
  </xdr:oneCellAnchor>
  <xdr:oneCellAnchor>
    <xdr:from>
      <xdr:col>58</xdr:col>
      <xdr:colOff>0</xdr:colOff>
      <xdr:row>6</xdr:row>
      <xdr:rowOff>0</xdr:rowOff>
    </xdr:from>
    <xdr:ext cx="200025" cy="200025"/>
    <xdr:pic>
      <xdr:nvPicPr>
        <xdr:cNvPr id="0" name="image27.png"/>
        <xdr:cNvPicPr preferRelativeResize="0"/>
      </xdr:nvPicPr>
      <xdr:blipFill>
        <a:blip cstate="print" r:embed="rId4"/>
        <a:stretch>
          <a:fillRect/>
        </a:stretch>
      </xdr:blipFill>
      <xdr:spPr>
        <a:prstGeom prst="rect">
          <a:avLst/>
        </a:prstGeom>
        <a:noFill/>
      </xdr:spPr>
    </xdr:pic>
    <xdr:clientData fLocksWithSheet="0"/>
  </xdr:oneCellAnchor>
  <xdr:oneCellAnchor>
    <xdr:from>
      <xdr:col>63</xdr:col>
      <xdr:colOff>0</xdr:colOff>
      <xdr:row>6</xdr:row>
      <xdr:rowOff>0</xdr:rowOff>
    </xdr:from>
    <xdr:ext cx="200025" cy="200025"/>
    <xdr:pic>
      <xdr:nvPicPr>
        <xdr:cNvPr id="0" name="image18.png"/>
        <xdr:cNvPicPr preferRelativeResize="0"/>
      </xdr:nvPicPr>
      <xdr:blipFill>
        <a:blip cstate="print" r:embed="rId3"/>
        <a:stretch>
          <a:fillRect/>
        </a:stretch>
      </xdr:blipFill>
      <xdr:spPr>
        <a:prstGeom prst="rect">
          <a:avLst/>
        </a:prstGeom>
        <a:noFill/>
      </xdr:spPr>
    </xdr:pic>
    <xdr:clientData fLocksWithSheet="0"/>
  </xdr:oneCellAnchor>
  <xdr:oneCellAnchor>
    <xdr:from>
      <xdr:col>68</xdr:col>
      <xdr:colOff>0</xdr:colOff>
      <xdr:row>6</xdr:row>
      <xdr:rowOff>0</xdr:rowOff>
    </xdr:from>
    <xdr:ext cx="200025" cy="200025"/>
    <xdr:pic>
      <xdr:nvPicPr>
        <xdr:cNvPr id="0" name="image21.png"/>
        <xdr:cNvPicPr preferRelativeResize="0"/>
      </xdr:nvPicPr>
      <xdr:blipFill>
        <a:blip cstate="print" r:embed="rId6"/>
        <a:stretch>
          <a:fillRect/>
        </a:stretch>
      </xdr:blipFill>
      <xdr:spPr>
        <a:prstGeom prst="rect">
          <a:avLst/>
        </a:prstGeom>
        <a:noFill/>
      </xdr:spPr>
    </xdr:pic>
    <xdr:clientData fLocksWithSheet="0"/>
  </xdr:oneCellAnchor>
  <xdr:oneCellAnchor>
    <xdr:from>
      <xdr:col>73</xdr:col>
      <xdr:colOff>0</xdr:colOff>
      <xdr:row>6</xdr:row>
      <xdr:rowOff>0</xdr:rowOff>
    </xdr:from>
    <xdr:ext cx="200025" cy="200025"/>
    <xdr:pic>
      <xdr:nvPicPr>
        <xdr:cNvPr id="0" name="image21.png"/>
        <xdr:cNvPicPr preferRelativeResize="0"/>
      </xdr:nvPicPr>
      <xdr:blipFill>
        <a:blip cstate="print" r:embed="rId6"/>
        <a:stretch>
          <a:fillRect/>
        </a:stretch>
      </xdr:blipFill>
      <xdr:spPr>
        <a:prstGeom prst="rect">
          <a:avLst/>
        </a:prstGeom>
        <a:noFill/>
      </xdr:spPr>
    </xdr:pic>
    <xdr:clientData fLocksWithSheet="0"/>
  </xdr:oneCellAnchor>
  <xdr:oneCellAnchor>
    <xdr:from>
      <xdr:col>78</xdr:col>
      <xdr:colOff>0</xdr:colOff>
      <xdr:row>6</xdr:row>
      <xdr:rowOff>0</xdr:rowOff>
    </xdr:from>
    <xdr:ext cx="200025" cy="200025"/>
    <xdr:pic>
      <xdr:nvPicPr>
        <xdr:cNvPr id="0" name="image21.png"/>
        <xdr:cNvPicPr preferRelativeResize="0"/>
      </xdr:nvPicPr>
      <xdr:blipFill>
        <a:blip cstate="print" r:embed="rId6"/>
        <a:stretch>
          <a:fillRect/>
        </a:stretch>
      </xdr:blipFill>
      <xdr:spPr>
        <a:prstGeom prst="rect">
          <a:avLst/>
        </a:prstGeom>
        <a:noFill/>
      </xdr:spPr>
    </xdr:pic>
    <xdr:clientData fLocksWithSheet="0"/>
  </xdr:oneCellAnchor>
  <xdr:oneCellAnchor>
    <xdr:from>
      <xdr:col>83</xdr:col>
      <xdr:colOff>0</xdr:colOff>
      <xdr:row>6</xdr:row>
      <xdr:rowOff>0</xdr:rowOff>
    </xdr:from>
    <xdr:ext cx="200025" cy="200025"/>
    <xdr:pic>
      <xdr:nvPicPr>
        <xdr:cNvPr id="0" name="image27.png"/>
        <xdr:cNvPicPr preferRelativeResize="0"/>
      </xdr:nvPicPr>
      <xdr:blipFill>
        <a:blip cstate="print" r:embed="rId4"/>
        <a:stretch>
          <a:fillRect/>
        </a:stretch>
      </xdr:blipFill>
      <xdr:spPr>
        <a:prstGeom prst="rect">
          <a:avLst/>
        </a:prstGeom>
        <a:noFill/>
      </xdr:spPr>
    </xdr:pic>
    <xdr:clientData fLocksWithSheet="0"/>
  </xdr:oneCellAnchor>
  <xdr:oneCellAnchor>
    <xdr:from>
      <xdr:col>88</xdr:col>
      <xdr:colOff>0</xdr:colOff>
      <xdr:row>6</xdr:row>
      <xdr:rowOff>0</xdr:rowOff>
    </xdr:from>
    <xdr:ext cx="200025" cy="200025"/>
    <xdr:pic>
      <xdr:nvPicPr>
        <xdr:cNvPr id="0" name="image16.png"/>
        <xdr:cNvPicPr preferRelativeResize="0"/>
      </xdr:nvPicPr>
      <xdr:blipFill>
        <a:blip cstate="print" r:embed="rId5"/>
        <a:stretch>
          <a:fillRect/>
        </a:stretch>
      </xdr:blipFill>
      <xdr:spPr>
        <a:prstGeom prst="rect">
          <a:avLst/>
        </a:prstGeom>
        <a:noFill/>
      </xdr:spPr>
    </xdr:pic>
    <xdr:clientData fLocksWithSheet="0"/>
  </xdr:oneCellAnchor>
  <xdr:oneCellAnchor>
    <xdr:from>
      <xdr:col>93</xdr:col>
      <xdr:colOff>0</xdr:colOff>
      <xdr:row>6</xdr:row>
      <xdr:rowOff>0</xdr:rowOff>
    </xdr:from>
    <xdr:ext cx="200025" cy="200025"/>
    <xdr:pic>
      <xdr:nvPicPr>
        <xdr:cNvPr id="0" name="image26.png"/>
        <xdr:cNvPicPr preferRelativeResize="0"/>
      </xdr:nvPicPr>
      <xdr:blipFill>
        <a:blip cstate="print" r:embed="rId7"/>
        <a:stretch>
          <a:fillRect/>
        </a:stretch>
      </xdr:blipFill>
      <xdr:spPr>
        <a:prstGeom prst="rect">
          <a:avLst/>
        </a:prstGeom>
        <a:noFill/>
      </xdr:spPr>
    </xdr:pic>
    <xdr:clientData fLocksWithSheet="0"/>
  </xdr:oneCellAnchor>
  <xdr:oneCellAnchor>
    <xdr:from>
      <xdr:col>98</xdr:col>
      <xdr:colOff>0</xdr:colOff>
      <xdr:row>6</xdr:row>
      <xdr:rowOff>0</xdr:rowOff>
    </xdr:from>
    <xdr:ext cx="200025" cy="200025"/>
    <xdr:pic>
      <xdr:nvPicPr>
        <xdr:cNvPr id="0" name="image22.png"/>
        <xdr:cNvPicPr preferRelativeResize="0"/>
      </xdr:nvPicPr>
      <xdr:blipFill>
        <a:blip cstate="print" r:embed="rId8"/>
        <a:stretch>
          <a:fillRect/>
        </a:stretch>
      </xdr:blipFill>
      <xdr:spPr>
        <a:prstGeom prst="rect">
          <a:avLst/>
        </a:prstGeom>
        <a:noFill/>
      </xdr:spPr>
    </xdr:pic>
    <xdr:clientData fLocksWithSheet="0"/>
  </xdr:oneCellAnchor>
  <xdr:oneCellAnchor>
    <xdr:from>
      <xdr:col>103</xdr:col>
      <xdr:colOff>0</xdr:colOff>
      <xdr:row>6</xdr:row>
      <xdr:rowOff>0</xdr:rowOff>
    </xdr:from>
    <xdr:ext cx="200025" cy="200025"/>
    <xdr:pic>
      <xdr:nvPicPr>
        <xdr:cNvPr id="0" name="image19.png"/>
        <xdr:cNvPicPr preferRelativeResize="0"/>
      </xdr:nvPicPr>
      <xdr:blipFill>
        <a:blip cstate="print" r:embed="rId9"/>
        <a:stretch>
          <a:fillRect/>
        </a:stretch>
      </xdr:blipFill>
      <xdr:spPr>
        <a:prstGeom prst="rect">
          <a:avLst/>
        </a:prstGeom>
        <a:noFill/>
      </xdr:spPr>
    </xdr:pic>
    <xdr:clientData fLocksWithSheet="0"/>
  </xdr:oneCellAnchor>
  <xdr:oneCellAnchor>
    <xdr:from>
      <xdr:col>38</xdr:col>
      <xdr:colOff>0</xdr:colOff>
      <xdr:row>7</xdr:row>
      <xdr:rowOff>0</xdr:rowOff>
    </xdr:from>
    <xdr:ext cx="200025" cy="200025"/>
    <xdr:pic>
      <xdr:nvPicPr>
        <xdr:cNvPr id="0" name="image16.png"/>
        <xdr:cNvPicPr preferRelativeResize="0"/>
      </xdr:nvPicPr>
      <xdr:blipFill>
        <a:blip cstate="print" r:embed="rId5"/>
        <a:stretch>
          <a:fillRect/>
        </a:stretch>
      </xdr:blipFill>
      <xdr:spPr>
        <a:prstGeom prst="rect">
          <a:avLst/>
        </a:prstGeom>
        <a:noFill/>
      </xdr:spPr>
    </xdr:pic>
    <xdr:clientData fLocksWithSheet="0"/>
  </xdr:oneCellAnchor>
  <xdr:oneCellAnchor>
    <xdr:from>
      <xdr:col>43</xdr:col>
      <xdr:colOff>0</xdr:colOff>
      <xdr:row>7</xdr:row>
      <xdr:rowOff>0</xdr:rowOff>
    </xdr:from>
    <xdr:ext cx="200025" cy="200025"/>
    <xdr:pic>
      <xdr:nvPicPr>
        <xdr:cNvPr id="0" name="image16.png"/>
        <xdr:cNvPicPr preferRelativeResize="0"/>
      </xdr:nvPicPr>
      <xdr:blipFill>
        <a:blip cstate="print" r:embed="rId5"/>
        <a:stretch>
          <a:fillRect/>
        </a:stretch>
      </xdr:blipFill>
      <xdr:spPr>
        <a:prstGeom prst="rect">
          <a:avLst/>
        </a:prstGeom>
        <a:noFill/>
      </xdr:spPr>
    </xdr:pic>
    <xdr:clientData fLocksWithSheet="0"/>
  </xdr:oneCellAnchor>
  <xdr:oneCellAnchor>
    <xdr:from>
      <xdr:col>48</xdr:col>
      <xdr:colOff>0</xdr:colOff>
      <xdr:row>7</xdr:row>
      <xdr:rowOff>0</xdr:rowOff>
    </xdr:from>
    <xdr:ext cx="200025" cy="200025"/>
    <xdr:pic>
      <xdr:nvPicPr>
        <xdr:cNvPr id="0" name="image16.png"/>
        <xdr:cNvPicPr preferRelativeResize="0"/>
      </xdr:nvPicPr>
      <xdr:blipFill>
        <a:blip cstate="print" r:embed="rId5"/>
        <a:stretch>
          <a:fillRect/>
        </a:stretch>
      </xdr:blipFill>
      <xdr:spPr>
        <a:prstGeom prst="rect">
          <a:avLst/>
        </a:prstGeom>
        <a:noFill/>
      </xdr:spPr>
    </xdr:pic>
    <xdr:clientData fLocksWithSheet="0"/>
  </xdr:oneCellAnchor>
  <xdr:oneCellAnchor>
    <xdr:from>
      <xdr:col>53</xdr:col>
      <xdr:colOff>0</xdr:colOff>
      <xdr:row>7</xdr:row>
      <xdr:rowOff>0</xdr:rowOff>
    </xdr:from>
    <xdr:ext cx="200025" cy="200025"/>
    <xdr:pic>
      <xdr:nvPicPr>
        <xdr:cNvPr id="0" name="image16.png"/>
        <xdr:cNvPicPr preferRelativeResize="0"/>
      </xdr:nvPicPr>
      <xdr:blipFill>
        <a:blip cstate="print" r:embed="rId5"/>
        <a:stretch>
          <a:fillRect/>
        </a:stretch>
      </xdr:blipFill>
      <xdr:spPr>
        <a:prstGeom prst="rect">
          <a:avLst/>
        </a:prstGeom>
        <a:noFill/>
      </xdr:spPr>
    </xdr:pic>
    <xdr:clientData fLocksWithSheet="0"/>
  </xdr:oneCellAnchor>
  <xdr:oneCellAnchor>
    <xdr:from>
      <xdr:col>58</xdr:col>
      <xdr:colOff>0</xdr:colOff>
      <xdr:row>7</xdr:row>
      <xdr:rowOff>0</xdr:rowOff>
    </xdr:from>
    <xdr:ext cx="200025" cy="200025"/>
    <xdr:pic>
      <xdr:nvPicPr>
        <xdr:cNvPr id="0" name="image16.png"/>
        <xdr:cNvPicPr preferRelativeResize="0"/>
      </xdr:nvPicPr>
      <xdr:blipFill>
        <a:blip cstate="print" r:embed="rId5"/>
        <a:stretch>
          <a:fillRect/>
        </a:stretch>
      </xdr:blipFill>
      <xdr:spPr>
        <a:prstGeom prst="rect">
          <a:avLst/>
        </a:prstGeom>
        <a:noFill/>
      </xdr:spPr>
    </xdr:pic>
    <xdr:clientData fLocksWithSheet="0"/>
  </xdr:oneCellAnchor>
  <xdr:oneCellAnchor>
    <xdr:from>
      <xdr:col>63</xdr:col>
      <xdr:colOff>0</xdr:colOff>
      <xdr:row>7</xdr:row>
      <xdr:rowOff>0</xdr:rowOff>
    </xdr:from>
    <xdr:ext cx="200025" cy="200025"/>
    <xdr:pic>
      <xdr:nvPicPr>
        <xdr:cNvPr id="0" name="image21.png"/>
        <xdr:cNvPicPr preferRelativeResize="0"/>
      </xdr:nvPicPr>
      <xdr:blipFill>
        <a:blip cstate="print" r:embed="rId6"/>
        <a:stretch>
          <a:fillRect/>
        </a:stretch>
      </xdr:blipFill>
      <xdr:spPr>
        <a:prstGeom prst="rect">
          <a:avLst/>
        </a:prstGeom>
        <a:noFill/>
      </xdr:spPr>
    </xdr:pic>
    <xdr:clientData fLocksWithSheet="0"/>
  </xdr:oneCellAnchor>
  <xdr:oneCellAnchor>
    <xdr:from>
      <xdr:col>68</xdr:col>
      <xdr:colOff>0</xdr:colOff>
      <xdr:row>7</xdr:row>
      <xdr:rowOff>0</xdr:rowOff>
    </xdr:from>
    <xdr:ext cx="247650" cy="200025"/>
    <xdr:pic>
      <xdr:nvPicPr>
        <xdr:cNvPr id="0" name="image25.png"/>
        <xdr:cNvPicPr preferRelativeResize="0"/>
      </xdr:nvPicPr>
      <xdr:blipFill>
        <a:blip cstate="print" r:embed="rId10"/>
        <a:stretch>
          <a:fillRect/>
        </a:stretch>
      </xdr:blipFill>
      <xdr:spPr>
        <a:prstGeom prst="rect">
          <a:avLst/>
        </a:prstGeom>
        <a:noFill/>
      </xdr:spPr>
    </xdr:pic>
    <xdr:clientData fLocksWithSheet="0"/>
  </xdr:oneCellAnchor>
  <xdr:oneCellAnchor>
    <xdr:from>
      <xdr:col>73</xdr:col>
      <xdr:colOff>0</xdr:colOff>
      <xdr:row>7</xdr:row>
      <xdr:rowOff>0</xdr:rowOff>
    </xdr:from>
    <xdr:ext cx="247650" cy="200025"/>
    <xdr:pic>
      <xdr:nvPicPr>
        <xdr:cNvPr id="0" name="image25.png"/>
        <xdr:cNvPicPr preferRelativeResize="0"/>
      </xdr:nvPicPr>
      <xdr:blipFill>
        <a:blip cstate="print" r:embed="rId10"/>
        <a:stretch>
          <a:fillRect/>
        </a:stretch>
      </xdr:blipFill>
      <xdr:spPr>
        <a:prstGeom prst="rect">
          <a:avLst/>
        </a:prstGeom>
        <a:noFill/>
      </xdr:spPr>
    </xdr:pic>
    <xdr:clientData fLocksWithSheet="0"/>
  </xdr:oneCellAnchor>
  <xdr:oneCellAnchor>
    <xdr:from>
      <xdr:col>78</xdr:col>
      <xdr:colOff>0</xdr:colOff>
      <xdr:row>7</xdr:row>
      <xdr:rowOff>0</xdr:rowOff>
    </xdr:from>
    <xdr:ext cx="247650" cy="200025"/>
    <xdr:pic>
      <xdr:nvPicPr>
        <xdr:cNvPr id="0" name="image25.png"/>
        <xdr:cNvPicPr preferRelativeResize="0"/>
      </xdr:nvPicPr>
      <xdr:blipFill>
        <a:blip cstate="print" r:embed="rId10"/>
        <a:stretch>
          <a:fillRect/>
        </a:stretch>
      </xdr:blipFill>
      <xdr:spPr>
        <a:prstGeom prst="rect">
          <a:avLst/>
        </a:prstGeom>
        <a:noFill/>
      </xdr:spPr>
    </xdr:pic>
    <xdr:clientData fLocksWithSheet="0"/>
  </xdr:oneCellAnchor>
  <xdr:oneCellAnchor>
    <xdr:from>
      <xdr:col>83</xdr:col>
      <xdr:colOff>0</xdr:colOff>
      <xdr:row>7</xdr:row>
      <xdr:rowOff>0</xdr:rowOff>
    </xdr:from>
    <xdr:ext cx="200025" cy="200025"/>
    <xdr:pic>
      <xdr:nvPicPr>
        <xdr:cNvPr id="0" name="image16.png"/>
        <xdr:cNvPicPr preferRelativeResize="0"/>
      </xdr:nvPicPr>
      <xdr:blipFill>
        <a:blip cstate="print" r:embed="rId5"/>
        <a:stretch>
          <a:fillRect/>
        </a:stretch>
      </xdr:blipFill>
      <xdr:spPr>
        <a:prstGeom prst="rect">
          <a:avLst/>
        </a:prstGeom>
        <a:noFill/>
      </xdr:spPr>
    </xdr:pic>
    <xdr:clientData fLocksWithSheet="0"/>
  </xdr:oneCellAnchor>
  <xdr:oneCellAnchor>
    <xdr:from>
      <xdr:col>88</xdr:col>
      <xdr:colOff>0</xdr:colOff>
      <xdr:row>7</xdr:row>
      <xdr:rowOff>0</xdr:rowOff>
    </xdr:from>
    <xdr:ext cx="200025" cy="200025"/>
    <xdr:pic>
      <xdr:nvPicPr>
        <xdr:cNvPr id="0" name="image17.png"/>
        <xdr:cNvPicPr preferRelativeResize="0"/>
      </xdr:nvPicPr>
      <xdr:blipFill>
        <a:blip cstate="print" r:embed="rId2"/>
        <a:stretch>
          <a:fillRect/>
        </a:stretch>
      </xdr:blipFill>
      <xdr:spPr>
        <a:prstGeom prst="rect">
          <a:avLst/>
        </a:prstGeom>
        <a:noFill/>
      </xdr:spPr>
    </xdr:pic>
    <xdr:clientData fLocksWithSheet="0"/>
  </xdr:oneCellAnchor>
  <xdr:oneCellAnchor>
    <xdr:from>
      <xdr:col>93</xdr:col>
      <xdr:colOff>0</xdr:colOff>
      <xdr:row>7</xdr:row>
      <xdr:rowOff>0</xdr:rowOff>
    </xdr:from>
    <xdr:ext cx="200025" cy="200025"/>
    <xdr:pic>
      <xdr:nvPicPr>
        <xdr:cNvPr id="0" name="image17.png"/>
        <xdr:cNvPicPr preferRelativeResize="0"/>
      </xdr:nvPicPr>
      <xdr:blipFill>
        <a:blip cstate="print" r:embed="rId2"/>
        <a:stretch>
          <a:fillRect/>
        </a:stretch>
      </xdr:blipFill>
      <xdr:spPr>
        <a:prstGeom prst="rect">
          <a:avLst/>
        </a:prstGeom>
        <a:noFill/>
      </xdr:spPr>
    </xdr:pic>
    <xdr:clientData fLocksWithSheet="0"/>
  </xdr:oneCellAnchor>
  <xdr:oneCellAnchor>
    <xdr:from>
      <xdr:col>98</xdr:col>
      <xdr:colOff>0</xdr:colOff>
      <xdr:row>7</xdr:row>
      <xdr:rowOff>0</xdr:rowOff>
    </xdr:from>
    <xdr:ext cx="161925" cy="200025"/>
    <xdr:pic>
      <xdr:nvPicPr>
        <xdr:cNvPr id="0" name="image23.png"/>
        <xdr:cNvPicPr preferRelativeResize="0"/>
      </xdr:nvPicPr>
      <xdr:blipFill>
        <a:blip cstate="print" r:embed="rId11"/>
        <a:stretch>
          <a:fillRect/>
        </a:stretch>
      </xdr:blipFill>
      <xdr:spPr>
        <a:prstGeom prst="rect">
          <a:avLst/>
        </a:prstGeom>
        <a:noFill/>
      </xdr:spPr>
    </xdr:pic>
    <xdr:clientData fLocksWithSheet="0"/>
  </xdr:oneCellAnchor>
  <xdr:oneCellAnchor>
    <xdr:from>
      <xdr:col>103</xdr:col>
      <xdr:colOff>0</xdr:colOff>
      <xdr:row>7</xdr:row>
      <xdr:rowOff>0</xdr:rowOff>
    </xdr:from>
    <xdr:ext cx="200025" cy="200025"/>
    <xdr:pic>
      <xdr:nvPicPr>
        <xdr:cNvPr id="0" name="image28.png"/>
        <xdr:cNvPicPr preferRelativeResize="0"/>
      </xdr:nvPicPr>
      <xdr:blipFill>
        <a:blip cstate="print" r:embed="rId12"/>
        <a:stretch>
          <a:fillRect/>
        </a:stretch>
      </xdr:blipFill>
      <xdr:spPr>
        <a:prstGeom prst="rect">
          <a:avLst/>
        </a:prstGeom>
        <a:noFill/>
      </xdr:spPr>
    </xdr:pic>
    <xdr:clientData fLocksWithSheet="0"/>
  </xdr:oneCellAnchor>
  <xdr:oneCellAnchor>
    <xdr:from>
      <xdr:col>38</xdr:col>
      <xdr:colOff>0</xdr:colOff>
      <xdr:row>8</xdr:row>
      <xdr:rowOff>0</xdr:rowOff>
    </xdr:from>
    <xdr:ext cx="200025" cy="200025"/>
    <xdr:pic>
      <xdr:nvPicPr>
        <xdr:cNvPr id="0" name="image26.png"/>
        <xdr:cNvPicPr preferRelativeResize="0"/>
      </xdr:nvPicPr>
      <xdr:blipFill>
        <a:blip cstate="print" r:embed="rId7"/>
        <a:stretch>
          <a:fillRect/>
        </a:stretch>
      </xdr:blipFill>
      <xdr:spPr>
        <a:prstGeom prst="rect">
          <a:avLst/>
        </a:prstGeom>
        <a:noFill/>
      </xdr:spPr>
    </xdr:pic>
    <xdr:clientData fLocksWithSheet="0"/>
  </xdr:oneCellAnchor>
  <xdr:oneCellAnchor>
    <xdr:from>
      <xdr:col>43</xdr:col>
      <xdr:colOff>0</xdr:colOff>
      <xdr:row>8</xdr:row>
      <xdr:rowOff>0</xdr:rowOff>
    </xdr:from>
    <xdr:ext cx="200025" cy="200025"/>
    <xdr:pic>
      <xdr:nvPicPr>
        <xdr:cNvPr id="0" name="image26.png"/>
        <xdr:cNvPicPr preferRelativeResize="0"/>
      </xdr:nvPicPr>
      <xdr:blipFill>
        <a:blip cstate="print" r:embed="rId7"/>
        <a:stretch>
          <a:fillRect/>
        </a:stretch>
      </xdr:blipFill>
      <xdr:spPr>
        <a:prstGeom prst="rect">
          <a:avLst/>
        </a:prstGeom>
        <a:noFill/>
      </xdr:spPr>
    </xdr:pic>
    <xdr:clientData fLocksWithSheet="0"/>
  </xdr:oneCellAnchor>
  <xdr:oneCellAnchor>
    <xdr:from>
      <xdr:col>48</xdr:col>
      <xdr:colOff>0</xdr:colOff>
      <xdr:row>8</xdr:row>
      <xdr:rowOff>0</xdr:rowOff>
    </xdr:from>
    <xdr:ext cx="200025" cy="200025"/>
    <xdr:pic>
      <xdr:nvPicPr>
        <xdr:cNvPr id="0" name="image26.png"/>
        <xdr:cNvPicPr preferRelativeResize="0"/>
      </xdr:nvPicPr>
      <xdr:blipFill>
        <a:blip cstate="print" r:embed="rId7"/>
        <a:stretch>
          <a:fillRect/>
        </a:stretch>
      </xdr:blipFill>
      <xdr:spPr>
        <a:prstGeom prst="rect">
          <a:avLst/>
        </a:prstGeom>
        <a:noFill/>
      </xdr:spPr>
    </xdr:pic>
    <xdr:clientData fLocksWithSheet="0"/>
  </xdr:oneCellAnchor>
  <xdr:oneCellAnchor>
    <xdr:from>
      <xdr:col>53</xdr:col>
      <xdr:colOff>0</xdr:colOff>
      <xdr:row>8</xdr:row>
      <xdr:rowOff>0</xdr:rowOff>
    </xdr:from>
    <xdr:ext cx="200025" cy="200025"/>
    <xdr:pic>
      <xdr:nvPicPr>
        <xdr:cNvPr id="0" name="image26.png"/>
        <xdr:cNvPicPr preferRelativeResize="0"/>
      </xdr:nvPicPr>
      <xdr:blipFill>
        <a:blip cstate="print" r:embed="rId7"/>
        <a:stretch>
          <a:fillRect/>
        </a:stretch>
      </xdr:blipFill>
      <xdr:spPr>
        <a:prstGeom prst="rect">
          <a:avLst/>
        </a:prstGeom>
        <a:noFill/>
      </xdr:spPr>
    </xdr:pic>
    <xdr:clientData fLocksWithSheet="0"/>
  </xdr:oneCellAnchor>
  <xdr:oneCellAnchor>
    <xdr:from>
      <xdr:col>58</xdr:col>
      <xdr:colOff>0</xdr:colOff>
      <xdr:row>8</xdr:row>
      <xdr:rowOff>0</xdr:rowOff>
    </xdr:from>
    <xdr:ext cx="200025" cy="200025"/>
    <xdr:pic>
      <xdr:nvPicPr>
        <xdr:cNvPr id="0" name="image26.png"/>
        <xdr:cNvPicPr preferRelativeResize="0"/>
      </xdr:nvPicPr>
      <xdr:blipFill>
        <a:blip cstate="print" r:embed="rId7"/>
        <a:stretch>
          <a:fillRect/>
        </a:stretch>
      </xdr:blipFill>
      <xdr:spPr>
        <a:prstGeom prst="rect">
          <a:avLst/>
        </a:prstGeom>
        <a:noFill/>
      </xdr:spPr>
    </xdr:pic>
    <xdr:clientData fLocksWithSheet="0"/>
  </xdr:oneCellAnchor>
  <xdr:oneCellAnchor>
    <xdr:from>
      <xdr:col>63</xdr:col>
      <xdr:colOff>0</xdr:colOff>
      <xdr:row>8</xdr:row>
      <xdr:rowOff>0</xdr:rowOff>
    </xdr:from>
    <xdr:ext cx="247650" cy="200025"/>
    <xdr:pic>
      <xdr:nvPicPr>
        <xdr:cNvPr id="0" name="image25.png"/>
        <xdr:cNvPicPr preferRelativeResize="0"/>
      </xdr:nvPicPr>
      <xdr:blipFill>
        <a:blip cstate="print" r:embed="rId10"/>
        <a:stretch>
          <a:fillRect/>
        </a:stretch>
      </xdr:blipFill>
      <xdr:spPr>
        <a:prstGeom prst="rect">
          <a:avLst/>
        </a:prstGeom>
        <a:noFill/>
      </xdr:spPr>
    </xdr:pic>
    <xdr:clientData fLocksWithSheet="0"/>
  </xdr:oneCellAnchor>
  <xdr:oneCellAnchor>
    <xdr:from>
      <xdr:col>68</xdr:col>
      <xdr:colOff>0</xdr:colOff>
      <xdr:row>8</xdr:row>
      <xdr:rowOff>0</xdr:rowOff>
    </xdr:from>
    <xdr:ext cx="200025" cy="200025"/>
    <xdr:pic>
      <xdr:nvPicPr>
        <xdr:cNvPr id="0" name="image33.png"/>
        <xdr:cNvPicPr preferRelativeResize="0"/>
      </xdr:nvPicPr>
      <xdr:blipFill>
        <a:blip cstate="print" r:embed="rId13"/>
        <a:stretch>
          <a:fillRect/>
        </a:stretch>
      </xdr:blipFill>
      <xdr:spPr>
        <a:prstGeom prst="rect">
          <a:avLst/>
        </a:prstGeom>
        <a:noFill/>
      </xdr:spPr>
    </xdr:pic>
    <xdr:clientData fLocksWithSheet="0"/>
  </xdr:oneCellAnchor>
  <xdr:oneCellAnchor>
    <xdr:from>
      <xdr:col>73</xdr:col>
      <xdr:colOff>0</xdr:colOff>
      <xdr:row>8</xdr:row>
      <xdr:rowOff>0</xdr:rowOff>
    </xdr:from>
    <xdr:ext cx="200025" cy="200025"/>
    <xdr:pic>
      <xdr:nvPicPr>
        <xdr:cNvPr id="0" name="image33.png"/>
        <xdr:cNvPicPr preferRelativeResize="0"/>
      </xdr:nvPicPr>
      <xdr:blipFill>
        <a:blip cstate="print" r:embed="rId13"/>
        <a:stretch>
          <a:fillRect/>
        </a:stretch>
      </xdr:blipFill>
      <xdr:spPr>
        <a:prstGeom prst="rect">
          <a:avLst/>
        </a:prstGeom>
        <a:noFill/>
      </xdr:spPr>
    </xdr:pic>
    <xdr:clientData fLocksWithSheet="0"/>
  </xdr:oneCellAnchor>
  <xdr:oneCellAnchor>
    <xdr:from>
      <xdr:col>78</xdr:col>
      <xdr:colOff>0</xdr:colOff>
      <xdr:row>8</xdr:row>
      <xdr:rowOff>0</xdr:rowOff>
    </xdr:from>
    <xdr:ext cx="200025" cy="200025"/>
    <xdr:pic>
      <xdr:nvPicPr>
        <xdr:cNvPr id="0" name="image33.png"/>
        <xdr:cNvPicPr preferRelativeResize="0"/>
      </xdr:nvPicPr>
      <xdr:blipFill>
        <a:blip cstate="print" r:embed="rId13"/>
        <a:stretch>
          <a:fillRect/>
        </a:stretch>
      </xdr:blipFill>
      <xdr:spPr>
        <a:prstGeom prst="rect">
          <a:avLst/>
        </a:prstGeom>
        <a:noFill/>
      </xdr:spPr>
    </xdr:pic>
    <xdr:clientData fLocksWithSheet="0"/>
  </xdr:oneCellAnchor>
  <xdr:oneCellAnchor>
    <xdr:from>
      <xdr:col>83</xdr:col>
      <xdr:colOff>0</xdr:colOff>
      <xdr:row>8</xdr:row>
      <xdr:rowOff>0</xdr:rowOff>
    </xdr:from>
    <xdr:ext cx="200025" cy="200025"/>
    <xdr:pic>
      <xdr:nvPicPr>
        <xdr:cNvPr id="0" name="image17.png"/>
        <xdr:cNvPicPr preferRelativeResize="0"/>
      </xdr:nvPicPr>
      <xdr:blipFill>
        <a:blip cstate="print" r:embed="rId2"/>
        <a:stretch>
          <a:fillRect/>
        </a:stretch>
      </xdr:blipFill>
      <xdr:spPr>
        <a:prstGeom prst="rect">
          <a:avLst/>
        </a:prstGeom>
        <a:noFill/>
      </xdr:spPr>
    </xdr:pic>
    <xdr:clientData fLocksWithSheet="0"/>
  </xdr:oneCellAnchor>
  <xdr:oneCellAnchor>
    <xdr:from>
      <xdr:col>88</xdr:col>
      <xdr:colOff>0</xdr:colOff>
      <xdr:row>8</xdr:row>
      <xdr:rowOff>0</xdr:rowOff>
    </xdr:from>
    <xdr:ext cx="161925" cy="200025"/>
    <xdr:pic>
      <xdr:nvPicPr>
        <xdr:cNvPr id="0" name="image24.png"/>
        <xdr:cNvPicPr preferRelativeResize="0"/>
      </xdr:nvPicPr>
      <xdr:blipFill>
        <a:blip cstate="print" r:embed="rId14"/>
        <a:stretch>
          <a:fillRect/>
        </a:stretch>
      </xdr:blipFill>
      <xdr:spPr>
        <a:prstGeom prst="rect">
          <a:avLst/>
        </a:prstGeom>
        <a:noFill/>
      </xdr:spPr>
    </xdr:pic>
    <xdr:clientData fLocksWithSheet="0"/>
  </xdr:oneCellAnchor>
  <xdr:oneCellAnchor>
    <xdr:from>
      <xdr:col>93</xdr:col>
      <xdr:colOff>0</xdr:colOff>
      <xdr:row>8</xdr:row>
      <xdr:rowOff>0</xdr:rowOff>
    </xdr:from>
    <xdr:ext cx="161925" cy="200025"/>
    <xdr:pic>
      <xdr:nvPicPr>
        <xdr:cNvPr id="0" name="image24.png"/>
        <xdr:cNvPicPr preferRelativeResize="0"/>
      </xdr:nvPicPr>
      <xdr:blipFill>
        <a:blip cstate="print" r:embed="rId14"/>
        <a:stretch>
          <a:fillRect/>
        </a:stretch>
      </xdr:blipFill>
      <xdr:spPr>
        <a:prstGeom prst="rect">
          <a:avLst/>
        </a:prstGeom>
        <a:noFill/>
      </xdr:spPr>
    </xdr:pic>
    <xdr:clientData fLocksWithSheet="0"/>
  </xdr:oneCellAnchor>
  <xdr:oneCellAnchor>
    <xdr:from>
      <xdr:col>98</xdr:col>
      <xdr:colOff>0</xdr:colOff>
      <xdr:row>8</xdr:row>
      <xdr:rowOff>0</xdr:rowOff>
    </xdr:from>
    <xdr:ext cx="200025" cy="200025"/>
    <xdr:pic>
      <xdr:nvPicPr>
        <xdr:cNvPr id="0" name="image34.png"/>
        <xdr:cNvPicPr preferRelativeResize="0"/>
      </xdr:nvPicPr>
      <xdr:blipFill>
        <a:blip cstate="print" r:embed="rId15"/>
        <a:stretch>
          <a:fillRect/>
        </a:stretch>
      </xdr:blipFill>
      <xdr:spPr>
        <a:prstGeom prst="rect">
          <a:avLst/>
        </a:prstGeom>
        <a:noFill/>
      </xdr:spPr>
    </xdr:pic>
    <xdr:clientData fLocksWithSheet="0"/>
  </xdr:oneCellAnchor>
  <xdr:oneCellAnchor>
    <xdr:from>
      <xdr:col>103</xdr:col>
      <xdr:colOff>0</xdr:colOff>
      <xdr:row>8</xdr:row>
      <xdr:rowOff>0</xdr:rowOff>
    </xdr:from>
    <xdr:ext cx="200025" cy="200025"/>
    <xdr:pic>
      <xdr:nvPicPr>
        <xdr:cNvPr id="0" name="image29.png"/>
        <xdr:cNvPicPr preferRelativeResize="0"/>
      </xdr:nvPicPr>
      <xdr:blipFill>
        <a:blip cstate="print" r:embed="rId16"/>
        <a:stretch>
          <a:fillRect/>
        </a:stretch>
      </xdr:blipFill>
      <xdr:spPr>
        <a:prstGeom prst="rect">
          <a:avLst/>
        </a:prstGeom>
        <a:noFill/>
      </xdr:spPr>
    </xdr:pic>
    <xdr:clientData fLocksWithSheet="0"/>
  </xdr:oneCellAnchor>
  <xdr:oneCellAnchor>
    <xdr:from>
      <xdr:col>38</xdr:col>
      <xdr:colOff>0</xdr:colOff>
      <xdr:row>9</xdr:row>
      <xdr:rowOff>0</xdr:rowOff>
    </xdr:from>
    <xdr:ext cx="200025" cy="200025"/>
    <xdr:pic>
      <xdr:nvPicPr>
        <xdr:cNvPr id="0" name="image17.png"/>
        <xdr:cNvPicPr preferRelativeResize="0"/>
      </xdr:nvPicPr>
      <xdr:blipFill>
        <a:blip cstate="print" r:embed="rId2"/>
        <a:stretch>
          <a:fillRect/>
        </a:stretch>
      </xdr:blipFill>
      <xdr:spPr>
        <a:prstGeom prst="rect">
          <a:avLst/>
        </a:prstGeom>
        <a:noFill/>
      </xdr:spPr>
    </xdr:pic>
    <xdr:clientData fLocksWithSheet="0"/>
  </xdr:oneCellAnchor>
  <xdr:oneCellAnchor>
    <xdr:from>
      <xdr:col>43</xdr:col>
      <xdr:colOff>0</xdr:colOff>
      <xdr:row>9</xdr:row>
      <xdr:rowOff>0</xdr:rowOff>
    </xdr:from>
    <xdr:ext cx="200025" cy="200025"/>
    <xdr:pic>
      <xdr:nvPicPr>
        <xdr:cNvPr id="0" name="image17.png"/>
        <xdr:cNvPicPr preferRelativeResize="0"/>
      </xdr:nvPicPr>
      <xdr:blipFill>
        <a:blip cstate="print" r:embed="rId2"/>
        <a:stretch>
          <a:fillRect/>
        </a:stretch>
      </xdr:blipFill>
      <xdr:spPr>
        <a:prstGeom prst="rect">
          <a:avLst/>
        </a:prstGeom>
        <a:noFill/>
      </xdr:spPr>
    </xdr:pic>
    <xdr:clientData fLocksWithSheet="0"/>
  </xdr:oneCellAnchor>
  <xdr:oneCellAnchor>
    <xdr:from>
      <xdr:col>48</xdr:col>
      <xdr:colOff>0</xdr:colOff>
      <xdr:row>9</xdr:row>
      <xdr:rowOff>0</xdr:rowOff>
    </xdr:from>
    <xdr:ext cx="200025" cy="200025"/>
    <xdr:pic>
      <xdr:nvPicPr>
        <xdr:cNvPr id="0" name="image17.png"/>
        <xdr:cNvPicPr preferRelativeResize="0"/>
      </xdr:nvPicPr>
      <xdr:blipFill>
        <a:blip cstate="print" r:embed="rId2"/>
        <a:stretch>
          <a:fillRect/>
        </a:stretch>
      </xdr:blipFill>
      <xdr:spPr>
        <a:prstGeom prst="rect">
          <a:avLst/>
        </a:prstGeom>
        <a:noFill/>
      </xdr:spPr>
    </xdr:pic>
    <xdr:clientData fLocksWithSheet="0"/>
  </xdr:oneCellAnchor>
  <xdr:oneCellAnchor>
    <xdr:from>
      <xdr:col>53</xdr:col>
      <xdr:colOff>0</xdr:colOff>
      <xdr:row>9</xdr:row>
      <xdr:rowOff>0</xdr:rowOff>
    </xdr:from>
    <xdr:ext cx="200025" cy="200025"/>
    <xdr:pic>
      <xdr:nvPicPr>
        <xdr:cNvPr id="0" name="image17.png"/>
        <xdr:cNvPicPr preferRelativeResize="0"/>
      </xdr:nvPicPr>
      <xdr:blipFill>
        <a:blip cstate="print" r:embed="rId2"/>
        <a:stretch>
          <a:fillRect/>
        </a:stretch>
      </xdr:blipFill>
      <xdr:spPr>
        <a:prstGeom prst="rect">
          <a:avLst/>
        </a:prstGeom>
        <a:noFill/>
      </xdr:spPr>
    </xdr:pic>
    <xdr:clientData fLocksWithSheet="0"/>
  </xdr:oneCellAnchor>
  <xdr:oneCellAnchor>
    <xdr:from>
      <xdr:col>58</xdr:col>
      <xdr:colOff>0</xdr:colOff>
      <xdr:row>9</xdr:row>
      <xdr:rowOff>0</xdr:rowOff>
    </xdr:from>
    <xdr:ext cx="200025" cy="200025"/>
    <xdr:pic>
      <xdr:nvPicPr>
        <xdr:cNvPr id="0" name="image17.png"/>
        <xdr:cNvPicPr preferRelativeResize="0"/>
      </xdr:nvPicPr>
      <xdr:blipFill>
        <a:blip cstate="print" r:embed="rId2"/>
        <a:stretch>
          <a:fillRect/>
        </a:stretch>
      </xdr:blipFill>
      <xdr:spPr>
        <a:prstGeom prst="rect">
          <a:avLst/>
        </a:prstGeom>
        <a:noFill/>
      </xdr:spPr>
    </xdr:pic>
    <xdr:clientData fLocksWithSheet="0"/>
  </xdr:oneCellAnchor>
  <xdr:oneCellAnchor>
    <xdr:from>
      <xdr:col>63</xdr:col>
      <xdr:colOff>0</xdr:colOff>
      <xdr:row>9</xdr:row>
      <xdr:rowOff>0</xdr:rowOff>
    </xdr:from>
    <xdr:ext cx="200025" cy="200025"/>
    <xdr:pic>
      <xdr:nvPicPr>
        <xdr:cNvPr id="0" name="image33.png"/>
        <xdr:cNvPicPr preferRelativeResize="0"/>
      </xdr:nvPicPr>
      <xdr:blipFill>
        <a:blip cstate="print" r:embed="rId13"/>
        <a:stretch>
          <a:fillRect/>
        </a:stretch>
      </xdr:blipFill>
      <xdr:spPr>
        <a:prstGeom prst="rect">
          <a:avLst/>
        </a:prstGeom>
        <a:noFill/>
      </xdr:spPr>
    </xdr:pic>
    <xdr:clientData fLocksWithSheet="0"/>
  </xdr:oneCellAnchor>
  <xdr:oneCellAnchor>
    <xdr:from>
      <xdr:col>68</xdr:col>
      <xdr:colOff>0</xdr:colOff>
      <xdr:row>9</xdr:row>
      <xdr:rowOff>0</xdr:rowOff>
    </xdr:from>
    <xdr:ext cx="200025" cy="200025"/>
    <xdr:pic>
      <xdr:nvPicPr>
        <xdr:cNvPr id="0" name="image46.png"/>
        <xdr:cNvPicPr preferRelativeResize="0"/>
      </xdr:nvPicPr>
      <xdr:blipFill>
        <a:blip cstate="print" r:embed="rId17"/>
        <a:stretch>
          <a:fillRect/>
        </a:stretch>
      </xdr:blipFill>
      <xdr:spPr>
        <a:prstGeom prst="rect">
          <a:avLst/>
        </a:prstGeom>
        <a:noFill/>
      </xdr:spPr>
    </xdr:pic>
    <xdr:clientData fLocksWithSheet="0"/>
  </xdr:oneCellAnchor>
  <xdr:oneCellAnchor>
    <xdr:from>
      <xdr:col>73</xdr:col>
      <xdr:colOff>0</xdr:colOff>
      <xdr:row>9</xdr:row>
      <xdr:rowOff>0</xdr:rowOff>
    </xdr:from>
    <xdr:ext cx="200025" cy="200025"/>
    <xdr:pic>
      <xdr:nvPicPr>
        <xdr:cNvPr id="0" name="image46.png"/>
        <xdr:cNvPicPr preferRelativeResize="0"/>
      </xdr:nvPicPr>
      <xdr:blipFill>
        <a:blip cstate="print" r:embed="rId17"/>
        <a:stretch>
          <a:fillRect/>
        </a:stretch>
      </xdr:blipFill>
      <xdr:spPr>
        <a:prstGeom prst="rect">
          <a:avLst/>
        </a:prstGeom>
        <a:noFill/>
      </xdr:spPr>
    </xdr:pic>
    <xdr:clientData fLocksWithSheet="0"/>
  </xdr:oneCellAnchor>
  <xdr:oneCellAnchor>
    <xdr:from>
      <xdr:col>78</xdr:col>
      <xdr:colOff>0</xdr:colOff>
      <xdr:row>9</xdr:row>
      <xdr:rowOff>0</xdr:rowOff>
    </xdr:from>
    <xdr:ext cx="200025" cy="200025"/>
    <xdr:pic>
      <xdr:nvPicPr>
        <xdr:cNvPr id="0" name="image46.png"/>
        <xdr:cNvPicPr preferRelativeResize="0"/>
      </xdr:nvPicPr>
      <xdr:blipFill>
        <a:blip cstate="print" r:embed="rId17"/>
        <a:stretch>
          <a:fillRect/>
        </a:stretch>
      </xdr:blipFill>
      <xdr:spPr>
        <a:prstGeom prst="rect">
          <a:avLst/>
        </a:prstGeom>
        <a:noFill/>
      </xdr:spPr>
    </xdr:pic>
    <xdr:clientData fLocksWithSheet="0"/>
  </xdr:oneCellAnchor>
  <xdr:oneCellAnchor>
    <xdr:from>
      <xdr:col>83</xdr:col>
      <xdr:colOff>0</xdr:colOff>
      <xdr:row>9</xdr:row>
      <xdr:rowOff>0</xdr:rowOff>
    </xdr:from>
    <xdr:ext cx="161925" cy="200025"/>
    <xdr:pic>
      <xdr:nvPicPr>
        <xdr:cNvPr id="0" name="image24.png"/>
        <xdr:cNvPicPr preferRelativeResize="0"/>
      </xdr:nvPicPr>
      <xdr:blipFill>
        <a:blip cstate="print" r:embed="rId14"/>
        <a:stretch>
          <a:fillRect/>
        </a:stretch>
      </xdr:blipFill>
      <xdr:spPr>
        <a:prstGeom prst="rect">
          <a:avLst/>
        </a:prstGeom>
        <a:noFill/>
      </xdr:spPr>
    </xdr:pic>
    <xdr:clientData fLocksWithSheet="0"/>
  </xdr:oneCellAnchor>
  <xdr:oneCellAnchor>
    <xdr:from>
      <xdr:col>88</xdr:col>
      <xdr:colOff>0</xdr:colOff>
      <xdr:row>9</xdr:row>
      <xdr:rowOff>0</xdr:rowOff>
    </xdr:from>
    <xdr:ext cx="200025" cy="200025"/>
    <xdr:pic>
      <xdr:nvPicPr>
        <xdr:cNvPr id="0" name="image30.png"/>
        <xdr:cNvPicPr preferRelativeResize="0"/>
      </xdr:nvPicPr>
      <xdr:blipFill>
        <a:blip cstate="print" r:embed="rId18"/>
        <a:stretch>
          <a:fillRect/>
        </a:stretch>
      </xdr:blipFill>
      <xdr:spPr>
        <a:prstGeom prst="rect">
          <a:avLst/>
        </a:prstGeom>
        <a:noFill/>
      </xdr:spPr>
    </xdr:pic>
    <xdr:clientData fLocksWithSheet="0"/>
  </xdr:oneCellAnchor>
  <xdr:oneCellAnchor>
    <xdr:from>
      <xdr:col>93</xdr:col>
      <xdr:colOff>0</xdr:colOff>
      <xdr:row>9</xdr:row>
      <xdr:rowOff>0</xdr:rowOff>
    </xdr:from>
    <xdr:ext cx="200025" cy="200025"/>
    <xdr:pic>
      <xdr:nvPicPr>
        <xdr:cNvPr id="0" name="image30.png"/>
        <xdr:cNvPicPr preferRelativeResize="0"/>
      </xdr:nvPicPr>
      <xdr:blipFill>
        <a:blip cstate="print" r:embed="rId18"/>
        <a:stretch>
          <a:fillRect/>
        </a:stretch>
      </xdr:blipFill>
      <xdr:spPr>
        <a:prstGeom prst="rect">
          <a:avLst/>
        </a:prstGeom>
        <a:noFill/>
      </xdr:spPr>
    </xdr:pic>
    <xdr:clientData fLocksWithSheet="0"/>
  </xdr:oneCellAnchor>
  <xdr:oneCellAnchor>
    <xdr:from>
      <xdr:col>98</xdr:col>
      <xdr:colOff>0</xdr:colOff>
      <xdr:row>9</xdr:row>
      <xdr:rowOff>0</xdr:rowOff>
    </xdr:from>
    <xdr:ext cx="285750" cy="142875"/>
    <xdr:pic>
      <xdr:nvPicPr>
        <xdr:cNvPr id="0" name="image32.png"/>
        <xdr:cNvPicPr preferRelativeResize="0"/>
      </xdr:nvPicPr>
      <xdr:blipFill>
        <a:blip cstate="print" r:embed="rId19"/>
        <a:stretch>
          <a:fillRect/>
        </a:stretch>
      </xdr:blipFill>
      <xdr:spPr>
        <a:prstGeom prst="rect">
          <a:avLst/>
        </a:prstGeom>
        <a:noFill/>
      </xdr:spPr>
    </xdr:pic>
    <xdr:clientData fLocksWithSheet="0"/>
  </xdr:oneCellAnchor>
  <xdr:oneCellAnchor>
    <xdr:from>
      <xdr:col>103</xdr:col>
      <xdr:colOff>0</xdr:colOff>
      <xdr:row>9</xdr:row>
      <xdr:rowOff>0</xdr:rowOff>
    </xdr:from>
    <xdr:ext cx="200025" cy="200025"/>
    <xdr:pic>
      <xdr:nvPicPr>
        <xdr:cNvPr id="0" name="image31.png"/>
        <xdr:cNvPicPr preferRelativeResize="0"/>
      </xdr:nvPicPr>
      <xdr:blipFill>
        <a:blip cstate="print" r:embed="rId20"/>
        <a:stretch>
          <a:fillRect/>
        </a:stretch>
      </xdr:blipFill>
      <xdr:spPr>
        <a:prstGeom prst="rect">
          <a:avLst/>
        </a:prstGeom>
        <a:noFill/>
      </xdr:spPr>
    </xdr:pic>
    <xdr:clientData fLocksWithSheet="0"/>
  </xdr:oneCellAnchor>
  <xdr:oneCellAnchor>
    <xdr:from>
      <xdr:col>38</xdr:col>
      <xdr:colOff>0</xdr:colOff>
      <xdr:row>10</xdr:row>
      <xdr:rowOff>0</xdr:rowOff>
    </xdr:from>
    <xdr:ext cx="200025" cy="200025"/>
    <xdr:pic>
      <xdr:nvPicPr>
        <xdr:cNvPr id="0" name="image18.png"/>
        <xdr:cNvPicPr preferRelativeResize="0"/>
      </xdr:nvPicPr>
      <xdr:blipFill>
        <a:blip cstate="print" r:embed="rId3"/>
        <a:stretch>
          <a:fillRect/>
        </a:stretch>
      </xdr:blipFill>
      <xdr:spPr>
        <a:prstGeom prst="rect">
          <a:avLst/>
        </a:prstGeom>
        <a:noFill/>
      </xdr:spPr>
    </xdr:pic>
    <xdr:clientData fLocksWithSheet="0"/>
  </xdr:oneCellAnchor>
  <xdr:oneCellAnchor>
    <xdr:from>
      <xdr:col>43</xdr:col>
      <xdr:colOff>0</xdr:colOff>
      <xdr:row>10</xdr:row>
      <xdr:rowOff>0</xdr:rowOff>
    </xdr:from>
    <xdr:ext cx="200025" cy="200025"/>
    <xdr:pic>
      <xdr:nvPicPr>
        <xdr:cNvPr id="0" name="image18.png"/>
        <xdr:cNvPicPr preferRelativeResize="0"/>
      </xdr:nvPicPr>
      <xdr:blipFill>
        <a:blip cstate="print" r:embed="rId3"/>
        <a:stretch>
          <a:fillRect/>
        </a:stretch>
      </xdr:blipFill>
      <xdr:spPr>
        <a:prstGeom prst="rect">
          <a:avLst/>
        </a:prstGeom>
        <a:noFill/>
      </xdr:spPr>
    </xdr:pic>
    <xdr:clientData fLocksWithSheet="0"/>
  </xdr:oneCellAnchor>
  <xdr:oneCellAnchor>
    <xdr:from>
      <xdr:col>48</xdr:col>
      <xdr:colOff>0</xdr:colOff>
      <xdr:row>10</xdr:row>
      <xdr:rowOff>0</xdr:rowOff>
    </xdr:from>
    <xdr:ext cx="200025" cy="200025"/>
    <xdr:pic>
      <xdr:nvPicPr>
        <xdr:cNvPr id="0" name="image18.png"/>
        <xdr:cNvPicPr preferRelativeResize="0"/>
      </xdr:nvPicPr>
      <xdr:blipFill>
        <a:blip cstate="print" r:embed="rId3"/>
        <a:stretch>
          <a:fillRect/>
        </a:stretch>
      </xdr:blipFill>
      <xdr:spPr>
        <a:prstGeom prst="rect">
          <a:avLst/>
        </a:prstGeom>
        <a:noFill/>
      </xdr:spPr>
    </xdr:pic>
    <xdr:clientData fLocksWithSheet="0"/>
  </xdr:oneCellAnchor>
  <xdr:oneCellAnchor>
    <xdr:from>
      <xdr:col>53</xdr:col>
      <xdr:colOff>0</xdr:colOff>
      <xdr:row>10</xdr:row>
      <xdr:rowOff>0</xdr:rowOff>
    </xdr:from>
    <xdr:ext cx="200025" cy="200025"/>
    <xdr:pic>
      <xdr:nvPicPr>
        <xdr:cNvPr id="0" name="image18.png"/>
        <xdr:cNvPicPr preferRelativeResize="0"/>
      </xdr:nvPicPr>
      <xdr:blipFill>
        <a:blip cstate="print" r:embed="rId3"/>
        <a:stretch>
          <a:fillRect/>
        </a:stretch>
      </xdr:blipFill>
      <xdr:spPr>
        <a:prstGeom prst="rect">
          <a:avLst/>
        </a:prstGeom>
        <a:noFill/>
      </xdr:spPr>
    </xdr:pic>
    <xdr:clientData fLocksWithSheet="0"/>
  </xdr:oneCellAnchor>
  <xdr:oneCellAnchor>
    <xdr:from>
      <xdr:col>58</xdr:col>
      <xdr:colOff>0</xdr:colOff>
      <xdr:row>10</xdr:row>
      <xdr:rowOff>0</xdr:rowOff>
    </xdr:from>
    <xdr:ext cx="200025" cy="200025"/>
    <xdr:pic>
      <xdr:nvPicPr>
        <xdr:cNvPr id="0" name="image18.png"/>
        <xdr:cNvPicPr preferRelativeResize="0"/>
      </xdr:nvPicPr>
      <xdr:blipFill>
        <a:blip cstate="print" r:embed="rId3"/>
        <a:stretch>
          <a:fillRect/>
        </a:stretch>
      </xdr:blipFill>
      <xdr:spPr>
        <a:prstGeom prst="rect">
          <a:avLst/>
        </a:prstGeom>
        <a:noFill/>
      </xdr:spPr>
    </xdr:pic>
    <xdr:clientData fLocksWithSheet="0"/>
  </xdr:oneCellAnchor>
  <xdr:oneCellAnchor>
    <xdr:from>
      <xdr:col>63</xdr:col>
      <xdr:colOff>0</xdr:colOff>
      <xdr:row>10</xdr:row>
      <xdr:rowOff>0</xdr:rowOff>
    </xdr:from>
    <xdr:ext cx="200025" cy="200025"/>
    <xdr:pic>
      <xdr:nvPicPr>
        <xdr:cNvPr id="0" name="image46.png"/>
        <xdr:cNvPicPr preferRelativeResize="0"/>
      </xdr:nvPicPr>
      <xdr:blipFill>
        <a:blip cstate="print" r:embed="rId17"/>
        <a:stretch>
          <a:fillRect/>
        </a:stretch>
      </xdr:blipFill>
      <xdr:spPr>
        <a:prstGeom prst="rect">
          <a:avLst/>
        </a:prstGeom>
        <a:noFill/>
      </xdr:spPr>
    </xdr:pic>
    <xdr:clientData fLocksWithSheet="0"/>
  </xdr:oneCellAnchor>
  <xdr:oneCellAnchor>
    <xdr:from>
      <xdr:col>68</xdr:col>
      <xdr:colOff>0</xdr:colOff>
      <xdr:row>10</xdr:row>
      <xdr:rowOff>0</xdr:rowOff>
    </xdr:from>
    <xdr:ext cx="200025" cy="200025"/>
    <xdr:pic>
      <xdr:nvPicPr>
        <xdr:cNvPr id="0" name="image29.png"/>
        <xdr:cNvPicPr preferRelativeResize="0"/>
      </xdr:nvPicPr>
      <xdr:blipFill>
        <a:blip cstate="print" r:embed="rId16"/>
        <a:stretch>
          <a:fillRect/>
        </a:stretch>
      </xdr:blipFill>
      <xdr:spPr>
        <a:prstGeom prst="rect">
          <a:avLst/>
        </a:prstGeom>
        <a:noFill/>
      </xdr:spPr>
    </xdr:pic>
    <xdr:clientData fLocksWithSheet="0"/>
  </xdr:oneCellAnchor>
  <xdr:oneCellAnchor>
    <xdr:from>
      <xdr:col>73</xdr:col>
      <xdr:colOff>0</xdr:colOff>
      <xdr:row>10</xdr:row>
      <xdr:rowOff>0</xdr:rowOff>
    </xdr:from>
    <xdr:ext cx="200025" cy="200025"/>
    <xdr:pic>
      <xdr:nvPicPr>
        <xdr:cNvPr id="0" name="image29.png"/>
        <xdr:cNvPicPr preferRelativeResize="0"/>
      </xdr:nvPicPr>
      <xdr:blipFill>
        <a:blip cstate="print" r:embed="rId16"/>
        <a:stretch>
          <a:fillRect/>
        </a:stretch>
      </xdr:blipFill>
      <xdr:spPr>
        <a:prstGeom prst="rect">
          <a:avLst/>
        </a:prstGeom>
        <a:noFill/>
      </xdr:spPr>
    </xdr:pic>
    <xdr:clientData fLocksWithSheet="0"/>
  </xdr:oneCellAnchor>
  <xdr:oneCellAnchor>
    <xdr:from>
      <xdr:col>78</xdr:col>
      <xdr:colOff>0</xdr:colOff>
      <xdr:row>10</xdr:row>
      <xdr:rowOff>0</xdr:rowOff>
    </xdr:from>
    <xdr:ext cx="200025" cy="200025"/>
    <xdr:pic>
      <xdr:nvPicPr>
        <xdr:cNvPr id="0" name="image29.png"/>
        <xdr:cNvPicPr preferRelativeResize="0"/>
      </xdr:nvPicPr>
      <xdr:blipFill>
        <a:blip cstate="print" r:embed="rId16"/>
        <a:stretch>
          <a:fillRect/>
        </a:stretch>
      </xdr:blipFill>
      <xdr:spPr>
        <a:prstGeom prst="rect">
          <a:avLst/>
        </a:prstGeom>
        <a:noFill/>
      </xdr:spPr>
    </xdr:pic>
    <xdr:clientData fLocksWithSheet="0"/>
  </xdr:oneCellAnchor>
  <xdr:oneCellAnchor>
    <xdr:from>
      <xdr:col>83</xdr:col>
      <xdr:colOff>0</xdr:colOff>
      <xdr:row>10</xdr:row>
      <xdr:rowOff>0</xdr:rowOff>
    </xdr:from>
    <xdr:ext cx="200025" cy="200025"/>
    <xdr:pic>
      <xdr:nvPicPr>
        <xdr:cNvPr id="0" name="image30.png"/>
        <xdr:cNvPicPr preferRelativeResize="0"/>
      </xdr:nvPicPr>
      <xdr:blipFill>
        <a:blip cstate="print" r:embed="rId18"/>
        <a:stretch>
          <a:fillRect/>
        </a:stretch>
      </xdr:blipFill>
      <xdr:spPr>
        <a:prstGeom prst="rect">
          <a:avLst/>
        </a:prstGeom>
        <a:noFill/>
      </xdr:spPr>
    </xdr:pic>
    <xdr:clientData fLocksWithSheet="0"/>
  </xdr:oneCellAnchor>
  <xdr:oneCellAnchor>
    <xdr:from>
      <xdr:col>88</xdr:col>
      <xdr:colOff>0</xdr:colOff>
      <xdr:row>10</xdr:row>
      <xdr:rowOff>0</xdr:rowOff>
    </xdr:from>
    <xdr:ext cx="200025" cy="200025"/>
    <xdr:pic>
      <xdr:nvPicPr>
        <xdr:cNvPr id="0" name="image35.png"/>
        <xdr:cNvPicPr preferRelativeResize="0"/>
      </xdr:nvPicPr>
      <xdr:blipFill>
        <a:blip cstate="print" r:embed="rId21"/>
        <a:stretch>
          <a:fillRect/>
        </a:stretch>
      </xdr:blipFill>
      <xdr:spPr>
        <a:prstGeom prst="rect">
          <a:avLst/>
        </a:prstGeom>
        <a:noFill/>
      </xdr:spPr>
    </xdr:pic>
    <xdr:clientData fLocksWithSheet="0"/>
  </xdr:oneCellAnchor>
  <xdr:oneCellAnchor>
    <xdr:from>
      <xdr:col>93</xdr:col>
      <xdr:colOff>0</xdr:colOff>
      <xdr:row>10</xdr:row>
      <xdr:rowOff>0</xdr:rowOff>
    </xdr:from>
    <xdr:ext cx="200025" cy="200025"/>
    <xdr:pic>
      <xdr:nvPicPr>
        <xdr:cNvPr id="0" name="image35.png"/>
        <xdr:cNvPicPr preferRelativeResize="0"/>
      </xdr:nvPicPr>
      <xdr:blipFill>
        <a:blip cstate="print" r:embed="rId21"/>
        <a:stretch>
          <a:fillRect/>
        </a:stretch>
      </xdr:blipFill>
      <xdr:spPr>
        <a:prstGeom prst="rect">
          <a:avLst/>
        </a:prstGeom>
        <a:noFill/>
      </xdr:spPr>
    </xdr:pic>
    <xdr:clientData fLocksWithSheet="0"/>
  </xdr:oneCellAnchor>
  <xdr:oneCellAnchor>
    <xdr:from>
      <xdr:col>98</xdr:col>
      <xdr:colOff>0</xdr:colOff>
      <xdr:row>10</xdr:row>
      <xdr:rowOff>0</xdr:rowOff>
    </xdr:from>
    <xdr:ext cx="285750" cy="152400"/>
    <xdr:pic>
      <xdr:nvPicPr>
        <xdr:cNvPr id="0" name="image45.png"/>
        <xdr:cNvPicPr preferRelativeResize="0"/>
      </xdr:nvPicPr>
      <xdr:blipFill>
        <a:blip cstate="print" r:embed="rId22"/>
        <a:stretch>
          <a:fillRect/>
        </a:stretch>
      </xdr:blipFill>
      <xdr:spPr>
        <a:prstGeom prst="rect">
          <a:avLst/>
        </a:prstGeom>
        <a:noFill/>
      </xdr:spPr>
    </xdr:pic>
    <xdr:clientData fLocksWithSheet="0"/>
  </xdr:oneCellAnchor>
  <xdr:oneCellAnchor>
    <xdr:from>
      <xdr:col>103</xdr:col>
      <xdr:colOff>0</xdr:colOff>
      <xdr:row>10</xdr:row>
      <xdr:rowOff>0</xdr:rowOff>
    </xdr:from>
    <xdr:ext cx="200025" cy="200025"/>
    <xdr:pic>
      <xdr:nvPicPr>
        <xdr:cNvPr id="0" name="image41.png"/>
        <xdr:cNvPicPr preferRelativeResize="0"/>
      </xdr:nvPicPr>
      <xdr:blipFill>
        <a:blip cstate="print" r:embed="rId23"/>
        <a:stretch>
          <a:fillRect/>
        </a:stretch>
      </xdr:blipFill>
      <xdr:spPr>
        <a:prstGeom prst="rect">
          <a:avLst/>
        </a:prstGeom>
        <a:noFill/>
      </xdr:spPr>
    </xdr:pic>
    <xdr:clientData fLocksWithSheet="0"/>
  </xdr:oneCellAnchor>
  <xdr:oneCellAnchor>
    <xdr:from>
      <xdr:col>38</xdr:col>
      <xdr:colOff>0</xdr:colOff>
      <xdr:row>11</xdr:row>
      <xdr:rowOff>0</xdr:rowOff>
    </xdr:from>
    <xdr:ext cx="200025" cy="200025"/>
    <xdr:pic>
      <xdr:nvPicPr>
        <xdr:cNvPr id="0" name="image21.png"/>
        <xdr:cNvPicPr preferRelativeResize="0"/>
      </xdr:nvPicPr>
      <xdr:blipFill>
        <a:blip cstate="print" r:embed="rId6"/>
        <a:stretch>
          <a:fillRect/>
        </a:stretch>
      </xdr:blipFill>
      <xdr:spPr>
        <a:prstGeom prst="rect">
          <a:avLst/>
        </a:prstGeom>
        <a:noFill/>
      </xdr:spPr>
    </xdr:pic>
    <xdr:clientData fLocksWithSheet="0"/>
  </xdr:oneCellAnchor>
  <xdr:oneCellAnchor>
    <xdr:from>
      <xdr:col>43</xdr:col>
      <xdr:colOff>0</xdr:colOff>
      <xdr:row>11</xdr:row>
      <xdr:rowOff>0</xdr:rowOff>
    </xdr:from>
    <xdr:ext cx="200025" cy="200025"/>
    <xdr:pic>
      <xdr:nvPicPr>
        <xdr:cNvPr id="0" name="image21.png"/>
        <xdr:cNvPicPr preferRelativeResize="0"/>
      </xdr:nvPicPr>
      <xdr:blipFill>
        <a:blip cstate="print" r:embed="rId6"/>
        <a:stretch>
          <a:fillRect/>
        </a:stretch>
      </xdr:blipFill>
      <xdr:spPr>
        <a:prstGeom prst="rect">
          <a:avLst/>
        </a:prstGeom>
        <a:noFill/>
      </xdr:spPr>
    </xdr:pic>
    <xdr:clientData fLocksWithSheet="0"/>
  </xdr:oneCellAnchor>
  <xdr:oneCellAnchor>
    <xdr:from>
      <xdr:col>48</xdr:col>
      <xdr:colOff>0</xdr:colOff>
      <xdr:row>11</xdr:row>
      <xdr:rowOff>0</xdr:rowOff>
    </xdr:from>
    <xdr:ext cx="200025" cy="200025"/>
    <xdr:pic>
      <xdr:nvPicPr>
        <xdr:cNvPr id="0" name="image21.png"/>
        <xdr:cNvPicPr preferRelativeResize="0"/>
      </xdr:nvPicPr>
      <xdr:blipFill>
        <a:blip cstate="print" r:embed="rId6"/>
        <a:stretch>
          <a:fillRect/>
        </a:stretch>
      </xdr:blipFill>
      <xdr:spPr>
        <a:prstGeom prst="rect">
          <a:avLst/>
        </a:prstGeom>
        <a:noFill/>
      </xdr:spPr>
    </xdr:pic>
    <xdr:clientData fLocksWithSheet="0"/>
  </xdr:oneCellAnchor>
  <xdr:oneCellAnchor>
    <xdr:from>
      <xdr:col>53</xdr:col>
      <xdr:colOff>0</xdr:colOff>
      <xdr:row>11</xdr:row>
      <xdr:rowOff>0</xdr:rowOff>
    </xdr:from>
    <xdr:ext cx="200025" cy="200025"/>
    <xdr:pic>
      <xdr:nvPicPr>
        <xdr:cNvPr id="0" name="image21.png"/>
        <xdr:cNvPicPr preferRelativeResize="0"/>
      </xdr:nvPicPr>
      <xdr:blipFill>
        <a:blip cstate="print" r:embed="rId6"/>
        <a:stretch>
          <a:fillRect/>
        </a:stretch>
      </xdr:blipFill>
      <xdr:spPr>
        <a:prstGeom prst="rect">
          <a:avLst/>
        </a:prstGeom>
        <a:noFill/>
      </xdr:spPr>
    </xdr:pic>
    <xdr:clientData fLocksWithSheet="0"/>
  </xdr:oneCellAnchor>
  <xdr:oneCellAnchor>
    <xdr:from>
      <xdr:col>58</xdr:col>
      <xdr:colOff>0</xdr:colOff>
      <xdr:row>11</xdr:row>
      <xdr:rowOff>0</xdr:rowOff>
    </xdr:from>
    <xdr:ext cx="200025" cy="200025"/>
    <xdr:pic>
      <xdr:nvPicPr>
        <xdr:cNvPr id="0" name="image21.png"/>
        <xdr:cNvPicPr preferRelativeResize="0"/>
      </xdr:nvPicPr>
      <xdr:blipFill>
        <a:blip cstate="print" r:embed="rId6"/>
        <a:stretch>
          <a:fillRect/>
        </a:stretch>
      </xdr:blipFill>
      <xdr:spPr>
        <a:prstGeom prst="rect">
          <a:avLst/>
        </a:prstGeom>
        <a:noFill/>
      </xdr:spPr>
    </xdr:pic>
    <xdr:clientData fLocksWithSheet="0"/>
  </xdr:oneCellAnchor>
  <xdr:oneCellAnchor>
    <xdr:from>
      <xdr:col>63</xdr:col>
      <xdr:colOff>0</xdr:colOff>
      <xdr:row>11</xdr:row>
      <xdr:rowOff>0</xdr:rowOff>
    </xdr:from>
    <xdr:ext cx="200025" cy="200025"/>
    <xdr:pic>
      <xdr:nvPicPr>
        <xdr:cNvPr id="0" name="image28.png"/>
        <xdr:cNvPicPr preferRelativeResize="0"/>
      </xdr:nvPicPr>
      <xdr:blipFill>
        <a:blip cstate="print" r:embed="rId12"/>
        <a:stretch>
          <a:fillRect/>
        </a:stretch>
      </xdr:blipFill>
      <xdr:spPr>
        <a:prstGeom prst="rect">
          <a:avLst/>
        </a:prstGeom>
        <a:noFill/>
      </xdr:spPr>
    </xdr:pic>
    <xdr:clientData fLocksWithSheet="0"/>
  </xdr:oneCellAnchor>
  <xdr:oneCellAnchor>
    <xdr:from>
      <xdr:col>68</xdr:col>
      <xdr:colOff>0</xdr:colOff>
      <xdr:row>11</xdr:row>
      <xdr:rowOff>0</xdr:rowOff>
    </xdr:from>
    <xdr:ext cx="200025" cy="200025"/>
    <xdr:pic>
      <xdr:nvPicPr>
        <xdr:cNvPr id="0" name="image37.png"/>
        <xdr:cNvPicPr preferRelativeResize="0"/>
      </xdr:nvPicPr>
      <xdr:blipFill>
        <a:blip cstate="print" r:embed="rId24"/>
        <a:stretch>
          <a:fillRect/>
        </a:stretch>
      </xdr:blipFill>
      <xdr:spPr>
        <a:prstGeom prst="rect">
          <a:avLst/>
        </a:prstGeom>
        <a:noFill/>
      </xdr:spPr>
    </xdr:pic>
    <xdr:clientData fLocksWithSheet="0"/>
  </xdr:oneCellAnchor>
  <xdr:oneCellAnchor>
    <xdr:from>
      <xdr:col>73</xdr:col>
      <xdr:colOff>0</xdr:colOff>
      <xdr:row>11</xdr:row>
      <xdr:rowOff>0</xdr:rowOff>
    </xdr:from>
    <xdr:ext cx="200025" cy="200025"/>
    <xdr:pic>
      <xdr:nvPicPr>
        <xdr:cNvPr id="0" name="image37.png"/>
        <xdr:cNvPicPr preferRelativeResize="0"/>
      </xdr:nvPicPr>
      <xdr:blipFill>
        <a:blip cstate="print" r:embed="rId24"/>
        <a:stretch>
          <a:fillRect/>
        </a:stretch>
      </xdr:blipFill>
      <xdr:spPr>
        <a:prstGeom prst="rect">
          <a:avLst/>
        </a:prstGeom>
        <a:noFill/>
      </xdr:spPr>
    </xdr:pic>
    <xdr:clientData fLocksWithSheet="0"/>
  </xdr:oneCellAnchor>
  <xdr:oneCellAnchor>
    <xdr:from>
      <xdr:col>78</xdr:col>
      <xdr:colOff>0</xdr:colOff>
      <xdr:row>11</xdr:row>
      <xdr:rowOff>0</xdr:rowOff>
    </xdr:from>
    <xdr:ext cx="200025" cy="200025"/>
    <xdr:pic>
      <xdr:nvPicPr>
        <xdr:cNvPr id="0" name="image38.png"/>
        <xdr:cNvPicPr preferRelativeResize="0"/>
      </xdr:nvPicPr>
      <xdr:blipFill>
        <a:blip cstate="print" r:embed="rId25"/>
        <a:stretch>
          <a:fillRect/>
        </a:stretch>
      </xdr:blipFill>
      <xdr:spPr>
        <a:prstGeom prst="rect">
          <a:avLst/>
        </a:prstGeom>
        <a:noFill/>
      </xdr:spPr>
    </xdr:pic>
    <xdr:clientData fLocksWithSheet="0"/>
  </xdr:oneCellAnchor>
  <xdr:oneCellAnchor>
    <xdr:from>
      <xdr:col>83</xdr:col>
      <xdr:colOff>0</xdr:colOff>
      <xdr:row>11</xdr:row>
      <xdr:rowOff>0</xdr:rowOff>
    </xdr:from>
    <xdr:ext cx="200025" cy="200025"/>
    <xdr:pic>
      <xdr:nvPicPr>
        <xdr:cNvPr id="0" name="image35.png"/>
        <xdr:cNvPicPr preferRelativeResize="0"/>
      </xdr:nvPicPr>
      <xdr:blipFill>
        <a:blip cstate="print" r:embed="rId21"/>
        <a:stretch>
          <a:fillRect/>
        </a:stretch>
      </xdr:blipFill>
      <xdr:spPr>
        <a:prstGeom prst="rect">
          <a:avLst/>
        </a:prstGeom>
        <a:noFill/>
      </xdr:spPr>
    </xdr:pic>
    <xdr:clientData fLocksWithSheet="0"/>
  </xdr:oneCellAnchor>
  <xdr:oneCellAnchor>
    <xdr:from>
      <xdr:col>88</xdr:col>
      <xdr:colOff>0</xdr:colOff>
      <xdr:row>11</xdr:row>
      <xdr:rowOff>0</xdr:rowOff>
    </xdr:from>
    <xdr:ext cx="200025" cy="200025"/>
    <xdr:pic>
      <xdr:nvPicPr>
        <xdr:cNvPr id="0" name="image39.png"/>
        <xdr:cNvPicPr preferRelativeResize="0"/>
      </xdr:nvPicPr>
      <xdr:blipFill>
        <a:blip cstate="print" r:embed="rId26"/>
        <a:stretch>
          <a:fillRect/>
        </a:stretch>
      </xdr:blipFill>
      <xdr:spPr>
        <a:prstGeom prst="rect">
          <a:avLst/>
        </a:prstGeom>
        <a:noFill/>
      </xdr:spPr>
    </xdr:pic>
    <xdr:clientData fLocksWithSheet="0"/>
  </xdr:oneCellAnchor>
  <xdr:oneCellAnchor>
    <xdr:from>
      <xdr:col>93</xdr:col>
      <xdr:colOff>0</xdr:colOff>
      <xdr:row>11</xdr:row>
      <xdr:rowOff>0</xdr:rowOff>
    </xdr:from>
    <xdr:ext cx="200025" cy="200025"/>
    <xdr:pic>
      <xdr:nvPicPr>
        <xdr:cNvPr id="0" name="image39.png"/>
        <xdr:cNvPicPr preferRelativeResize="0"/>
      </xdr:nvPicPr>
      <xdr:blipFill>
        <a:blip cstate="print" r:embed="rId26"/>
        <a:stretch>
          <a:fillRect/>
        </a:stretch>
      </xdr:blipFill>
      <xdr:spPr>
        <a:prstGeom prst="rect">
          <a:avLst/>
        </a:prstGeom>
        <a:noFill/>
      </xdr:spPr>
    </xdr:pic>
    <xdr:clientData fLocksWithSheet="0"/>
  </xdr:oneCellAnchor>
  <xdr:oneCellAnchor>
    <xdr:from>
      <xdr:col>98</xdr:col>
      <xdr:colOff>0</xdr:colOff>
      <xdr:row>11</xdr:row>
      <xdr:rowOff>0</xdr:rowOff>
    </xdr:from>
    <xdr:ext cx="200025" cy="200025"/>
    <xdr:pic>
      <xdr:nvPicPr>
        <xdr:cNvPr id="0" name="image40.png"/>
        <xdr:cNvPicPr preferRelativeResize="0"/>
      </xdr:nvPicPr>
      <xdr:blipFill>
        <a:blip cstate="print" r:embed="rId27"/>
        <a:stretch>
          <a:fillRect/>
        </a:stretch>
      </xdr:blipFill>
      <xdr:spPr>
        <a:prstGeom prst="rect">
          <a:avLst/>
        </a:prstGeom>
        <a:noFill/>
      </xdr:spPr>
    </xdr:pic>
    <xdr:clientData fLocksWithSheet="0"/>
  </xdr:oneCellAnchor>
  <xdr:oneCellAnchor>
    <xdr:from>
      <xdr:col>103</xdr:col>
      <xdr:colOff>0</xdr:colOff>
      <xdr:row>11</xdr:row>
      <xdr:rowOff>0</xdr:rowOff>
    </xdr:from>
    <xdr:ext cx="200025" cy="200025"/>
    <xdr:pic>
      <xdr:nvPicPr>
        <xdr:cNvPr id="0" name="image43.png"/>
        <xdr:cNvPicPr preferRelativeResize="0"/>
      </xdr:nvPicPr>
      <xdr:blipFill>
        <a:blip cstate="print" r:embed="rId28"/>
        <a:stretch>
          <a:fillRect/>
        </a:stretch>
      </xdr:blipFill>
      <xdr:spPr>
        <a:prstGeom prst="rect">
          <a:avLst/>
        </a:prstGeom>
        <a:noFill/>
      </xdr:spPr>
    </xdr:pic>
    <xdr:clientData fLocksWithSheet="0"/>
  </xdr:oneCellAnchor>
  <xdr:oneCellAnchor>
    <xdr:from>
      <xdr:col>38</xdr:col>
      <xdr:colOff>0</xdr:colOff>
      <xdr:row>12</xdr:row>
      <xdr:rowOff>0</xdr:rowOff>
    </xdr:from>
    <xdr:ext cx="247650" cy="200025"/>
    <xdr:pic>
      <xdr:nvPicPr>
        <xdr:cNvPr id="0" name="image25.png"/>
        <xdr:cNvPicPr preferRelativeResize="0"/>
      </xdr:nvPicPr>
      <xdr:blipFill>
        <a:blip cstate="print" r:embed="rId10"/>
        <a:stretch>
          <a:fillRect/>
        </a:stretch>
      </xdr:blipFill>
      <xdr:spPr>
        <a:prstGeom prst="rect">
          <a:avLst/>
        </a:prstGeom>
        <a:noFill/>
      </xdr:spPr>
    </xdr:pic>
    <xdr:clientData fLocksWithSheet="0"/>
  </xdr:oneCellAnchor>
  <xdr:oneCellAnchor>
    <xdr:from>
      <xdr:col>43</xdr:col>
      <xdr:colOff>0</xdr:colOff>
      <xdr:row>12</xdr:row>
      <xdr:rowOff>0</xdr:rowOff>
    </xdr:from>
    <xdr:ext cx="247650" cy="200025"/>
    <xdr:pic>
      <xdr:nvPicPr>
        <xdr:cNvPr id="0" name="image25.png"/>
        <xdr:cNvPicPr preferRelativeResize="0"/>
      </xdr:nvPicPr>
      <xdr:blipFill>
        <a:blip cstate="print" r:embed="rId10"/>
        <a:stretch>
          <a:fillRect/>
        </a:stretch>
      </xdr:blipFill>
      <xdr:spPr>
        <a:prstGeom prst="rect">
          <a:avLst/>
        </a:prstGeom>
        <a:noFill/>
      </xdr:spPr>
    </xdr:pic>
    <xdr:clientData fLocksWithSheet="0"/>
  </xdr:oneCellAnchor>
  <xdr:oneCellAnchor>
    <xdr:from>
      <xdr:col>48</xdr:col>
      <xdr:colOff>0</xdr:colOff>
      <xdr:row>12</xdr:row>
      <xdr:rowOff>0</xdr:rowOff>
    </xdr:from>
    <xdr:ext cx="247650" cy="200025"/>
    <xdr:pic>
      <xdr:nvPicPr>
        <xdr:cNvPr id="0" name="image25.png"/>
        <xdr:cNvPicPr preferRelativeResize="0"/>
      </xdr:nvPicPr>
      <xdr:blipFill>
        <a:blip cstate="print" r:embed="rId10"/>
        <a:stretch>
          <a:fillRect/>
        </a:stretch>
      </xdr:blipFill>
      <xdr:spPr>
        <a:prstGeom prst="rect">
          <a:avLst/>
        </a:prstGeom>
        <a:noFill/>
      </xdr:spPr>
    </xdr:pic>
    <xdr:clientData fLocksWithSheet="0"/>
  </xdr:oneCellAnchor>
  <xdr:oneCellAnchor>
    <xdr:from>
      <xdr:col>53</xdr:col>
      <xdr:colOff>0</xdr:colOff>
      <xdr:row>12</xdr:row>
      <xdr:rowOff>0</xdr:rowOff>
    </xdr:from>
    <xdr:ext cx="247650" cy="200025"/>
    <xdr:pic>
      <xdr:nvPicPr>
        <xdr:cNvPr id="0" name="image25.png"/>
        <xdr:cNvPicPr preferRelativeResize="0"/>
      </xdr:nvPicPr>
      <xdr:blipFill>
        <a:blip cstate="print" r:embed="rId10"/>
        <a:stretch>
          <a:fillRect/>
        </a:stretch>
      </xdr:blipFill>
      <xdr:spPr>
        <a:prstGeom prst="rect">
          <a:avLst/>
        </a:prstGeom>
        <a:noFill/>
      </xdr:spPr>
    </xdr:pic>
    <xdr:clientData fLocksWithSheet="0"/>
  </xdr:oneCellAnchor>
  <xdr:oneCellAnchor>
    <xdr:from>
      <xdr:col>58</xdr:col>
      <xdr:colOff>0</xdr:colOff>
      <xdr:row>12</xdr:row>
      <xdr:rowOff>0</xdr:rowOff>
    </xdr:from>
    <xdr:ext cx="247650" cy="200025"/>
    <xdr:pic>
      <xdr:nvPicPr>
        <xdr:cNvPr id="0" name="image25.png"/>
        <xdr:cNvPicPr preferRelativeResize="0"/>
      </xdr:nvPicPr>
      <xdr:blipFill>
        <a:blip cstate="print" r:embed="rId10"/>
        <a:stretch>
          <a:fillRect/>
        </a:stretch>
      </xdr:blipFill>
      <xdr:spPr>
        <a:prstGeom prst="rect">
          <a:avLst/>
        </a:prstGeom>
        <a:noFill/>
      </xdr:spPr>
    </xdr:pic>
    <xdr:clientData fLocksWithSheet="0"/>
  </xdr:oneCellAnchor>
  <xdr:oneCellAnchor>
    <xdr:from>
      <xdr:col>63</xdr:col>
      <xdr:colOff>0</xdr:colOff>
      <xdr:row>12</xdr:row>
      <xdr:rowOff>0</xdr:rowOff>
    </xdr:from>
    <xdr:ext cx="200025" cy="200025"/>
    <xdr:pic>
      <xdr:nvPicPr>
        <xdr:cNvPr id="0" name="image29.png"/>
        <xdr:cNvPicPr preferRelativeResize="0"/>
      </xdr:nvPicPr>
      <xdr:blipFill>
        <a:blip cstate="print" r:embed="rId16"/>
        <a:stretch>
          <a:fillRect/>
        </a:stretch>
      </xdr:blipFill>
      <xdr:spPr>
        <a:prstGeom prst="rect">
          <a:avLst/>
        </a:prstGeom>
        <a:noFill/>
      </xdr:spPr>
    </xdr:pic>
    <xdr:clientData fLocksWithSheet="0"/>
  </xdr:oneCellAnchor>
  <xdr:oneCellAnchor>
    <xdr:from>
      <xdr:col>68</xdr:col>
      <xdr:colOff>0</xdr:colOff>
      <xdr:row>12</xdr:row>
      <xdr:rowOff>0</xdr:rowOff>
    </xdr:from>
    <xdr:ext cx="200025" cy="200025"/>
    <xdr:pic>
      <xdr:nvPicPr>
        <xdr:cNvPr id="0" name="image36.png"/>
        <xdr:cNvPicPr preferRelativeResize="0"/>
      </xdr:nvPicPr>
      <xdr:blipFill>
        <a:blip cstate="print" r:embed="rId29"/>
        <a:stretch>
          <a:fillRect/>
        </a:stretch>
      </xdr:blipFill>
      <xdr:spPr>
        <a:prstGeom prst="rect">
          <a:avLst/>
        </a:prstGeom>
        <a:noFill/>
      </xdr:spPr>
    </xdr:pic>
    <xdr:clientData fLocksWithSheet="0"/>
  </xdr:oneCellAnchor>
  <xdr:oneCellAnchor>
    <xdr:from>
      <xdr:col>73</xdr:col>
      <xdr:colOff>0</xdr:colOff>
      <xdr:row>12</xdr:row>
      <xdr:rowOff>0</xdr:rowOff>
    </xdr:from>
    <xdr:ext cx="200025" cy="200025"/>
    <xdr:pic>
      <xdr:nvPicPr>
        <xdr:cNvPr id="0" name="image36.png"/>
        <xdr:cNvPicPr preferRelativeResize="0"/>
      </xdr:nvPicPr>
      <xdr:blipFill>
        <a:blip cstate="print" r:embed="rId29"/>
        <a:stretch>
          <a:fillRect/>
        </a:stretch>
      </xdr:blipFill>
      <xdr:spPr>
        <a:prstGeom prst="rect">
          <a:avLst/>
        </a:prstGeom>
        <a:noFill/>
      </xdr:spPr>
    </xdr:pic>
    <xdr:clientData fLocksWithSheet="0"/>
  </xdr:oneCellAnchor>
  <xdr:oneCellAnchor>
    <xdr:from>
      <xdr:col>78</xdr:col>
      <xdr:colOff>0</xdr:colOff>
      <xdr:row>12</xdr:row>
      <xdr:rowOff>0</xdr:rowOff>
    </xdr:from>
    <xdr:ext cx="200025" cy="200025"/>
    <xdr:pic>
      <xdr:nvPicPr>
        <xdr:cNvPr id="0" name="image37.png"/>
        <xdr:cNvPicPr preferRelativeResize="0"/>
      </xdr:nvPicPr>
      <xdr:blipFill>
        <a:blip cstate="print" r:embed="rId24"/>
        <a:stretch>
          <a:fillRect/>
        </a:stretch>
      </xdr:blipFill>
      <xdr:spPr>
        <a:prstGeom prst="rect">
          <a:avLst/>
        </a:prstGeom>
        <a:noFill/>
      </xdr:spPr>
    </xdr:pic>
    <xdr:clientData fLocksWithSheet="0"/>
  </xdr:oneCellAnchor>
  <xdr:oneCellAnchor>
    <xdr:from>
      <xdr:col>83</xdr:col>
      <xdr:colOff>0</xdr:colOff>
      <xdr:row>12</xdr:row>
      <xdr:rowOff>0</xdr:rowOff>
    </xdr:from>
    <xdr:ext cx="200025" cy="200025"/>
    <xdr:pic>
      <xdr:nvPicPr>
        <xdr:cNvPr id="0" name="image39.png"/>
        <xdr:cNvPicPr preferRelativeResize="0"/>
      </xdr:nvPicPr>
      <xdr:blipFill>
        <a:blip cstate="print" r:embed="rId26"/>
        <a:stretch>
          <a:fillRect/>
        </a:stretch>
      </xdr:blipFill>
      <xdr:spPr>
        <a:prstGeom prst="rect">
          <a:avLst/>
        </a:prstGeom>
        <a:noFill/>
      </xdr:spPr>
    </xdr:pic>
    <xdr:clientData fLocksWithSheet="0"/>
  </xdr:oneCellAnchor>
  <xdr:oneCellAnchor>
    <xdr:from>
      <xdr:col>88</xdr:col>
      <xdr:colOff>0</xdr:colOff>
      <xdr:row>12</xdr:row>
      <xdr:rowOff>0</xdr:rowOff>
    </xdr:from>
    <xdr:ext cx="200025" cy="200025"/>
    <xdr:pic>
      <xdr:nvPicPr>
        <xdr:cNvPr id="0" name="image49.png"/>
        <xdr:cNvPicPr preferRelativeResize="0"/>
      </xdr:nvPicPr>
      <xdr:blipFill>
        <a:blip cstate="print" r:embed="rId30"/>
        <a:stretch>
          <a:fillRect/>
        </a:stretch>
      </xdr:blipFill>
      <xdr:spPr>
        <a:prstGeom prst="rect">
          <a:avLst/>
        </a:prstGeom>
        <a:noFill/>
      </xdr:spPr>
    </xdr:pic>
    <xdr:clientData fLocksWithSheet="0"/>
  </xdr:oneCellAnchor>
  <xdr:oneCellAnchor>
    <xdr:from>
      <xdr:col>93</xdr:col>
      <xdr:colOff>0</xdr:colOff>
      <xdr:row>12</xdr:row>
      <xdr:rowOff>0</xdr:rowOff>
    </xdr:from>
    <xdr:ext cx="200025" cy="200025"/>
    <xdr:pic>
      <xdr:nvPicPr>
        <xdr:cNvPr id="0" name="image49.png"/>
        <xdr:cNvPicPr preferRelativeResize="0"/>
      </xdr:nvPicPr>
      <xdr:blipFill>
        <a:blip cstate="print" r:embed="rId30"/>
        <a:stretch>
          <a:fillRect/>
        </a:stretch>
      </xdr:blipFill>
      <xdr:spPr>
        <a:prstGeom prst="rect">
          <a:avLst/>
        </a:prstGeom>
        <a:noFill/>
      </xdr:spPr>
    </xdr:pic>
    <xdr:clientData fLocksWithSheet="0"/>
  </xdr:oneCellAnchor>
  <xdr:oneCellAnchor>
    <xdr:from>
      <xdr:col>98</xdr:col>
      <xdr:colOff>0</xdr:colOff>
      <xdr:row>12</xdr:row>
      <xdr:rowOff>0</xdr:rowOff>
    </xdr:from>
    <xdr:ext cx="200025" cy="200025"/>
    <xdr:pic>
      <xdr:nvPicPr>
        <xdr:cNvPr id="0" name="image51.png"/>
        <xdr:cNvPicPr preferRelativeResize="0"/>
      </xdr:nvPicPr>
      <xdr:blipFill>
        <a:blip cstate="print" r:embed="rId31"/>
        <a:stretch>
          <a:fillRect/>
        </a:stretch>
      </xdr:blipFill>
      <xdr:spPr>
        <a:prstGeom prst="rect">
          <a:avLst/>
        </a:prstGeom>
        <a:noFill/>
      </xdr:spPr>
    </xdr:pic>
    <xdr:clientData fLocksWithSheet="0"/>
  </xdr:oneCellAnchor>
  <xdr:oneCellAnchor>
    <xdr:from>
      <xdr:col>103</xdr:col>
      <xdr:colOff>0</xdr:colOff>
      <xdr:row>12</xdr:row>
      <xdr:rowOff>0</xdr:rowOff>
    </xdr:from>
    <xdr:ext cx="200025" cy="200025"/>
    <xdr:pic>
      <xdr:nvPicPr>
        <xdr:cNvPr id="0" name="image62.png"/>
        <xdr:cNvPicPr preferRelativeResize="0"/>
      </xdr:nvPicPr>
      <xdr:blipFill>
        <a:blip cstate="print" r:embed="rId32"/>
        <a:stretch>
          <a:fillRect/>
        </a:stretch>
      </xdr:blipFill>
      <xdr:spPr>
        <a:prstGeom prst="rect">
          <a:avLst/>
        </a:prstGeom>
        <a:noFill/>
      </xdr:spPr>
    </xdr:pic>
    <xdr:clientData fLocksWithSheet="0"/>
  </xdr:oneCellAnchor>
  <xdr:oneCellAnchor>
    <xdr:from>
      <xdr:col>38</xdr:col>
      <xdr:colOff>0</xdr:colOff>
      <xdr:row>13</xdr:row>
      <xdr:rowOff>0</xdr:rowOff>
    </xdr:from>
    <xdr:ext cx="161925" cy="200025"/>
    <xdr:pic>
      <xdr:nvPicPr>
        <xdr:cNvPr id="0" name="image24.png"/>
        <xdr:cNvPicPr preferRelativeResize="0"/>
      </xdr:nvPicPr>
      <xdr:blipFill>
        <a:blip cstate="print" r:embed="rId14"/>
        <a:stretch>
          <a:fillRect/>
        </a:stretch>
      </xdr:blipFill>
      <xdr:spPr>
        <a:prstGeom prst="rect">
          <a:avLst/>
        </a:prstGeom>
        <a:noFill/>
      </xdr:spPr>
    </xdr:pic>
    <xdr:clientData fLocksWithSheet="0"/>
  </xdr:oneCellAnchor>
  <xdr:oneCellAnchor>
    <xdr:from>
      <xdr:col>43</xdr:col>
      <xdr:colOff>0</xdr:colOff>
      <xdr:row>13</xdr:row>
      <xdr:rowOff>0</xdr:rowOff>
    </xdr:from>
    <xdr:ext cx="161925" cy="200025"/>
    <xdr:pic>
      <xdr:nvPicPr>
        <xdr:cNvPr id="0" name="image24.png"/>
        <xdr:cNvPicPr preferRelativeResize="0"/>
      </xdr:nvPicPr>
      <xdr:blipFill>
        <a:blip cstate="print" r:embed="rId14"/>
        <a:stretch>
          <a:fillRect/>
        </a:stretch>
      </xdr:blipFill>
      <xdr:spPr>
        <a:prstGeom prst="rect">
          <a:avLst/>
        </a:prstGeom>
        <a:noFill/>
      </xdr:spPr>
    </xdr:pic>
    <xdr:clientData fLocksWithSheet="0"/>
  </xdr:oneCellAnchor>
  <xdr:oneCellAnchor>
    <xdr:from>
      <xdr:col>48</xdr:col>
      <xdr:colOff>0</xdr:colOff>
      <xdr:row>13</xdr:row>
      <xdr:rowOff>0</xdr:rowOff>
    </xdr:from>
    <xdr:ext cx="161925" cy="200025"/>
    <xdr:pic>
      <xdr:nvPicPr>
        <xdr:cNvPr id="0" name="image24.png"/>
        <xdr:cNvPicPr preferRelativeResize="0"/>
      </xdr:nvPicPr>
      <xdr:blipFill>
        <a:blip cstate="print" r:embed="rId14"/>
        <a:stretch>
          <a:fillRect/>
        </a:stretch>
      </xdr:blipFill>
      <xdr:spPr>
        <a:prstGeom prst="rect">
          <a:avLst/>
        </a:prstGeom>
        <a:noFill/>
      </xdr:spPr>
    </xdr:pic>
    <xdr:clientData fLocksWithSheet="0"/>
  </xdr:oneCellAnchor>
  <xdr:oneCellAnchor>
    <xdr:from>
      <xdr:col>53</xdr:col>
      <xdr:colOff>0</xdr:colOff>
      <xdr:row>13</xdr:row>
      <xdr:rowOff>0</xdr:rowOff>
    </xdr:from>
    <xdr:ext cx="161925" cy="200025"/>
    <xdr:pic>
      <xdr:nvPicPr>
        <xdr:cNvPr id="0" name="image24.png"/>
        <xdr:cNvPicPr preferRelativeResize="0"/>
      </xdr:nvPicPr>
      <xdr:blipFill>
        <a:blip cstate="print" r:embed="rId14"/>
        <a:stretch>
          <a:fillRect/>
        </a:stretch>
      </xdr:blipFill>
      <xdr:spPr>
        <a:prstGeom prst="rect">
          <a:avLst/>
        </a:prstGeom>
        <a:noFill/>
      </xdr:spPr>
    </xdr:pic>
    <xdr:clientData fLocksWithSheet="0"/>
  </xdr:oneCellAnchor>
  <xdr:oneCellAnchor>
    <xdr:from>
      <xdr:col>58</xdr:col>
      <xdr:colOff>0</xdr:colOff>
      <xdr:row>13</xdr:row>
      <xdr:rowOff>0</xdr:rowOff>
    </xdr:from>
    <xdr:ext cx="161925" cy="200025"/>
    <xdr:pic>
      <xdr:nvPicPr>
        <xdr:cNvPr id="0" name="image24.png"/>
        <xdr:cNvPicPr preferRelativeResize="0"/>
      </xdr:nvPicPr>
      <xdr:blipFill>
        <a:blip cstate="print" r:embed="rId14"/>
        <a:stretch>
          <a:fillRect/>
        </a:stretch>
      </xdr:blipFill>
      <xdr:spPr>
        <a:prstGeom prst="rect">
          <a:avLst/>
        </a:prstGeom>
        <a:noFill/>
      </xdr:spPr>
    </xdr:pic>
    <xdr:clientData fLocksWithSheet="0"/>
  </xdr:oneCellAnchor>
  <xdr:oneCellAnchor>
    <xdr:from>
      <xdr:col>63</xdr:col>
      <xdr:colOff>0</xdr:colOff>
      <xdr:row>13</xdr:row>
      <xdr:rowOff>0</xdr:rowOff>
    </xdr:from>
    <xdr:ext cx="200025" cy="200025"/>
    <xdr:pic>
      <xdr:nvPicPr>
        <xdr:cNvPr id="0" name="image48.png"/>
        <xdr:cNvPicPr preferRelativeResize="0"/>
      </xdr:nvPicPr>
      <xdr:blipFill>
        <a:blip cstate="print" r:embed="rId33"/>
        <a:stretch>
          <a:fillRect/>
        </a:stretch>
      </xdr:blipFill>
      <xdr:spPr>
        <a:prstGeom prst="rect">
          <a:avLst/>
        </a:prstGeom>
        <a:noFill/>
      </xdr:spPr>
    </xdr:pic>
    <xdr:clientData fLocksWithSheet="0"/>
  </xdr:oneCellAnchor>
  <xdr:oneCellAnchor>
    <xdr:from>
      <xdr:col>68</xdr:col>
      <xdr:colOff>0</xdr:colOff>
      <xdr:row>13</xdr:row>
      <xdr:rowOff>0</xdr:rowOff>
    </xdr:from>
    <xdr:ext cx="161925" cy="200025"/>
    <xdr:pic>
      <xdr:nvPicPr>
        <xdr:cNvPr id="0" name="image44.png"/>
        <xdr:cNvPicPr preferRelativeResize="0"/>
      </xdr:nvPicPr>
      <xdr:blipFill>
        <a:blip cstate="print" r:embed="rId34"/>
        <a:stretch>
          <a:fillRect/>
        </a:stretch>
      </xdr:blipFill>
      <xdr:spPr>
        <a:prstGeom prst="rect">
          <a:avLst/>
        </a:prstGeom>
        <a:noFill/>
      </xdr:spPr>
    </xdr:pic>
    <xdr:clientData fLocksWithSheet="0"/>
  </xdr:oneCellAnchor>
  <xdr:oneCellAnchor>
    <xdr:from>
      <xdr:col>73</xdr:col>
      <xdr:colOff>0</xdr:colOff>
      <xdr:row>13</xdr:row>
      <xdr:rowOff>0</xdr:rowOff>
    </xdr:from>
    <xdr:ext cx="161925" cy="200025"/>
    <xdr:pic>
      <xdr:nvPicPr>
        <xdr:cNvPr id="0" name="image44.png"/>
        <xdr:cNvPicPr preferRelativeResize="0"/>
      </xdr:nvPicPr>
      <xdr:blipFill>
        <a:blip cstate="print" r:embed="rId34"/>
        <a:stretch>
          <a:fillRect/>
        </a:stretch>
      </xdr:blipFill>
      <xdr:spPr>
        <a:prstGeom prst="rect">
          <a:avLst/>
        </a:prstGeom>
        <a:noFill/>
      </xdr:spPr>
    </xdr:pic>
    <xdr:clientData fLocksWithSheet="0"/>
  </xdr:oneCellAnchor>
  <xdr:oneCellAnchor>
    <xdr:from>
      <xdr:col>78</xdr:col>
      <xdr:colOff>0</xdr:colOff>
      <xdr:row>13</xdr:row>
      <xdr:rowOff>0</xdr:rowOff>
    </xdr:from>
    <xdr:ext cx="200025" cy="200025"/>
    <xdr:pic>
      <xdr:nvPicPr>
        <xdr:cNvPr id="0" name="image36.png"/>
        <xdr:cNvPicPr preferRelativeResize="0"/>
      </xdr:nvPicPr>
      <xdr:blipFill>
        <a:blip cstate="print" r:embed="rId29"/>
        <a:stretch>
          <a:fillRect/>
        </a:stretch>
      </xdr:blipFill>
      <xdr:spPr>
        <a:prstGeom prst="rect">
          <a:avLst/>
        </a:prstGeom>
        <a:noFill/>
      </xdr:spPr>
    </xdr:pic>
    <xdr:clientData fLocksWithSheet="0"/>
  </xdr:oneCellAnchor>
  <xdr:oneCellAnchor>
    <xdr:from>
      <xdr:col>83</xdr:col>
      <xdr:colOff>0</xdr:colOff>
      <xdr:row>13</xdr:row>
      <xdr:rowOff>0</xdr:rowOff>
    </xdr:from>
    <xdr:ext cx="200025" cy="200025"/>
    <xdr:pic>
      <xdr:nvPicPr>
        <xdr:cNvPr id="0" name="image28.png"/>
        <xdr:cNvPicPr preferRelativeResize="0"/>
      </xdr:nvPicPr>
      <xdr:blipFill>
        <a:blip cstate="print" r:embed="rId12"/>
        <a:stretch>
          <a:fillRect/>
        </a:stretch>
      </xdr:blipFill>
      <xdr:spPr>
        <a:prstGeom prst="rect">
          <a:avLst/>
        </a:prstGeom>
        <a:noFill/>
      </xdr:spPr>
    </xdr:pic>
    <xdr:clientData fLocksWithSheet="0"/>
  </xdr:oneCellAnchor>
  <xdr:oneCellAnchor>
    <xdr:from>
      <xdr:col>88</xdr:col>
      <xdr:colOff>0</xdr:colOff>
      <xdr:row>13</xdr:row>
      <xdr:rowOff>0</xdr:rowOff>
    </xdr:from>
    <xdr:ext cx="200025" cy="200025"/>
    <xdr:pic>
      <xdr:nvPicPr>
        <xdr:cNvPr id="0" name="image42.png"/>
        <xdr:cNvPicPr preferRelativeResize="0"/>
      </xdr:nvPicPr>
      <xdr:blipFill>
        <a:blip cstate="print" r:embed="rId35"/>
        <a:stretch>
          <a:fillRect/>
        </a:stretch>
      </xdr:blipFill>
      <xdr:spPr>
        <a:prstGeom prst="rect">
          <a:avLst/>
        </a:prstGeom>
        <a:noFill/>
      </xdr:spPr>
    </xdr:pic>
    <xdr:clientData fLocksWithSheet="0"/>
  </xdr:oneCellAnchor>
  <xdr:oneCellAnchor>
    <xdr:from>
      <xdr:col>93</xdr:col>
      <xdr:colOff>0</xdr:colOff>
      <xdr:row>13</xdr:row>
      <xdr:rowOff>0</xdr:rowOff>
    </xdr:from>
    <xdr:ext cx="200025" cy="200025"/>
    <xdr:pic>
      <xdr:nvPicPr>
        <xdr:cNvPr id="0" name="image42.png"/>
        <xdr:cNvPicPr preferRelativeResize="0"/>
      </xdr:nvPicPr>
      <xdr:blipFill>
        <a:blip cstate="print" r:embed="rId35"/>
        <a:stretch>
          <a:fillRect/>
        </a:stretch>
      </xdr:blipFill>
      <xdr:spPr>
        <a:prstGeom prst="rect">
          <a:avLst/>
        </a:prstGeom>
        <a:noFill/>
      </xdr:spPr>
    </xdr:pic>
    <xdr:clientData fLocksWithSheet="0"/>
  </xdr:oneCellAnchor>
  <xdr:oneCellAnchor>
    <xdr:from>
      <xdr:col>98</xdr:col>
      <xdr:colOff>0</xdr:colOff>
      <xdr:row>13</xdr:row>
      <xdr:rowOff>0</xdr:rowOff>
    </xdr:from>
    <xdr:ext cx="200025" cy="200025"/>
    <xdr:pic>
      <xdr:nvPicPr>
        <xdr:cNvPr id="0" name="image56.png"/>
        <xdr:cNvPicPr preferRelativeResize="0"/>
      </xdr:nvPicPr>
      <xdr:blipFill>
        <a:blip cstate="print" r:embed="rId36"/>
        <a:stretch>
          <a:fillRect/>
        </a:stretch>
      </xdr:blipFill>
      <xdr:spPr>
        <a:prstGeom prst="rect">
          <a:avLst/>
        </a:prstGeom>
        <a:noFill/>
      </xdr:spPr>
    </xdr:pic>
    <xdr:clientData fLocksWithSheet="0"/>
  </xdr:oneCellAnchor>
  <xdr:oneCellAnchor>
    <xdr:from>
      <xdr:col>103</xdr:col>
      <xdr:colOff>0</xdr:colOff>
      <xdr:row>13</xdr:row>
      <xdr:rowOff>0</xdr:rowOff>
    </xdr:from>
    <xdr:ext cx="200025" cy="200025"/>
    <xdr:pic>
      <xdr:nvPicPr>
        <xdr:cNvPr id="0" name="image53.png"/>
        <xdr:cNvPicPr preferRelativeResize="0"/>
      </xdr:nvPicPr>
      <xdr:blipFill>
        <a:blip cstate="print" r:embed="rId37"/>
        <a:stretch>
          <a:fillRect/>
        </a:stretch>
      </xdr:blipFill>
      <xdr:spPr>
        <a:prstGeom prst="rect">
          <a:avLst/>
        </a:prstGeom>
        <a:noFill/>
      </xdr:spPr>
    </xdr:pic>
    <xdr:clientData fLocksWithSheet="0"/>
  </xdr:oneCellAnchor>
  <xdr:oneCellAnchor>
    <xdr:from>
      <xdr:col>38</xdr:col>
      <xdr:colOff>0</xdr:colOff>
      <xdr:row>14</xdr:row>
      <xdr:rowOff>0</xdr:rowOff>
    </xdr:from>
    <xdr:ext cx="200025" cy="200025"/>
    <xdr:pic>
      <xdr:nvPicPr>
        <xdr:cNvPr id="0" name="image30.png"/>
        <xdr:cNvPicPr preferRelativeResize="0"/>
      </xdr:nvPicPr>
      <xdr:blipFill>
        <a:blip cstate="print" r:embed="rId18"/>
        <a:stretch>
          <a:fillRect/>
        </a:stretch>
      </xdr:blipFill>
      <xdr:spPr>
        <a:prstGeom prst="rect">
          <a:avLst/>
        </a:prstGeom>
        <a:noFill/>
      </xdr:spPr>
    </xdr:pic>
    <xdr:clientData fLocksWithSheet="0"/>
  </xdr:oneCellAnchor>
  <xdr:oneCellAnchor>
    <xdr:from>
      <xdr:col>43</xdr:col>
      <xdr:colOff>0</xdr:colOff>
      <xdr:row>14</xdr:row>
      <xdr:rowOff>0</xdr:rowOff>
    </xdr:from>
    <xdr:ext cx="200025" cy="200025"/>
    <xdr:pic>
      <xdr:nvPicPr>
        <xdr:cNvPr id="0" name="image30.png"/>
        <xdr:cNvPicPr preferRelativeResize="0"/>
      </xdr:nvPicPr>
      <xdr:blipFill>
        <a:blip cstate="print" r:embed="rId18"/>
        <a:stretch>
          <a:fillRect/>
        </a:stretch>
      </xdr:blipFill>
      <xdr:spPr>
        <a:prstGeom prst="rect">
          <a:avLst/>
        </a:prstGeom>
        <a:noFill/>
      </xdr:spPr>
    </xdr:pic>
    <xdr:clientData fLocksWithSheet="0"/>
  </xdr:oneCellAnchor>
  <xdr:oneCellAnchor>
    <xdr:from>
      <xdr:col>48</xdr:col>
      <xdr:colOff>0</xdr:colOff>
      <xdr:row>14</xdr:row>
      <xdr:rowOff>0</xdr:rowOff>
    </xdr:from>
    <xdr:ext cx="200025" cy="200025"/>
    <xdr:pic>
      <xdr:nvPicPr>
        <xdr:cNvPr id="0" name="image30.png"/>
        <xdr:cNvPicPr preferRelativeResize="0"/>
      </xdr:nvPicPr>
      <xdr:blipFill>
        <a:blip cstate="print" r:embed="rId18"/>
        <a:stretch>
          <a:fillRect/>
        </a:stretch>
      </xdr:blipFill>
      <xdr:spPr>
        <a:prstGeom prst="rect">
          <a:avLst/>
        </a:prstGeom>
        <a:noFill/>
      </xdr:spPr>
    </xdr:pic>
    <xdr:clientData fLocksWithSheet="0"/>
  </xdr:oneCellAnchor>
  <xdr:oneCellAnchor>
    <xdr:from>
      <xdr:col>53</xdr:col>
      <xdr:colOff>0</xdr:colOff>
      <xdr:row>14</xdr:row>
      <xdr:rowOff>0</xdr:rowOff>
    </xdr:from>
    <xdr:ext cx="200025" cy="200025"/>
    <xdr:pic>
      <xdr:nvPicPr>
        <xdr:cNvPr id="0" name="image30.png"/>
        <xdr:cNvPicPr preferRelativeResize="0"/>
      </xdr:nvPicPr>
      <xdr:blipFill>
        <a:blip cstate="print" r:embed="rId18"/>
        <a:stretch>
          <a:fillRect/>
        </a:stretch>
      </xdr:blipFill>
      <xdr:spPr>
        <a:prstGeom prst="rect">
          <a:avLst/>
        </a:prstGeom>
        <a:noFill/>
      </xdr:spPr>
    </xdr:pic>
    <xdr:clientData fLocksWithSheet="0"/>
  </xdr:oneCellAnchor>
  <xdr:oneCellAnchor>
    <xdr:from>
      <xdr:col>58</xdr:col>
      <xdr:colOff>0</xdr:colOff>
      <xdr:row>14</xdr:row>
      <xdr:rowOff>0</xdr:rowOff>
    </xdr:from>
    <xdr:ext cx="200025" cy="200025"/>
    <xdr:pic>
      <xdr:nvPicPr>
        <xdr:cNvPr id="0" name="image30.png"/>
        <xdr:cNvPicPr preferRelativeResize="0"/>
      </xdr:nvPicPr>
      <xdr:blipFill>
        <a:blip cstate="print" r:embed="rId18"/>
        <a:stretch>
          <a:fillRect/>
        </a:stretch>
      </xdr:blipFill>
      <xdr:spPr>
        <a:prstGeom prst="rect">
          <a:avLst/>
        </a:prstGeom>
        <a:noFill/>
      </xdr:spPr>
    </xdr:pic>
    <xdr:clientData fLocksWithSheet="0"/>
  </xdr:oneCellAnchor>
  <xdr:oneCellAnchor>
    <xdr:from>
      <xdr:col>63</xdr:col>
      <xdr:colOff>0</xdr:colOff>
      <xdr:row>14</xdr:row>
      <xdr:rowOff>0</xdr:rowOff>
    </xdr:from>
    <xdr:ext cx="200025" cy="200025"/>
    <xdr:pic>
      <xdr:nvPicPr>
        <xdr:cNvPr id="0" name="image38.png"/>
        <xdr:cNvPicPr preferRelativeResize="0"/>
      </xdr:nvPicPr>
      <xdr:blipFill>
        <a:blip cstate="print" r:embed="rId25"/>
        <a:stretch>
          <a:fillRect/>
        </a:stretch>
      </xdr:blipFill>
      <xdr:spPr>
        <a:prstGeom prst="rect">
          <a:avLst/>
        </a:prstGeom>
        <a:noFill/>
      </xdr:spPr>
    </xdr:pic>
    <xdr:clientData fLocksWithSheet="0"/>
  </xdr:oneCellAnchor>
  <xdr:oneCellAnchor>
    <xdr:from>
      <xdr:col>68</xdr:col>
      <xdr:colOff>0</xdr:colOff>
      <xdr:row>14</xdr:row>
      <xdr:rowOff>0</xdr:rowOff>
    </xdr:from>
    <xdr:ext cx="200025" cy="200025"/>
    <xdr:pic>
      <xdr:nvPicPr>
        <xdr:cNvPr id="0" name="image22.png"/>
        <xdr:cNvPicPr preferRelativeResize="0"/>
      </xdr:nvPicPr>
      <xdr:blipFill>
        <a:blip cstate="print" r:embed="rId8"/>
        <a:stretch>
          <a:fillRect/>
        </a:stretch>
      </xdr:blipFill>
      <xdr:spPr>
        <a:prstGeom prst="rect">
          <a:avLst/>
        </a:prstGeom>
        <a:noFill/>
      </xdr:spPr>
    </xdr:pic>
    <xdr:clientData fLocksWithSheet="0"/>
  </xdr:oneCellAnchor>
  <xdr:oneCellAnchor>
    <xdr:from>
      <xdr:col>73</xdr:col>
      <xdr:colOff>0</xdr:colOff>
      <xdr:row>14</xdr:row>
      <xdr:rowOff>0</xdr:rowOff>
    </xdr:from>
    <xdr:ext cx="200025" cy="200025"/>
    <xdr:pic>
      <xdr:nvPicPr>
        <xdr:cNvPr id="0" name="image22.png"/>
        <xdr:cNvPicPr preferRelativeResize="0"/>
      </xdr:nvPicPr>
      <xdr:blipFill>
        <a:blip cstate="print" r:embed="rId8"/>
        <a:stretch>
          <a:fillRect/>
        </a:stretch>
      </xdr:blipFill>
      <xdr:spPr>
        <a:prstGeom prst="rect">
          <a:avLst/>
        </a:prstGeom>
        <a:noFill/>
      </xdr:spPr>
    </xdr:pic>
    <xdr:clientData fLocksWithSheet="0"/>
  </xdr:oneCellAnchor>
  <xdr:oneCellAnchor>
    <xdr:from>
      <xdr:col>78</xdr:col>
      <xdr:colOff>0</xdr:colOff>
      <xdr:row>14</xdr:row>
      <xdr:rowOff>0</xdr:rowOff>
    </xdr:from>
    <xdr:ext cx="200025" cy="200025"/>
    <xdr:pic>
      <xdr:nvPicPr>
        <xdr:cNvPr id="0" name="image22.png"/>
        <xdr:cNvPicPr preferRelativeResize="0"/>
      </xdr:nvPicPr>
      <xdr:blipFill>
        <a:blip cstate="print" r:embed="rId8"/>
        <a:stretch>
          <a:fillRect/>
        </a:stretch>
      </xdr:blipFill>
      <xdr:spPr>
        <a:prstGeom prst="rect">
          <a:avLst/>
        </a:prstGeom>
        <a:noFill/>
      </xdr:spPr>
    </xdr:pic>
    <xdr:clientData fLocksWithSheet="0"/>
  </xdr:oneCellAnchor>
  <xdr:oneCellAnchor>
    <xdr:from>
      <xdr:col>83</xdr:col>
      <xdr:colOff>0</xdr:colOff>
      <xdr:row>14</xdr:row>
      <xdr:rowOff>0</xdr:rowOff>
    </xdr:from>
    <xdr:ext cx="200025" cy="200025"/>
    <xdr:pic>
      <xdr:nvPicPr>
        <xdr:cNvPr id="0" name="image49.png"/>
        <xdr:cNvPicPr preferRelativeResize="0"/>
      </xdr:nvPicPr>
      <xdr:blipFill>
        <a:blip cstate="print" r:embed="rId30"/>
        <a:stretch>
          <a:fillRect/>
        </a:stretch>
      </xdr:blipFill>
      <xdr:spPr>
        <a:prstGeom prst="rect">
          <a:avLst/>
        </a:prstGeom>
        <a:noFill/>
      </xdr:spPr>
    </xdr:pic>
    <xdr:clientData fLocksWithSheet="0"/>
  </xdr:oneCellAnchor>
  <xdr:oneCellAnchor>
    <xdr:from>
      <xdr:col>88</xdr:col>
      <xdr:colOff>0</xdr:colOff>
      <xdr:row>14</xdr:row>
      <xdr:rowOff>0</xdr:rowOff>
    </xdr:from>
    <xdr:ext cx="200025" cy="200025"/>
    <xdr:pic>
      <xdr:nvPicPr>
        <xdr:cNvPr id="0" name="image31.png"/>
        <xdr:cNvPicPr preferRelativeResize="0"/>
      </xdr:nvPicPr>
      <xdr:blipFill>
        <a:blip cstate="print" r:embed="rId20"/>
        <a:stretch>
          <a:fillRect/>
        </a:stretch>
      </xdr:blipFill>
      <xdr:spPr>
        <a:prstGeom prst="rect">
          <a:avLst/>
        </a:prstGeom>
        <a:noFill/>
      </xdr:spPr>
    </xdr:pic>
    <xdr:clientData fLocksWithSheet="0"/>
  </xdr:oneCellAnchor>
  <xdr:oneCellAnchor>
    <xdr:from>
      <xdr:col>93</xdr:col>
      <xdr:colOff>0</xdr:colOff>
      <xdr:row>14</xdr:row>
      <xdr:rowOff>0</xdr:rowOff>
    </xdr:from>
    <xdr:ext cx="200025" cy="200025"/>
    <xdr:pic>
      <xdr:nvPicPr>
        <xdr:cNvPr id="0" name="image31.png"/>
        <xdr:cNvPicPr preferRelativeResize="0"/>
      </xdr:nvPicPr>
      <xdr:blipFill>
        <a:blip cstate="print" r:embed="rId20"/>
        <a:stretch>
          <a:fillRect/>
        </a:stretch>
      </xdr:blipFill>
      <xdr:spPr>
        <a:prstGeom prst="rect">
          <a:avLst/>
        </a:prstGeom>
        <a:noFill/>
      </xdr:spPr>
    </xdr:pic>
    <xdr:clientData fLocksWithSheet="0"/>
  </xdr:oneCellAnchor>
  <xdr:oneCellAnchor>
    <xdr:from>
      <xdr:col>98</xdr:col>
      <xdr:colOff>0</xdr:colOff>
      <xdr:row>14</xdr:row>
      <xdr:rowOff>0</xdr:rowOff>
    </xdr:from>
    <xdr:ext cx="161925" cy="200025"/>
    <xdr:pic>
      <xdr:nvPicPr>
        <xdr:cNvPr id="0" name="image58.png"/>
        <xdr:cNvPicPr preferRelativeResize="0"/>
      </xdr:nvPicPr>
      <xdr:blipFill>
        <a:blip cstate="print" r:embed="rId38"/>
        <a:stretch>
          <a:fillRect/>
        </a:stretch>
      </xdr:blipFill>
      <xdr:spPr>
        <a:prstGeom prst="rect">
          <a:avLst/>
        </a:prstGeom>
        <a:noFill/>
      </xdr:spPr>
    </xdr:pic>
    <xdr:clientData fLocksWithSheet="0"/>
  </xdr:oneCellAnchor>
  <xdr:oneCellAnchor>
    <xdr:from>
      <xdr:col>103</xdr:col>
      <xdr:colOff>0</xdr:colOff>
      <xdr:row>14</xdr:row>
      <xdr:rowOff>0</xdr:rowOff>
    </xdr:from>
    <xdr:ext cx="200025" cy="200025"/>
    <xdr:pic>
      <xdr:nvPicPr>
        <xdr:cNvPr id="0" name="image54.png"/>
        <xdr:cNvPicPr preferRelativeResize="0"/>
      </xdr:nvPicPr>
      <xdr:blipFill>
        <a:blip cstate="print" r:embed="rId39"/>
        <a:stretch>
          <a:fillRect/>
        </a:stretch>
      </xdr:blipFill>
      <xdr:spPr>
        <a:prstGeom prst="rect">
          <a:avLst/>
        </a:prstGeom>
        <a:noFill/>
      </xdr:spPr>
    </xdr:pic>
    <xdr:clientData fLocksWithSheet="0"/>
  </xdr:oneCellAnchor>
  <xdr:oneCellAnchor>
    <xdr:from>
      <xdr:col>38</xdr:col>
      <xdr:colOff>0</xdr:colOff>
      <xdr:row>15</xdr:row>
      <xdr:rowOff>0</xdr:rowOff>
    </xdr:from>
    <xdr:ext cx="200025" cy="200025"/>
    <xdr:pic>
      <xdr:nvPicPr>
        <xdr:cNvPr id="0" name="image33.png"/>
        <xdr:cNvPicPr preferRelativeResize="0"/>
      </xdr:nvPicPr>
      <xdr:blipFill>
        <a:blip cstate="print" r:embed="rId13"/>
        <a:stretch>
          <a:fillRect/>
        </a:stretch>
      </xdr:blipFill>
      <xdr:spPr>
        <a:prstGeom prst="rect">
          <a:avLst/>
        </a:prstGeom>
        <a:noFill/>
      </xdr:spPr>
    </xdr:pic>
    <xdr:clientData fLocksWithSheet="0"/>
  </xdr:oneCellAnchor>
  <xdr:oneCellAnchor>
    <xdr:from>
      <xdr:col>43</xdr:col>
      <xdr:colOff>0</xdr:colOff>
      <xdr:row>15</xdr:row>
      <xdr:rowOff>0</xdr:rowOff>
    </xdr:from>
    <xdr:ext cx="200025" cy="200025"/>
    <xdr:pic>
      <xdr:nvPicPr>
        <xdr:cNvPr id="0" name="image33.png"/>
        <xdr:cNvPicPr preferRelativeResize="0"/>
      </xdr:nvPicPr>
      <xdr:blipFill>
        <a:blip cstate="print" r:embed="rId13"/>
        <a:stretch>
          <a:fillRect/>
        </a:stretch>
      </xdr:blipFill>
      <xdr:spPr>
        <a:prstGeom prst="rect">
          <a:avLst/>
        </a:prstGeom>
        <a:noFill/>
      </xdr:spPr>
    </xdr:pic>
    <xdr:clientData fLocksWithSheet="0"/>
  </xdr:oneCellAnchor>
  <xdr:oneCellAnchor>
    <xdr:from>
      <xdr:col>48</xdr:col>
      <xdr:colOff>0</xdr:colOff>
      <xdr:row>15</xdr:row>
      <xdr:rowOff>0</xdr:rowOff>
    </xdr:from>
    <xdr:ext cx="200025" cy="200025"/>
    <xdr:pic>
      <xdr:nvPicPr>
        <xdr:cNvPr id="0" name="image33.png"/>
        <xdr:cNvPicPr preferRelativeResize="0"/>
      </xdr:nvPicPr>
      <xdr:blipFill>
        <a:blip cstate="print" r:embed="rId13"/>
        <a:stretch>
          <a:fillRect/>
        </a:stretch>
      </xdr:blipFill>
      <xdr:spPr>
        <a:prstGeom prst="rect">
          <a:avLst/>
        </a:prstGeom>
        <a:noFill/>
      </xdr:spPr>
    </xdr:pic>
    <xdr:clientData fLocksWithSheet="0"/>
  </xdr:oneCellAnchor>
  <xdr:oneCellAnchor>
    <xdr:from>
      <xdr:col>53</xdr:col>
      <xdr:colOff>0</xdr:colOff>
      <xdr:row>15</xdr:row>
      <xdr:rowOff>0</xdr:rowOff>
    </xdr:from>
    <xdr:ext cx="200025" cy="200025"/>
    <xdr:pic>
      <xdr:nvPicPr>
        <xdr:cNvPr id="0" name="image33.png"/>
        <xdr:cNvPicPr preferRelativeResize="0"/>
      </xdr:nvPicPr>
      <xdr:blipFill>
        <a:blip cstate="print" r:embed="rId13"/>
        <a:stretch>
          <a:fillRect/>
        </a:stretch>
      </xdr:blipFill>
      <xdr:spPr>
        <a:prstGeom prst="rect">
          <a:avLst/>
        </a:prstGeom>
        <a:noFill/>
      </xdr:spPr>
    </xdr:pic>
    <xdr:clientData fLocksWithSheet="0"/>
  </xdr:oneCellAnchor>
  <xdr:oneCellAnchor>
    <xdr:from>
      <xdr:col>58</xdr:col>
      <xdr:colOff>0</xdr:colOff>
      <xdr:row>15</xdr:row>
      <xdr:rowOff>0</xdr:rowOff>
    </xdr:from>
    <xdr:ext cx="200025" cy="200025"/>
    <xdr:pic>
      <xdr:nvPicPr>
        <xdr:cNvPr id="0" name="image33.png"/>
        <xdr:cNvPicPr preferRelativeResize="0"/>
      </xdr:nvPicPr>
      <xdr:blipFill>
        <a:blip cstate="print" r:embed="rId13"/>
        <a:stretch>
          <a:fillRect/>
        </a:stretch>
      </xdr:blipFill>
      <xdr:spPr>
        <a:prstGeom prst="rect">
          <a:avLst/>
        </a:prstGeom>
        <a:noFill/>
      </xdr:spPr>
    </xdr:pic>
    <xdr:clientData fLocksWithSheet="0"/>
  </xdr:oneCellAnchor>
  <xdr:oneCellAnchor>
    <xdr:from>
      <xdr:col>63</xdr:col>
      <xdr:colOff>0</xdr:colOff>
      <xdr:row>15</xdr:row>
      <xdr:rowOff>0</xdr:rowOff>
    </xdr:from>
    <xdr:ext cx="200025" cy="200025"/>
    <xdr:pic>
      <xdr:nvPicPr>
        <xdr:cNvPr id="0" name="image37.png"/>
        <xdr:cNvPicPr preferRelativeResize="0"/>
      </xdr:nvPicPr>
      <xdr:blipFill>
        <a:blip cstate="print" r:embed="rId24"/>
        <a:stretch>
          <a:fillRect/>
        </a:stretch>
      </xdr:blipFill>
      <xdr:spPr>
        <a:prstGeom prst="rect">
          <a:avLst/>
        </a:prstGeom>
        <a:noFill/>
      </xdr:spPr>
    </xdr:pic>
    <xdr:clientData fLocksWithSheet="0"/>
  </xdr:oneCellAnchor>
  <xdr:oneCellAnchor>
    <xdr:from>
      <xdr:col>68</xdr:col>
      <xdr:colOff>0</xdr:colOff>
      <xdr:row>15</xdr:row>
      <xdr:rowOff>0</xdr:rowOff>
    </xdr:from>
    <xdr:ext cx="200025" cy="200025"/>
    <xdr:pic>
      <xdr:nvPicPr>
        <xdr:cNvPr id="0" name="image43.png"/>
        <xdr:cNvPicPr preferRelativeResize="0"/>
      </xdr:nvPicPr>
      <xdr:blipFill>
        <a:blip cstate="print" r:embed="rId28"/>
        <a:stretch>
          <a:fillRect/>
        </a:stretch>
      </xdr:blipFill>
      <xdr:spPr>
        <a:prstGeom prst="rect">
          <a:avLst/>
        </a:prstGeom>
        <a:noFill/>
      </xdr:spPr>
    </xdr:pic>
    <xdr:clientData fLocksWithSheet="0"/>
  </xdr:oneCellAnchor>
  <xdr:oneCellAnchor>
    <xdr:from>
      <xdr:col>73</xdr:col>
      <xdr:colOff>0</xdr:colOff>
      <xdr:row>15</xdr:row>
      <xdr:rowOff>0</xdr:rowOff>
    </xdr:from>
    <xdr:ext cx="200025" cy="200025"/>
    <xdr:pic>
      <xdr:nvPicPr>
        <xdr:cNvPr id="0" name="image43.png"/>
        <xdr:cNvPicPr preferRelativeResize="0"/>
      </xdr:nvPicPr>
      <xdr:blipFill>
        <a:blip cstate="print" r:embed="rId28"/>
        <a:stretch>
          <a:fillRect/>
        </a:stretch>
      </xdr:blipFill>
      <xdr:spPr>
        <a:prstGeom prst="rect">
          <a:avLst/>
        </a:prstGeom>
        <a:noFill/>
      </xdr:spPr>
    </xdr:pic>
    <xdr:clientData fLocksWithSheet="0"/>
  </xdr:oneCellAnchor>
  <xdr:oneCellAnchor>
    <xdr:from>
      <xdr:col>78</xdr:col>
      <xdr:colOff>0</xdr:colOff>
      <xdr:row>15</xdr:row>
      <xdr:rowOff>0</xdr:rowOff>
    </xdr:from>
    <xdr:ext cx="161925" cy="200025"/>
    <xdr:pic>
      <xdr:nvPicPr>
        <xdr:cNvPr id="0" name="image23.png"/>
        <xdr:cNvPicPr preferRelativeResize="0"/>
      </xdr:nvPicPr>
      <xdr:blipFill>
        <a:blip cstate="print" r:embed="rId11"/>
        <a:stretch>
          <a:fillRect/>
        </a:stretch>
      </xdr:blipFill>
      <xdr:spPr>
        <a:prstGeom prst="rect">
          <a:avLst/>
        </a:prstGeom>
        <a:noFill/>
      </xdr:spPr>
    </xdr:pic>
    <xdr:clientData fLocksWithSheet="0"/>
  </xdr:oneCellAnchor>
  <xdr:oneCellAnchor>
    <xdr:from>
      <xdr:col>83</xdr:col>
      <xdr:colOff>0</xdr:colOff>
      <xdr:row>15</xdr:row>
      <xdr:rowOff>0</xdr:rowOff>
    </xdr:from>
    <xdr:ext cx="200025" cy="200025"/>
    <xdr:pic>
      <xdr:nvPicPr>
        <xdr:cNvPr id="0" name="image42.png"/>
        <xdr:cNvPicPr preferRelativeResize="0"/>
      </xdr:nvPicPr>
      <xdr:blipFill>
        <a:blip cstate="print" r:embed="rId35"/>
        <a:stretch>
          <a:fillRect/>
        </a:stretch>
      </xdr:blipFill>
      <xdr:spPr>
        <a:prstGeom prst="rect">
          <a:avLst/>
        </a:prstGeom>
        <a:noFill/>
      </xdr:spPr>
    </xdr:pic>
    <xdr:clientData fLocksWithSheet="0"/>
  </xdr:oneCellAnchor>
  <xdr:oneCellAnchor>
    <xdr:from>
      <xdr:col>88</xdr:col>
      <xdr:colOff>0</xdr:colOff>
      <xdr:row>15</xdr:row>
      <xdr:rowOff>0</xdr:rowOff>
    </xdr:from>
    <xdr:ext cx="200025" cy="200025"/>
    <xdr:pic>
      <xdr:nvPicPr>
        <xdr:cNvPr id="0" name="image50.png"/>
        <xdr:cNvPicPr preferRelativeResize="0"/>
      </xdr:nvPicPr>
      <xdr:blipFill>
        <a:blip cstate="print" r:embed="rId40"/>
        <a:stretch>
          <a:fillRect/>
        </a:stretch>
      </xdr:blipFill>
      <xdr:spPr>
        <a:prstGeom prst="rect">
          <a:avLst/>
        </a:prstGeom>
        <a:noFill/>
      </xdr:spPr>
    </xdr:pic>
    <xdr:clientData fLocksWithSheet="0"/>
  </xdr:oneCellAnchor>
  <xdr:oneCellAnchor>
    <xdr:from>
      <xdr:col>93</xdr:col>
      <xdr:colOff>0</xdr:colOff>
      <xdr:row>15</xdr:row>
      <xdr:rowOff>0</xdr:rowOff>
    </xdr:from>
    <xdr:ext cx="200025" cy="200025"/>
    <xdr:pic>
      <xdr:nvPicPr>
        <xdr:cNvPr id="0" name="image50.png"/>
        <xdr:cNvPicPr preferRelativeResize="0"/>
      </xdr:nvPicPr>
      <xdr:blipFill>
        <a:blip cstate="print" r:embed="rId40"/>
        <a:stretch>
          <a:fillRect/>
        </a:stretch>
      </xdr:blipFill>
      <xdr:spPr>
        <a:prstGeom prst="rect">
          <a:avLst/>
        </a:prstGeom>
        <a:noFill/>
      </xdr:spPr>
    </xdr:pic>
    <xdr:clientData fLocksWithSheet="0"/>
  </xdr:oneCellAnchor>
  <xdr:oneCellAnchor>
    <xdr:from>
      <xdr:col>98</xdr:col>
      <xdr:colOff>0</xdr:colOff>
      <xdr:row>15</xdr:row>
      <xdr:rowOff>0</xdr:rowOff>
    </xdr:from>
    <xdr:ext cx="295275" cy="142875"/>
    <xdr:pic>
      <xdr:nvPicPr>
        <xdr:cNvPr id="0" name="image47.png"/>
        <xdr:cNvPicPr preferRelativeResize="0"/>
      </xdr:nvPicPr>
      <xdr:blipFill>
        <a:blip cstate="print" r:embed="rId41"/>
        <a:stretch>
          <a:fillRect/>
        </a:stretch>
      </xdr:blipFill>
      <xdr:spPr>
        <a:prstGeom prst="rect">
          <a:avLst/>
        </a:prstGeom>
        <a:noFill/>
      </xdr:spPr>
    </xdr:pic>
    <xdr:clientData fLocksWithSheet="0"/>
  </xdr:oneCellAnchor>
  <xdr:oneCellAnchor>
    <xdr:from>
      <xdr:col>103</xdr:col>
      <xdr:colOff>0</xdr:colOff>
      <xdr:row>15</xdr:row>
      <xdr:rowOff>0</xdr:rowOff>
    </xdr:from>
    <xdr:ext cx="200025" cy="200025"/>
    <xdr:pic>
      <xdr:nvPicPr>
        <xdr:cNvPr id="0" name="image52.png"/>
        <xdr:cNvPicPr preferRelativeResize="0"/>
      </xdr:nvPicPr>
      <xdr:blipFill>
        <a:blip cstate="print" r:embed="rId42"/>
        <a:stretch>
          <a:fillRect/>
        </a:stretch>
      </xdr:blipFill>
      <xdr:spPr>
        <a:prstGeom prst="rect">
          <a:avLst/>
        </a:prstGeom>
        <a:noFill/>
      </xdr:spPr>
    </xdr:pic>
    <xdr:clientData fLocksWithSheet="0"/>
  </xdr:oneCellAnchor>
  <xdr:oneCellAnchor>
    <xdr:from>
      <xdr:col>38</xdr:col>
      <xdr:colOff>0</xdr:colOff>
      <xdr:row>16</xdr:row>
      <xdr:rowOff>0</xdr:rowOff>
    </xdr:from>
    <xdr:ext cx="200025" cy="200025"/>
    <xdr:pic>
      <xdr:nvPicPr>
        <xdr:cNvPr id="0" name="image35.png"/>
        <xdr:cNvPicPr preferRelativeResize="0"/>
      </xdr:nvPicPr>
      <xdr:blipFill>
        <a:blip cstate="print" r:embed="rId21"/>
        <a:stretch>
          <a:fillRect/>
        </a:stretch>
      </xdr:blipFill>
      <xdr:spPr>
        <a:prstGeom prst="rect">
          <a:avLst/>
        </a:prstGeom>
        <a:noFill/>
      </xdr:spPr>
    </xdr:pic>
    <xdr:clientData fLocksWithSheet="0"/>
  </xdr:oneCellAnchor>
  <xdr:oneCellAnchor>
    <xdr:from>
      <xdr:col>43</xdr:col>
      <xdr:colOff>0</xdr:colOff>
      <xdr:row>16</xdr:row>
      <xdr:rowOff>0</xdr:rowOff>
    </xdr:from>
    <xdr:ext cx="200025" cy="200025"/>
    <xdr:pic>
      <xdr:nvPicPr>
        <xdr:cNvPr id="0" name="image35.png"/>
        <xdr:cNvPicPr preferRelativeResize="0"/>
      </xdr:nvPicPr>
      <xdr:blipFill>
        <a:blip cstate="print" r:embed="rId21"/>
        <a:stretch>
          <a:fillRect/>
        </a:stretch>
      </xdr:blipFill>
      <xdr:spPr>
        <a:prstGeom prst="rect">
          <a:avLst/>
        </a:prstGeom>
        <a:noFill/>
      </xdr:spPr>
    </xdr:pic>
    <xdr:clientData fLocksWithSheet="0"/>
  </xdr:oneCellAnchor>
  <xdr:oneCellAnchor>
    <xdr:from>
      <xdr:col>48</xdr:col>
      <xdr:colOff>0</xdr:colOff>
      <xdr:row>16</xdr:row>
      <xdr:rowOff>0</xdr:rowOff>
    </xdr:from>
    <xdr:ext cx="200025" cy="200025"/>
    <xdr:pic>
      <xdr:nvPicPr>
        <xdr:cNvPr id="0" name="image35.png"/>
        <xdr:cNvPicPr preferRelativeResize="0"/>
      </xdr:nvPicPr>
      <xdr:blipFill>
        <a:blip cstate="print" r:embed="rId21"/>
        <a:stretch>
          <a:fillRect/>
        </a:stretch>
      </xdr:blipFill>
      <xdr:spPr>
        <a:prstGeom prst="rect">
          <a:avLst/>
        </a:prstGeom>
        <a:noFill/>
      </xdr:spPr>
    </xdr:pic>
    <xdr:clientData fLocksWithSheet="0"/>
  </xdr:oneCellAnchor>
  <xdr:oneCellAnchor>
    <xdr:from>
      <xdr:col>53</xdr:col>
      <xdr:colOff>0</xdr:colOff>
      <xdr:row>16</xdr:row>
      <xdr:rowOff>0</xdr:rowOff>
    </xdr:from>
    <xdr:ext cx="200025" cy="200025"/>
    <xdr:pic>
      <xdr:nvPicPr>
        <xdr:cNvPr id="0" name="image35.png"/>
        <xdr:cNvPicPr preferRelativeResize="0"/>
      </xdr:nvPicPr>
      <xdr:blipFill>
        <a:blip cstate="print" r:embed="rId21"/>
        <a:stretch>
          <a:fillRect/>
        </a:stretch>
      </xdr:blipFill>
      <xdr:spPr>
        <a:prstGeom prst="rect">
          <a:avLst/>
        </a:prstGeom>
        <a:noFill/>
      </xdr:spPr>
    </xdr:pic>
    <xdr:clientData fLocksWithSheet="0"/>
  </xdr:oneCellAnchor>
  <xdr:oneCellAnchor>
    <xdr:from>
      <xdr:col>58</xdr:col>
      <xdr:colOff>0</xdr:colOff>
      <xdr:row>16</xdr:row>
      <xdr:rowOff>0</xdr:rowOff>
    </xdr:from>
    <xdr:ext cx="200025" cy="200025"/>
    <xdr:pic>
      <xdr:nvPicPr>
        <xdr:cNvPr id="0" name="image35.png"/>
        <xdr:cNvPicPr preferRelativeResize="0"/>
      </xdr:nvPicPr>
      <xdr:blipFill>
        <a:blip cstate="print" r:embed="rId21"/>
        <a:stretch>
          <a:fillRect/>
        </a:stretch>
      </xdr:blipFill>
      <xdr:spPr>
        <a:prstGeom prst="rect">
          <a:avLst/>
        </a:prstGeom>
        <a:noFill/>
      </xdr:spPr>
    </xdr:pic>
    <xdr:clientData fLocksWithSheet="0"/>
  </xdr:oneCellAnchor>
  <xdr:oneCellAnchor>
    <xdr:from>
      <xdr:col>63</xdr:col>
      <xdr:colOff>0</xdr:colOff>
      <xdr:row>16</xdr:row>
      <xdr:rowOff>0</xdr:rowOff>
    </xdr:from>
    <xdr:ext cx="200025" cy="200025"/>
    <xdr:pic>
      <xdr:nvPicPr>
        <xdr:cNvPr id="0" name="image36.png"/>
        <xdr:cNvPicPr preferRelativeResize="0"/>
      </xdr:nvPicPr>
      <xdr:blipFill>
        <a:blip cstate="print" r:embed="rId29"/>
        <a:stretch>
          <a:fillRect/>
        </a:stretch>
      </xdr:blipFill>
      <xdr:spPr>
        <a:prstGeom prst="rect">
          <a:avLst/>
        </a:prstGeom>
        <a:noFill/>
      </xdr:spPr>
    </xdr:pic>
    <xdr:clientData fLocksWithSheet="0"/>
  </xdr:oneCellAnchor>
  <xdr:oneCellAnchor>
    <xdr:from>
      <xdr:col>68</xdr:col>
      <xdr:colOff>0</xdr:colOff>
      <xdr:row>16</xdr:row>
      <xdr:rowOff>0</xdr:rowOff>
    </xdr:from>
    <xdr:ext cx="161925" cy="200025"/>
    <xdr:pic>
      <xdr:nvPicPr>
        <xdr:cNvPr id="0" name="image23.png"/>
        <xdr:cNvPicPr preferRelativeResize="0"/>
      </xdr:nvPicPr>
      <xdr:blipFill>
        <a:blip cstate="print" r:embed="rId11"/>
        <a:stretch>
          <a:fillRect/>
        </a:stretch>
      </xdr:blipFill>
      <xdr:spPr>
        <a:prstGeom prst="rect">
          <a:avLst/>
        </a:prstGeom>
        <a:noFill/>
      </xdr:spPr>
    </xdr:pic>
    <xdr:clientData fLocksWithSheet="0"/>
  </xdr:oneCellAnchor>
  <xdr:oneCellAnchor>
    <xdr:from>
      <xdr:col>73</xdr:col>
      <xdr:colOff>0</xdr:colOff>
      <xdr:row>16</xdr:row>
      <xdr:rowOff>0</xdr:rowOff>
    </xdr:from>
    <xdr:ext cx="161925" cy="200025"/>
    <xdr:pic>
      <xdr:nvPicPr>
        <xdr:cNvPr id="0" name="image23.png"/>
        <xdr:cNvPicPr preferRelativeResize="0"/>
      </xdr:nvPicPr>
      <xdr:blipFill>
        <a:blip cstate="print" r:embed="rId11"/>
        <a:stretch>
          <a:fillRect/>
        </a:stretch>
      </xdr:blipFill>
      <xdr:spPr>
        <a:prstGeom prst="rect">
          <a:avLst/>
        </a:prstGeom>
        <a:noFill/>
      </xdr:spPr>
    </xdr:pic>
    <xdr:clientData fLocksWithSheet="0"/>
  </xdr:oneCellAnchor>
  <xdr:oneCellAnchor>
    <xdr:from>
      <xdr:col>78</xdr:col>
      <xdr:colOff>0</xdr:colOff>
      <xdr:row>16</xdr:row>
      <xdr:rowOff>0</xdr:rowOff>
    </xdr:from>
    <xdr:ext cx="200025" cy="200025"/>
    <xdr:pic>
      <xdr:nvPicPr>
        <xdr:cNvPr id="0" name="image59.png"/>
        <xdr:cNvPicPr preferRelativeResize="0"/>
      </xdr:nvPicPr>
      <xdr:blipFill>
        <a:blip cstate="print" r:embed="rId43"/>
        <a:stretch>
          <a:fillRect/>
        </a:stretch>
      </xdr:blipFill>
      <xdr:spPr>
        <a:prstGeom prst="rect">
          <a:avLst/>
        </a:prstGeom>
        <a:noFill/>
      </xdr:spPr>
    </xdr:pic>
    <xdr:clientData fLocksWithSheet="0"/>
  </xdr:oneCellAnchor>
  <xdr:oneCellAnchor>
    <xdr:from>
      <xdr:col>83</xdr:col>
      <xdr:colOff>0</xdr:colOff>
      <xdr:row>16</xdr:row>
      <xdr:rowOff>0</xdr:rowOff>
    </xdr:from>
    <xdr:ext cx="200025" cy="200025"/>
    <xdr:pic>
      <xdr:nvPicPr>
        <xdr:cNvPr id="0" name="image31.png"/>
        <xdr:cNvPicPr preferRelativeResize="0"/>
      </xdr:nvPicPr>
      <xdr:blipFill>
        <a:blip cstate="print" r:embed="rId20"/>
        <a:stretch>
          <a:fillRect/>
        </a:stretch>
      </xdr:blipFill>
      <xdr:spPr>
        <a:prstGeom prst="rect">
          <a:avLst/>
        </a:prstGeom>
        <a:noFill/>
      </xdr:spPr>
    </xdr:pic>
    <xdr:clientData fLocksWithSheet="0"/>
  </xdr:oneCellAnchor>
  <xdr:oneCellAnchor>
    <xdr:from>
      <xdr:col>88</xdr:col>
      <xdr:colOff>0</xdr:colOff>
      <xdr:row>16</xdr:row>
      <xdr:rowOff>0</xdr:rowOff>
    </xdr:from>
    <xdr:ext cx="161925" cy="200025"/>
    <xdr:pic>
      <xdr:nvPicPr>
        <xdr:cNvPr id="0" name="image23.png"/>
        <xdr:cNvPicPr preferRelativeResize="0"/>
      </xdr:nvPicPr>
      <xdr:blipFill>
        <a:blip cstate="print" r:embed="rId11"/>
        <a:stretch>
          <a:fillRect/>
        </a:stretch>
      </xdr:blipFill>
      <xdr:spPr>
        <a:prstGeom prst="rect">
          <a:avLst/>
        </a:prstGeom>
        <a:noFill/>
      </xdr:spPr>
    </xdr:pic>
    <xdr:clientData fLocksWithSheet="0"/>
  </xdr:oneCellAnchor>
  <xdr:oneCellAnchor>
    <xdr:from>
      <xdr:col>93</xdr:col>
      <xdr:colOff>0</xdr:colOff>
      <xdr:row>16</xdr:row>
      <xdr:rowOff>0</xdr:rowOff>
    </xdr:from>
    <xdr:ext cx="161925" cy="200025"/>
    <xdr:pic>
      <xdr:nvPicPr>
        <xdr:cNvPr id="0" name="image23.png"/>
        <xdr:cNvPicPr preferRelativeResize="0"/>
      </xdr:nvPicPr>
      <xdr:blipFill>
        <a:blip cstate="print" r:embed="rId11"/>
        <a:stretch>
          <a:fillRect/>
        </a:stretch>
      </xdr:blipFill>
      <xdr:spPr>
        <a:prstGeom prst="rect">
          <a:avLst/>
        </a:prstGeom>
        <a:noFill/>
      </xdr:spPr>
    </xdr:pic>
    <xdr:clientData fLocksWithSheet="0"/>
  </xdr:oneCellAnchor>
  <xdr:oneCellAnchor>
    <xdr:from>
      <xdr:col>103</xdr:col>
      <xdr:colOff>0</xdr:colOff>
      <xdr:row>16</xdr:row>
      <xdr:rowOff>0</xdr:rowOff>
    </xdr:from>
    <xdr:ext cx="200025" cy="200025"/>
    <xdr:pic>
      <xdr:nvPicPr>
        <xdr:cNvPr id="0" name="image64.png"/>
        <xdr:cNvPicPr preferRelativeResize="0"/>
      </xdr:nvPicPr>
      <xdr:blipFill>
        <a:blip cstate="print" r:embed="rId44"/>
        <a:stretch>
          <a:fillRect/>
        </a:stretch>
      </xdr:blipFill>
      <xdr:spPr>
        <a:prstGeom prst="rect">
          <a:avLst/>
        </a:prstGeom>
        <a:noFill/>
      </xdr:spPr>
    </xdr:pic>
    <xdr:clientData fLocksWithSheet="0"/>
  </xdr:oneCellAnchor>
  <xdr:oneCellAnchor>
    <xdr:from>
      <xdr:col>38</xdr:col>
      <xdr:colOff>0</xdr:colOff>
      <xdr:row>17</xdr:row>
      <xdr:rowOff>0</xdr:rowOff>
    </xdr:from>
    <xdr:ext cx="200025" cy="200025"/>
    <xdr:pic>
      <xdr:nvPicPr>
        <xdr:cNvPr id="0" name="image19.png"/>
        <xdr:cNvPicPr preferRelativeResize="0"/>
      </xdr:nvPicPr>
      <xdr:blipFill>
        <a:blip cstate="print" r:embed="rId9"/>
        <a:stretch>
          <a:fillRect/>
        </a:stretch>
      </xdr:blipFill>
      <xdr:spPr>
        <a:prstGeom prst="rect">
          <a:avLst/>
        </a:prstGeom>
        <a:noFill/>
      </xdr:spPr>
    </xdr:pic>
    <xdr:clientData fLocksWithSheet="0"/>
  </xdr:oneCellAnchor>
  <xdr:oneCellAnchor>
    <xdr:from>
      <xdr:col>43</xdr:col>
      <xdr:colOff>0</xdr:colOff>
      <xdr:row>17</xdr:row>
      <xdr:rowOff>0</xdr:rowOff>
    </xdr:from>
    <xdr:ext cx="200025" cy="200025"/>
    <xdr:pic>
      <xdr:nvPicPr>
        <xdr:cNvPr id="0" name="image19.png"/>
        <xdr:cNvPicPr preferRelativeResize="0"/>
      </xdr:nvPicPr>
      <xdr:blipFill>
        <a:blip cstate="print" r:embed="rId9"/>
        <a:stretch>
          <a:fillRect/>
        </a:stretch>
      </xdr:blipFill>
      <xdr:spPr>
        <a:prstGeom prst="rect">
          <a:avLst/>
        </a:prstGeom>
        <a:noFill/>
      </xdr:spPr>
    </xdr:pic>
    <xdr:clientData fLocksWithSheet="0"/>
  </xdr:oneCellAnchor>
  <xdr:oneCellAnchor>
    <xdr:from>
      <xdr:col>48</xdr:col>
      <xdr:colOff>0</xdr:colOff>
      <xdr:row>17</xdr:row>
      <xdr:rowOff>0</xdr:rowOff>
    </xdr:from>
    <xdr:ext cx="200025" cy="200025"/>
    <xdr:pic>
      <xdr:nvPicPr>
        <xdr:cNvPr id="0" name="image19.png"/>
        <xdr:cNvPicPr preferRelativeResize="0"/>
      </xdr:nvPicPr>
      <xdr:blipFill>
        <a:blip cstate="print" r:embed="rId9"/>
        <a:stretch>
          <a:fillRect/>
        </a:stretch>
      </xdr:blipFill>
      <xdr:spPr>
        <a:prstGeom prst="rect">
          <a:avLst/>
        </a:prstGeom>
        <a:noFill/>
      </xdr:spPr>
    </xdr:pic>
    <xdr:clientData fLocksWithSheet="0"/>
  </xdr:oneCellAnchor>
  <xdr:oneCellAnchor>
    <xdr:from>
      <xdr:col>53</xdr:col>
      <xdr:colOff>0</xdr:colOff>
      <xdr:row>17</xdr:row>
      <xdr:rowOff>0</xdr:rowOff>
    </xdr:from>
    <xdr:ext cx="200025" cy="200025"/>
    <xdr:pic>
      <xdr:nvPicPr>
        <xdr:cNvPr id="0" name="image19.png"/>
        <xdr:cNvPicPr preferRelativeResize="0"/>
      </xdr:nvPicPr>
      <xdr:blipFill>
        <a:blip cstate="print" r:embed="rId9"/>
        <a:stretch>
          <a:fillRect/>
        </a:stretch>
      </xdr:blipFill>
      <xdr:spPr>
        <a:prstGeom prst="rect">
          <a:avLst/>
        </a:prstGeom>
        <a:noFill/>
      </xdr:spPr>
    </xdr:pic>
    <xdr:clientData fLocksWithSheet="0"/>
  </xdr:oneCellAnchor>
  <xdr:oneCellAnchor>
    <xdr:from>
      <xdr:col>58</xdr:col>
      <xdr:colOff>0</xdr:colOff>
      <xdr:row>17</xdr:row>
      <xdr:rowOff>0</xdr:rowOff>
    </xdr:from>
    <xdr:ext cx="200025" cy="200025"/>
    <xdr:pic>
      <xdr:nvPicPr>
        <xdr:cNvPr id="0" name="image19.png"/>
        <xdr:cNvPicPr preferRelativeResize="0"/>
      </xdr:nvPicPr>
      <xdr:blipFill>
        <a:blip cstate="print" r:embed="rId9"/>
        <a:stretch>
          <a:fillRect/>
        </a:stretch>
      </xdr:blipFill>
      <xdr:spPr>
        <a:prstGeom prst="rect">
          <a:avLst/>
        </a:prstGeom>
        <a:noFill/>
      </xdr:spPr>
    </xdr:pic>
    <xdr:clientData fLocksWithSheet="0"/>
  </xdr:oneCellAnchor>
  <xdr:oneCellAnchor>
    <xdr:from>
      <xdr:col>63</xdr:col>
      <xdr:colOff>0</xdr:colOff>
      <xdr:row>17</xdr:row>
      <xdr:rowOff>0</xdr:rowOff>
    </xdr:from>
    <xdr:ext cx="161925" cy="200025"/>
    <xdr:pic>
      <xdr:nvPicPr>
        <xdr:cNvPr id="0" name="image44.png"/>
        <xdr:cNvPicPr preferRelativeResize="0"/>
      </xdr:nvPicPr>
      <xdr:blipFill>
        <a:blip cstate="print" r:embed="rId34"/>
        <a:stretch>
          <a:fillRect/>
        </a:stretch>
      </xdr:blipFill>
      <xdr:spPr>
        <a:prstGeom prst="rect">
          <a:avLst/>
        </a:prstGeom>
        <a:noFill/>
      </xdr:spPr>
    </xdr:pic>
    <xdr:clientData fLocksWithSheet="0"/>
  </xdr:oneCellAnchor>
  <xdr:oneCellAnchor>
    <xdr:from>
      <xdr:col>68</xdr:col>
      <xdr:colOff>0</xdr:colOff>
      <xdr:row>17</xdr:row>
      <xdr:rowOff>0</xdr:rowOff>
    </xdr:from>
    <xdr:ext cx="200025" cy="200025"/>
    <xdr:pic>
      <xdr:nvPicPr>
        <xdr:cNvPr id="0" name="image59.png"/>
        <xdr:cNvPicPr preferRelativeResize="0"/>
      </xdr:nvPicPr>
      <xdr:blipFill>
        <a:blip cstate="print" r:embed="rId43"/>
        <a:stretch>
          <a:fillRect/>
        </a:stretch>
      </xdr:blipFill>
      <xdr:spPr>
        <a:prstGeom prst="rect">
          <a:avLst/>
        </a:prstGeom>
        <a:noFill/>
      </xdr:spPr>
    </xdr:pic>
    <xdr:clientData fLocksWithSheet="0"/>
  </xdr:oneCellAnchor>
  <xdr:oneCellAnchor>
    <xdr:from>
      <xdr:col>73</xdr:col>
      <xdr:colOff>0</xdr:colOff>
      <xdr:row>17</xdr:row>
      <xdr:rowOff>0</xdr:rowOff>
    </xdr:from>
    <xdr:ext cx="200025" cy="200025"/>
    <xdr:pic>
      <xdr:nvPicPr>
        <xdr:cNvPr id="0" name="image59.png"/>
        <xdr:cNvPicPr preferRelativeResize="0"/>
      </xdr:nvPicPr>
      <xdr:blipFill>
        <a:blip cstate="print" r:embed="rId43"/>
        <a:stretch>
          <a:fillRect/>
        </a:stretch>
      </xdr:blipFill>
      <xdr:spPr>
        <a:prstGeom prst="rect">
          <a:avLst/>
        </a:prstGeom>
        <a:noFill/>
      </xdr:spPr>
    </xdr:pic>
    <xdr:clientData fLocksWithSheet="0"/>
  </xdr:oneCellAnchor>
  <xdr:oneCellAnchor>
    <xdr:from>
      <xdr:col>78</xdr:col>
      <xdr:colOff>0</xdr:colOff>
      <xdr:row>17</xdr:row>
      <xdr:rowOff>0</xdr:rowOff>
    </xdr:from>
    <xdr:ext cx="200025" cy="200025"/>
    <xdr:pic>
      <xdr:nvPicPr>
        <xdr:cNvPr id="0" name="image34.png"/>
        <xdr:cNvPicPr preferRelativeResize="0"/>
      </xdr:nvPicPr>
      <xdr:blipFill>
        <a:blip cstate="print" r:embed="rId15"/>
        <a:stretch>
          <a:fillRect/>
        </a:stretch>
      </xdr:blipFill>
      <xdr:spPr>
        <a:prstGeom prst="rect">
          <a:avLst/>
        </a:prstGeom>
        <a:noFill/>
      </xdr:spPr>
    </xdr:pic>
    <xdr:clientData fLocksWithSheet="0"/>
  </xdr:oneCellAnchor>
  <xdr:oneCellAnchor>
    <xdr:from>
      <xdr:col>83</xdr:col>
      <xdr:colOff>0</xdr:colOff>
      <xdr:row>17</xdr:row>
      <xdr:rowOff>0</xdr:rowOff>
    </xdr:from>
    <xdr:ext cx="200025" cy="200025"/>
    <xdr:pic>
      <xdr:nvPicPr>
        <xdr:cNvPr id="0" name="image41.png"/>
        <xdr:cNvPicPr preferRelativeResize="0"/>
      </xdr:nvPicPr>
      <xdr:blipFill>
        <a:blip cstate="print" r:embed="rId23"/>
        <a:stretch>
          <a:fillRect/>
        </a:stretch>
      </xdr:blipFill>
      <xdr:spPr>
        <a:prstGeom prst="rect">
          <a:avLst/>
        </a:prstGeom>
        <a:noFill/>
      </xdr:spPr>
    </xdr:pic>
    <xdr:clientData fLocksWithSheet="0"/>
  </xdr:oneCellAnchor>
  <xdr:oneCellAnchor>
    <xdr:from>
      <xdr:col>88</xdr:col>
      <xdr:colOff>0</xdr:colOff>
      <xdr:row>17</xdr:row>
      <xdr:rowOff>0</xdr:rowOff>
    </xdr:from>
    <xdr:ext cx="200025" cy="200025"/>
    <xdr:pic>
      <xdr:nvPicPr>
        <xdr:cNvPr id="0" name="image55.png"/>
        <xdr:cNvPicPr preferRelativeResize="0"/>
      </xdr:nvPicPr>
      <xdr:blipFill>
        <a:blip cstate="print" r:embed="rId45"/>
        <a:stretch>
          <a:fillRect/>
        </a:stretch>
      </xdr:blipFill>
      <xdr:spPr>
        <a:prstGeom prst="rect">
          <a:avLst/>
        </a:prstGeom>
        <a:noFill/>
      </xdr:spPr>
    </xdr:pic>
    <xdr:clientData fLocksWithSheet="0"/>
  </xdr:oneCellAnchor>
  <xdr:oneCellAnchor>
    <xdr:from>
      <xdr:col>93</xdr:col>
      <xdr:colOff>0</xdr:colOff>
      <xdr:row>17</xdr:row>
      <xdr:rowOff>0</xdr:rowOff>
    </xdr:from>
    <xdr:ext cx="200025" cy="200025"/>
    <xdr:pic>
      <xdr:nvPicPr>
        <xdr:cNvPr id="0" name="image55.png"/>
        <xdr:cNvPicPr preferRelativeResize="0"/>
      </xdr:nvPicPr>
      <xdr:blipFill>
        <a:blip cstate="print" r:embed="rId45"/>
        <a:stretch>
          <a:fillRect/>
        </a:stretch>
      </xdr:blipFill>
      <xdr:spPr>
        <a:prstGeom prst="rect">
          <a:avLst/>
        </a:prstGeom>
        <a:noFill/>
      </xdr:spPr>
    </xdr:pic>
    <xdr:clientData fLocksWithSheet="0"/>
  </xdr:oneCellAnchor>
  <xdr:oneCellAnchor>
    <xdr:from>
      <xdr:col>103</xdr:col>
      <xdr:colOff>0</xdr:colOff>
      <xdr:row>17</xdr:row>
      <xdr:rowOff>0</xdr:rowOff>
    </xdr:from>
    <xdr:ext cx="200025" cy="200025"/>
    <xdr:pic>
      <xdr:nvPicPr>
        <xdr:cNvPr id="0" name="image57.png"/>
        <xdr:cNvPicPr preferRelativeResize="0"/>
      </xdr:nvPicPr>
      <xdr:blipFill>
        <a:blip cstate="print" r:embed="rId46"/>
        <a:stretch>
          <a:fillRect/>
        </a:stretch>
      </xdr:blipFill>
      <xdr:spPr>
        <a:prstGeom prst="rect">
          <a:avLst/>
        </a:prstGeom>
        <a:noFill/>
      </xdr:spPr>
    </xdr:pic>
    <xdr:clientData fLocksWithSheet="0"/>
  </xdr:oneCellAnchor>
  <xdr:oneCellAnchor>
    <xdr:from>
      <xdr:col>38</xdr:col>
      <xdr:colOff>0</xdr:colOff>
      <xdr:row>18</xdr:row>
      <xdr:rowOff>0</xdr:rowOff>
    </xdr:from>
    <xdr:ext cx="200025" cy="200025"/>
    <xdr:pic>
      <xdr:nvPicPr>
        <xdr:cNvPr id="0" name="image39.png"/>
        <xdr:cNvPicPr preferRelativeResize="0"/>
      </xdr:nvPicPr>
      <xdr:blipFill>
        <a:blip cstate="print" r:embed="rId26"/>
        <a:stretch>
          <a:fillRect/>
        </a:stretch>
      </xdr:blipFill>
      <xdr:spPr>
        <a:prstGeom prst="rect">
          <a:avLst/>
        </a:prstGeom>
        <a:noFill/>
      </xdr:spPr>
    </xdr:pic>
    <xdr:clientData fLocksWithSheet="0"/>
  </xdr:oneCellAnchor>
  <xdr:oneCellAnchor>
    <xdr:from>
      <xdr:col>43</xdr:col>
      <xdr:colOff>0</xdr:colOff>
      <xdr:row>18</xdr:row>
      <xdr:rowOff>0</xdr:rowOff>
    </xdr:from>
    <xdr:ext cx="200025" cy="200025"/>
    <xdr:pic>
      <xdr:nvPicPr>
        <xdr:cNvPr id="0" name="image39.png"/>
        <xdr:cNvPicPr preferRelativeResize="0"/>
      </xdr:nvPicPr>
      <xdr:blipFill>
        <a:blip cstate="print" r:embed="rId26"/>
        <a:stretch>
          <a:fillRect/>
        </a:stretch>
      </xdr:blipFill>
      <xdr:spPr>
        <a:prstGeom prst="rect">
          <a:avLst/>
        </a:prstGeom>
        <a:noFill/>
      </xdr:spPr>
    </xdr:pic>
    <xdr:clientData fLocksWithSheet="0"/>
  </xdr:oneCellAnchor>
  <xdr:oneCellAnchor>
    <xdr:from>
      <xdr:col>48</xdr:col>
      <xdr:colOff>0</xdr:colOff>
      <xdr:row>18</xdr:row>
      <xdr:rowOff>0</xdr:rowOff>
    </xdr:from>
    <xdr:ext cx="200025" cy="200025"/>
    <xdr:pic>
      <xdr:nvPicPr>
        <xdr:cNvPr id="0" name="image39.png"/>
        <xdr:cNvPicPr preferRelativeResize="0"/>
      </xdr:nvPicPr>
      <xdr:blipFill>
        <a:blip cstate="print" r:embed="rId26"/>
        <a:stretch>
          <a:fillRect/>
        </a:stretch>
      </xdr:blipFill>
      <xdr:spPr>
        <a:prstGeom prst="rect">
          <a:avLst/>
        </a:prstGeom>
        <a:noFill/>
      </xdr:spPr>
    </xdr:pic>
    <xdr:clientData fLocksWithSheet="0"/>
  </xdr:oneCellAnchor>
  <xdr:oneCellAnchor>
    <xdr:from>
      <xdr:col>53</xdr:col>
      <xdr:colOff>0</xdr:colOff>
      <xdr:row>18</xdr:row>
      <xdr:rowOff>0</xdr:rowOff>
    </xdr:from>
    <xdr:ext cx="200025" cy="200025"/>
    <xdr:pic>
      <xdr:nvPicPr>
        <xdr:cNvPr id="0" name="image39.png"/>
        <xdr:cNvPicPr preferRelativeResize="0"/>
      </xdr:nvPicPr>
      <xdr:blipFill>
        <a:blip cstate="print" r:embed="rId26"/>
        <a:stretch>
          <a:fillRect/>
        </a:stretch>
      </xdr:blipFill>
      <xdr:spPr>
        <a:prstGeom prst="rect">
          <a:avLst/>
        </a:prstGeom>
        <a:noFill/>
      </xdr:spPr>
    </xdr:pic>
    <xdr:clientData fLocksWithSheet="0"/>
  </xdr:oneCellAnchor>
  <xdr:oneCellAnchor>
    <xdr:from>
      <xdr:col>58</xdr:col>
      <xdr:colOff>0</xdr:colOff>
      <xdr:row>18</xdr:row>
      <xdr:rowOff>0</xdr:rowOff>
    </xdr:from>
    <xdr:ext cx="200025" cy="200025"/>
    <xdr:pic>
      <xdr:nvPicPr>
        <xdr:cNvPr id="0" name="image39.png"/>
        <xdr:cNvPicPr preferRelativeResize="0"/>
      </xdr:nvPicPr>
      <xdr:blipFill>
        <a:blip cstate="print" r:embed="rId26"/>
        <a:stretch>
          <a:fillRect/>
        </a:stretch>
      </xdr:blipFill>
      <xdr:spPr>
        <a:prstGeom prst="rect">
          <a:avLst/>
        </a:prstGeom>
        <a:noFill/>
      </xdr:spPr>
    </xdr:pic>
    <xdr:clientData fLocksWithSheet="0"/>
  </xdr:oneCellAnchor>
  <xdr:oneCellAnchor>
    <xdr:from>
      <xdr:col>63</xdr:col>
      <xdr:colOff>0</xdr:colOff>
      <xdr:row>18</xdr:row>
      <xdr:rowOff>0</xdr:rowOff>
    </xdr:from>
    <xdr:ext cx="200025" cy="200025"/>
    <xdr:pic>
      <xdr:nvPicPr>
        <xdr:cNvPr id="0" name="image22.png"/>
        <xdr:cNvPicPr preferRelativeResize="0"/>
      </xdr:nvPicPr>
      <xdr:blipFill>
        <a:blip cstate="print" r:embed="rId8"/>
        <a:stretch>
          <a:fillRect/>
        </a:stretch>
      </xdr:blipFill>
      <xdr:spPr>
        <a:prstGeom prst="rect">
          <a:avLst/>
        </a:prstGeom>
        <a:noFill/>
      </xdr:spPr>
    </xdr:pic>
    <xdr:clientData fLocksWithSheet="0"/>
  </xdr:oneCellAnchor>
  <xdr:oneCellAnchor>
    <xdr:from>
      <xdr:col>68</xdr:col>
      <xdr:colOff>0</xdr:colOff>
      <xdr:row>18</xdr:row>
      <xdr:rowOff>0</xdr:rowOff>
    </xdr:from>
    <xdr:ext cx="200025" cy="200025"/>
    <xdr:pic>
      <xdr:nvPicPr>
        <xdr:cNvPr id="0" name="image34.png"/>
        <xdr:cNvPicPr preferRelativeResize="0"/>
      </xdr:nvPicPr>
      <xdr:blipFill>
        <a:blip cstate="print" r:embed="rId15"/>
        <a:stretch>
          <a:fillRect/>
        </a:stretch>
      </xdr:blipFill>
      <xdr:spPr>
        <a:prstGeom prst="rect">
          <a:avLst/>
        </a:prstGeom>
        <a:noFill/>
      </xdr:spPr>
    </xdr:pic>
    <xdr:clientData fLocksWithSheet="0"/>
  </xdr:oneCellAnchor>
  <xdr:oneCellAnchor>
    <xdr:from>
      <xdr:col>73</xdr:col>
      <xdr:colOff>0</xdr:colOff>
      <xdr:row>18</xdr:row>
      <xdr:rowOff>0</xdr:rowOff>
    </xdr:from>
    <xdr:ext cx="200025" cy="200025"/>
    <xdr:pic>
      <xdr:nvPicPr>
        <xdr:cNvPr id="0" name="image34.png"/>
        <xdr:cNvPicPr preferRelativeResize="0"/>
      </xdr:nvPicPr>
      <xdr:blipFill>
        <a:blip cstate="print" r:embed="rId15"/>
        <a:stretch>
          <a:fillRect/>
        </a:stretch>
      </xdr:blipFill>
      <xdr:spPr>
        <a:prstGeom prst="rect">
          <a:avLst/>
        </a:prstGeom>
        <a:noFill/>
      </xdr:spPr>
    </xdr:pic>
    <xdr:clientData fLocksWithSheet="0"/>
  </xdr:oneCellAnchor>
  <xdr:oneCellAnchor>
    <xdr:from>
      <xdr:col>78</xdr:col>
      <xdr:colOff>0</xdr:colOff>
      <xdr:row>18</xdr:row>
      <xdr:rowOff>0</xdr:rowOff>
    </xdr:from>
    <xdr:ext cx="200025" cy="200025"/>
    <xdr:pic>
      <xdr:nvPicPr>
        <xdr:cNvPr id="0" name="image66.png"/>
        <xdr:cNvPicPr preferRelativeResize="0"/>
      </xdr:nvPicPr>
      <xdr:blipFill>
        <a:blip cstate="print" r:embed="rId47"/>
        <a:stretch>
          <a:fillRect/>
        </a:stretch>
      </xdr:blipFill>
      <xdr:spPr>
        <a:prstGeom prst="rect">
          <a:avLst/>
        </a:prstGeom>
        <a:noFill/>
      </xdr:spPr>
    </xdr:pic>
    <xdr:clientData fLocksWithSheet="0"/>
  </xdr:oneCellAnchor>
  <xdr:oneCellAnchor>
    <xdr:from>
      <xdr:col>83</xdr:col>
      <xdr:colOff>0</xdr:colOff>
      <xdr:row>18</xdr:row>
      <xdr:rowOff>0</xdr:rowOff>
    </xdr:from>
    <xdr:ext cx="200025" cy="200025"/>
    <xdr:pic>
      <xdr:nvPicPr>
        <xdr:cNvPr id="0" name="image50.png"/>
        <xdr:cNvPicPr preferRelativeResize="0"/>
      </xdr:nvPicPr>
      <xdr:blipFill>
        <a:blip cstate="print" r:embed="rId40"/>
        <a:stretch>
          <a:fillRect/>
        </a:stretch>
      </xdr:blipFill>
      <xdr:spPr>
        <a:prstGeom prst="rect">
          <a:avLst/>
        </a:prstGeom>
        <a:noFill/>
      </xdr:spPr>
    </xdr:pic>
    <xdr:clientData fLocksWithSheet="0"/>
  </xdr:oneCellAnchor>
  <xdr:oneCellAnchor>
    <xdr:from>
      <xdr:col>88</xdr:col>
      <xdr:colOff>0</xdr:colOff>
      <xdr:row>18</xdr:row>
      <xdr:rowOff>0</xdr:rowOff>
    </xdr:from>
    <xdr:ext cx="200025" cy="200025"/>
    <xdr:pic>
      <xdr:nvPicPr>
        <xdr:cNvPr id="0" name="image61.png"/>
        <xdr:cNvPicPr preferRelativeResize="0"/>
      </xdr:nvPicPr>
      <xdr:blipFill>
        <a:blip cstate="print" r:embed="rId48"/>
        <a:stretch>
          <a:fillRect/>
        </a:stretch>
      </xdr:blipFill>
      <xdr:spPr>
        <a:prstGeom prst="rect">
          <a:avLst/>
        </a:prstGeom>
        <a:noFill/>
      </xdr:spPr>
    </xdr:pic>
    <xdr:clientData fLocksWithSheet="0"/>
  </xdr:oneCellAnchor>
  <xdr:oneCellAnchor>
    <xdr:from>
      <xdr:col>93</xdr:col>
      <xdr:colOff>0</xdr:colOff>
      <xdr:row>18</xdr:row>
      <xdr:rowOff>0</xdr:rowOff>
    </xdr:from>
    <xdr:ext cx="200025" cy="200025"/>
    <xdr:pic>
      <xdr:nvPicPr>
        <xdr:cNvPr id="0" name="image61.png"/>
        <xdr:cNvPicPr preferRelativeResize="0"/>
      </xdr:nvPicPr>
      <xdr:blipFill>
        <a:blip cstate="print" r:embed="rId48"/>
        <a:stretch>
          <a:fillRect/>
        </a:stretch>
      </xdr:blipFill>
      <xdr:spPr>
        <a:prstGeom prst="rect">
          <a:avLst/>
        </a:prstGeom>
        <a:noFill/>
      </xdr:spPr>
    </xdr:pic>
    <xdr:clientData fLocksWithSheet="0"/>
  </xdr:oneCellAnchor>
  <xdr:oneCellAnchor>
    <xdr:from>
      <xdr:col>38</xdr:col>
      <xdr:colOff>0</xdr:colOff>
      <xdr:row>19</xdr:row>
      <xdr:rowOff>0</xdr:rowOff>
    </xdr:from>
    <xdr:ext cx="200025" cy="200025"/>
    <xdr:pic>
      <xdr:nvPicPr>
        <xdr:cNvPr id="0" name="image46.png"/>
        <xdr:cNvPicPr preferRelativeResize="0"/>
      </xdr:nvPicPr>
      <xdr:blipFill>
        <a:blip cstate="print" r:embed="rId17"/>
        <a:stretch>
          <a:fillRect/>
        </a:stretch>
      </xdr:blipFill>
      <xdr:spPr>
        <a:prstGeom prst="rect">
          <a:avLst/>
        </a:prstGeom>
        <a:noFill/>
      </xdr:spPr>
    </xdr:pic>
    <xdr:clientData fLocksWithSheet="0"/>
  </xdr:oneCellAnchor>
  <xdr:oneCellAnchor>
    <xdr:from>
      <xdr:col>43</xdr:col>
      <xdr:colOff>0</xdr:colOff>
      <xdr:row>19</xdr:row>
      <xdr:rowOff>0</xdr:rowOff>
    </xdr:from>
    <xdr:ext cx="200025" cy="200025"/>
    <xdr:pic>
      <xdr:nvPicPr>
        <xdr:cNvPr id="0" name="image46.png"/>
        <xdr:cNvPicPr preferRelativeResize="0"/>
      </xdr:nvPicPr>
      <xdr:blipFill>
        <a:blip cstate="print" r:embed="rId17"/>
        <a:stretch>
          <a:fillRect/>
        </a:stretch>
      </xdr:blipFill>
      <xdr:spPr>
        <a:prstGeom prst="rect">
          <a:avLst/>
        </a:prstGeom>
        <a:noFill/>
      </xdr:spPr>
    </xdr:pic>
    <xdr:clientData fLocksWithSheet="0"/>
  </xdr:oneCellAnchor>
  <xdr:oneCellAnchor>
    <xdr:from>
      <xdr:col>48</xdr:col>
      <xdr:colOff>0</xdr:colOff>
      <xdr:row>19</xdr:row>
      <xdr:rowOff>0</xdr:rowOff>
    </xdr:from>
    <xdr:ext cx="200025" cy="200025"/>
    <xdr:pic>
      <xdr:nvPicPr>
        <xdr:cNvPr id="0" name="image46.png"/>
        <xdr:cNvPicPr preferRelativeResize="0"/>
      </xdr:nvPicPr>
      <xdr:blipFill>
        <a:blip cstate="print" r:embed="rId17"/>
        <a:stretch>
          <a:fillRect/>
        </a:stretch>
      </xdr:blipFill>
      <xdr:spPr>
        <a:prstGeom prst="rect">
          <a:avLst/>
        </a:prstGeom>
        <a:noFill/>
      </xdr:spPr>
    </xdr:pic>
    <xdr:clientData fLocksWithSheet="0"/>
  </xdr:oneCellAnchor>
  <xdr:oneCellAnchor>
    <xdr:from>
      <xdr:col>53</xdr:col>
      <xdr:colOff>0</xdr:colOff>
      <xdr:row>19</xdr:row>
      <xdr:rowOff>0</xdr:rowOff>
    </xdr:from>
    <xdr:ext cx="200025" cy="200025"/>
    <xdr:pic>
      <xdr:nvPicPr>
        <xdr:cNvPr id="0" name="image46.png"/>
        <xdr:cNvPicPr preferRelativeResize="0"/>
      </xdr:nvPicPr>
      <xdr:blipFill>
        <a:blip cstate="print" r:embed="rId17"/>
        <a:stretch>
          <a:fillRect/>
        </a:stretch>
      </xdr:blipFill>
      <xdr:spPr>
        <a:prstGeom prst="rect">
          <a:avLst/>
        </a:prstGeom>
        <a:noFill/>
      </xdr:spPr>
    </xdr:pic>
    <xdr:clientData fLocksWithSheet="0"/>
  </xdr:oneCellAnchor>
  <xdr:oneCellAnchor>
    <xdr:from>
      <xdr:col>58</xdr:col>
      <xdr:colOff>0</xdr:colOff>
      <xdr:row>19</xdr:row>
      <xdr:rowOff>0</xdr:rowOff>
    </xdr:from>
    <xdr:ext cx="200025" cy="200025"/>
    <xdr:pic>
      <xdr:nvPicPr>
        <xdr:cNvPr id="0" name="image46.png"/>
        <xdr:cNvPicPr preferRelativeResize="0"/>
      </xdr:nvPicPr>
      <xdr:blipFill>
        <a:blip cstate="print" r:embed="rId17"/>
        <a:stretch>
          <a:fillRect/>
        </a:stretch>
      </xdr:blipFill>
      <xdr:spPr>
        <a:prstGeom prst="rect">
          <a:avLst/>
        </a:prstGeom>
        <a:noFill/>
      </xdr:spPr>
    </xdr:pic>
    <xdr:clientData fLocksWithSheet="0"/>
  </xdr:oneCellAnchor>
  <xdr:oneCellAnchor>
    <xdr:from>
      <xdr:col>63</xdr:col>
      <xdr:colOff>0</xdr:colOff>
      <xdr:row>19</xdr:row>
      <xdr:rowOff>0</xdr:rowOff>
    </xdr:from>
    <xdr:ext cx="200025" cy="200025"/>
    <xdr:pic>
      <xdr:nvPicPr>
        <xdr:cNvPr id="0" name="image50.png"/>
        <xdr:cNvPicPr preferRelativeResize="0"/>
      </xdr:nvPicPr>
      <xdr:blipFill>
        <a:blip cstate="print" r:embed="rId40"/>
        <a:stretch>
          <a:fillRect/>
        </a:stretch>
      </xdr:blipFill>
      <xdr:spPr>
        <a:prstGeom prst="rect">
          <a:avLst/>
        </a:prstGeom>
        <a:noFill/>
      </xdr:spPr>
    </xdr:pic>
    <xdr:clientData fLocksWithSheet="0"/>
  </xdr:oneCellAnchor>
  <xdr:oneCellAnchor>
    <xdr:from>
      <xdr:col>68</xdr:col>
      <xdr:colOff>0</xdr:colOff>
      <xdr:row>19</xdr:row>
      <xdr:rowOff>0</xdr:rowOff>
    </xdr:from>
    <xdr:ext cx="200025" cy="200025"/>
    <xdr:pic>
      <xdr:nvPicPr>
        <xdr:cNvPr id="0" name="image66.png"/>
        <xdr:cNvPicPr preferRelativeResize="0"/>
      </xdr:nvPicPr>
      <xdr:blipFill>
        <a:blip cstate="print" r:embed="rId47"/>
        <a:stretch>
          <a:fillRect/>
        </a:stretch>
      </xdr:blipFill>
      <xdr:spPr>
        <a:prstGeom prst="rect">
          <a:avLst/>
        </a:prstGeom>
        <a:noFill/>
      </xdr:spPr>
    </xdr:pic>
    <xdr:clientData fLocksWithSheet="0"/>
  </xdr:oneCellAnchor>
  <xdr:oneCellAnchor>
    <xdr:from>
      <xdr:col>73</xdr:col>
      <xdr:colOff>0</xdr:colOff>
      <xdr:row>19</xdr:row>
      <xdr:rowOff>0</xdr:rowOff>
    </xdr:from>
    <xdr:ext cx="200025" cy="200025"/>
    <xdr:pic>
      <xdr:nvPicPr>
        <xdr:cNvPr id="0" name="image66.png"/>
        <xdr:cNvPicPr preferRelativeResize="0"/>
      </xdr:nvPicPr>
      <xdr:blipFill>
        <a:blip cstate="print" r:embed="rId47"/>
        <a:stretch>
          <a:fillRect/>
        </a:stretch>
      </xdr:blipFill>
      <xdr:spPr>
        <a:prstGeom prst="rect">
          <a:avLst/>
        </a:prstGeom>
        <a:noFill/>
      </xdr:spPr>
    </xdr:pic>
    <xdr:clientData fLocksWithSheet="0"/>
  </xdr:oneCellAnchor>
  <xdr:oneCellAnchor>
    <xdr:from>
      <xdr:col>78</xdr:col>
      <xdr:colOff>0</xdr:colOff>
      <xdr:row>19</xdr:row>
      <xdr:rowOff>0</xdr:rowOff>
    </xdr:from>
    <xdr:ext cx="285750" cy="142875"/>
    <xdr:pic>
      <xdr:nvPicPr>
        <xdr:cNvPr id="0" name="image32.png"/>
        <xdr:cNvPicPr preferRelativeResize="0"/>
      </xdr:nvPicPr>
      <xdr:blipFill>
        <a:blip cstate="print" r:embed="rId19"/>
        <a:stretch>
          <a:fillRect/>
        </a:stretch>
      </xdr:blipFill>
      <xdr:spPr>
        <a:prstGeom prst="rect">
          <a:avLst/>
        </a:prstGeom>
        <a:noFill/>
      </xdr:spPr>
    </xdr:pic>
    <xdr:clientData fLocksWithSheet="0"/>
  </xdr:oneCellAnchor>
  <xdr:oneCellAnchor>
    <xdr:from>
      <xdr:col>83</xdr:col>
      <xdr:colOff>0</xdr:colOff>
      <xdr:row>19</xdr:row>
      <xdr:rowOff>0</xdr:rowOff>
    </xdr:from>
    <xdr:ext cx="161925" cy="200025"/>
    <xdr:pic>
      <xdr:nvPicPr>
        <xdr:cNvPr id="0" name="image23.png"/>
        <xdr:cNvPicPr preferRelativeResize="0"/>
      </xdr:nvPicPr>
      <xdr:blipFill>
        <a:blip cstate="print" r:embed="rId11"/>
        <a:stretch>
          <a:fillRect/>
        </a:stretch>
      </xdr:blipFill>
      <xdr:spPr>
        <a:prstGeom prst="rect">
          <a:avLst/>
        </a:prstGeom>
        <a:noFill/>
      </xdr:spPr>
    </xdr:pic>
    <xdr:clientData fLocksWithSheet="0"/>
  </xdr:oneCellAnchor>
  <xdr:oneCellAnchor>
    <xdr:from>
      <xdr:col>88</xdr:col>
      <xdr:colOff>0</xdr:colOff>
      <xdr:row>19</xdr:row>
      <xdr:rowOff>0</xdr:rowOff>
    </xdr:from>
    <xdr:ext cx="200025" cy="200025"/>
    <xdr:pic>
      <xdr:nvPicPr>
        <xdr:cNvPr id="0" name="image63.png"/>
        <xdr:cNvPicPr preferRelativeResize="0"/>
      </xdr:nvPicPr>
      <xdr:blipFill>
        <a:blip cstate="print" r:embed="rId49"/>
        <a:stretch>
          <a:fillRect/>
        </a:stretch>
      </xdr:blipFill>
      <xdr:spPr>
        <a:prstGeom prst="rect">
          <a:avLst/>
        </a:prstGeom>
        <a:noFill/>
      </xdr:spPr>
    </xdr:pic>
    <xdr:clientData fLocksWithSheet="0"/>
  </xdr:oneCellAnchor>
  <xdr:oneCellAnchor>
    <xdr:from>
      <xdr:col>93</xdr:col>
      <xdr:colOff>0</xdr:colOff>
      <xdr:row>19</xdr:row>
      <xdr:rowOff>0</xdr:rowOff>
    </xdr:from>
    <xdr:ext cx="200025" cy="200025"/>
    <xdr:pic>
      <xdr:nvPicPr>
        <xdr:cNvPr id="0" name="image63.png"/>
        <xdr:cNvPicPr preferRelativeResize="0"/>
      </xdr:nvPicPr>
      <xdr:blipFill>
        <a:blip cstate="print" r:embed="rId49"/>
        <a:stretch>
          <a:fillRect/>
        </a:stretch>
      </xdr:blipFill>
      <xdr:spPr>
        <a:prstGeom prst="rect">
          <a:avLst/>
        </a:prstGeom>
        <a:noFill/>
      </xdr:spPr>
    </xdr:pic>
    <xdr:clientData fLocksWithSheet="0"/>
  </xdr:oneCellAnchor>
  <xdr:oneCellAnchor>
    <xdr:from>
      <xdr:col>38</xdr:col>
      <xdr:colOff>0</xdr:colOff>
      <xdr:row>20</xdr:row>
      <xdr:rowOff>0</xdr:rowOff>
    </xdr:from>
    <xdr:ext cx="200025" cy="200025"/>
    <xdr:pic>
      <xdr:nvPicPr>
        <xdr:cNvPr id="0" name="image28.png"/>
        <xdr:cNvPicPr preferRelativeResize="0"/>
      </xdr:nvPicPr>
      <xdr:blipFill>
        <a:blip cstate="print" r:embed="rId12"/>
        <a:stretch>
          <a:fillRect/>
        </a:stretch>
      </xdr:blipFill>
      <xdr:spPr>
        <a:prstGeom prst="rect">
          <a:avLst/>
        </a:prstGeom>
        <a:noFill/>
      </xdr:spPr>
    </xdr:pic>
    <xdr:clientData fLocksWithSheet="0"/>
  </xdr:oneCellAnchor>
  <xdr:oneCellAnchor>
    <xdr:from>
      <xdr:col>43</xdr:col>
      <xdr:colOff>0</xdr:colOff>
      <xdr:row>20</xdr:row>
      <xdr:rowOff>0</xdr:rowOff>
    </xdr:from>
    <xdr:ext cx="200025" cy="200025"/>
    <xdr:pic>
      <xdr:nvPicPr>
        <xdr:cNvPr id="0" name="image28.png"/>
        <xdr:cNvPicPr preferRelativeResize="0"/>
      </xdr:nvPicPr>
      <xdr:blipFill>
        <a:blip cstate="print" r:embed="rId12"/>
        <a:stretch>
          <a:fillRect/>
        </a:stretch>
      </xdr:blipFill>
      <xdr:spPr>
        <a:prstGeom prst="rect">
          <a:avLst/>
        </a:prstGeom>
        <a:noFill/>
      </xdr:spPr>
    </xdr:pic>
    <xdr:clientData fLocksWithSheet="0"/>
  </xdr:oneCellAnchor>
  <xdr:oneCellAnchor>
    <xdr:from>
      <xdr:col>48</xdr:col>
      <xdr:colOff>0</xdr:colOff>
      <xdr:row>20</xdr:row>
      <xdr:rowOff>0</xdr:rowOff>
    </xdr:from>
    <xdr:ext cx="200025" cy="200025"/>
    <xdr:pic>
      <xdr:nvPicPr>
        <xdr:cNvPr id="0" name="image28.png"/>
        <xdr:cNvPicPr preferRelativeResize="0"/>
      </xdr:nvPicPr>
      <xdr:blipFill>
        <a:blip cstate="print" r:embed="rId12"/>
        <a:stretch>
          <a:fillRect/>
        </a:stretch>
      </xdr:blipFill>
      <xdr:spPr>
        <a:prstGeom prst="rect">
          <a:avLst/>
        </a:prstGeom>
        <a:noFill/>
      </xdr:spPr>
    </xdr:pic>
    <xdr:clientData fLocksWithSheet="0"/>
  </xdr:oneCellAnchor>
  <xdr:oneCellAnchor>
    <xdr:from>
      <xdr:col>53</xdr:col>
      <xdr:colOff>0</xdr:colOff>
      <xdr:row>20</xdr:row>
      <xdr:rowOff>0</xdr:rowOff>
    </xdr:from>
    <xdr:ext cx="200025" cy="200025"/>
    <xdr:pic>
      <xdr:nvPicPr>
        <xdr:cNvPr id="0" name="image28.png"/>
        <xdr:cNvPicPr preferRelativeResize="0"/>
      </xdr:nvPicPr>
      <xdr:blipFill>
        <a:blip cstate="print" r:embed="rId12"/>
        <a:stretch>
          <a:fillRect/>
        </a:stretch>
      </xdr:blipFill>
      <xdr:spPr>
        <a:prstGeom prst="rect">
          <a:avLst/>
        </a:prstGeom>
        <a:noFill/>
      </xdr:spPr>
    </xdr:pic>
    <xdr:clientData fLocksWithSheet="0"/>
  </xdr:oneCellAnchor>
  <xdr:oneCellAnchor>
    <xdr:from>
      <xdr:col>58</xdr:col>
      <xdr:colOff>0</xdr:colOff>
      <xdr:row>20</xdr:row>
      <xdr:rowOff>0</xdr:rowOff>
    </xdr:from>
    <xdr:ext cx="200025" cy="200025"/>
    <xdr:pic>
      <xdr:nvPicPr>
        <xdr:cNvPr id="0" name="image28.png"/>
        <xdr:cNvPicPr preferRelativeResize="0"/>
      </xdr:nvPicPr>
      <xdr:blipFill>
        <a:blip cstate="print" r:embed="rId12"/>
        <a:stretch>
          <a:fillRect/>
        </a:stretch>
      </xdr:blipFill>
      <xdr:spPr>
        <a:prstGeom prst="rect">
          <a:avLst/>
        </a:prstGeom>
        <a:noFill/>
      </xdr:spPr>
    </xdr:pic>
    <xdr:clientData fLocksWithSheet="0"/>
  </xdr:oneCellAnchor>
  <xdr:oneCellAnchor>
    <xdr:from>
      <xdr:col>63</xdr:col>
      <xdr:colOff>0</xdr:colOff>
      <xdr:row>20</xdr:row>
      <xdr:rowOff>0</xdr:rowOff>
    </xdr:from>
    <xdr:ext cx="200025" cy="200025"/>
    <xdr:pic>
      <xdr:nvPicPr>
        <xdr:cNvPr id="0" name="image43.png"/>
        <xdr:cNvPicPr preferRelativeResize="0"/>
      </xdr:nvPicPr>
      <xdr:blipFill>
        <a:blip cstate="print" r:embed="rId28"/>
        <a:stretch>
          <a:fillRect/>
        </a:stretch>
      </xdr:blipFill>
      <xdr:spPr>
        <a:prstGeom prst="rect">
          <a:avLst/>
        </a:prstGeom>
        <a:noFill/>
      </xdr:spPr>
    </xdr:pic>
    <xdr:clientData fLocksWithSheet="0"/>
  </xdr:oneCellAnchor>
  <xdr:oneCellAnchor>
    <xdr:from>
      <xdr:col>68</xdr:col>
      <xdr:colOff>0</xdr:colOff>
      <xdr:row>20</xdr:row>
      <xdr:rowOff>0</xdr:rowOff>
    </xdr:from>
    <xdr:ext cx="285750" cy="142875"/>
    <xdr:pic>
      <xdr:nvPicPr>
        <xdr:cNvPr id="0" name="image32.png"/>
        <xdr:cNvPicPr preferRelativeResize="0"/>
      </xdr:nvPicPr>
      <xdr:blipFill>
        <a:blip cstate="print" r:embed="rId19"/>
        <a:stretch>
          <a:fillRect/>
        </a:stretch>
      </xdr:blipFill>
      <xdr:spPr>
        <a:prstGeom prst="rect">
          <a:avLst/>
        </a:prstGeom>
        <a:noFill/>
      </xdr:spPr>
    </xdr:pic>
    <xdr:clientData fLocksWithSheet="0"/>
  </xdr:oneCellAnchor>
  <xdr:oneCellAnchor>
    <xdr:from>
      <xdr:col>73</xdr:col>
      <xdr:colOff>0</xdr:colOff>
      <xdr:row>20</xdr:row>
      <xdr:rowOff>0</xdr:rowOff>
    </xdr:from>
    <xdr:ext cx="285750" cy="142875"/>
    <xdr:pic>
      <xdr:nvPicPr>
        <xdr:cNvPr id="0" name="image32.png"/>
        <xdr:cNvPicPr preferRelativeResize="0"/>
      </xdr:nvPicPr>
      <xdr:blipFill>
        <a:blip cstate="print" r:embed="rId19"/>
        <a:stretch>
          <a:fillRect/>
        </a:stretch>
      </xdr:blipFill>
      <xdr:spPr>
        <a:prstGeom prst="rect">
          <a:avLst/>
        </a:prstGeom>
        <a:noFill/>
      </xdr:spPr>
    </xdr:pic>
    <xdr:clientData fLocksWithSheet="0"/>
  </xdr:oneCellAnchor>
  <xdr:oneCellAnchor>
    <xdr:from>
      <xdr:col>78</xdr:col>
      <xdr:colOff>0</xdr:colOff>
      <xdr:row>20</xdr:row>
      <xdr:rowOff>0</xdr:rowOff>
    </xdr:from>
    <xdr:ext cx="285750" cy="152400"/>
    <xdr:pic>
      <xdr:nvPicPr>
        <xdr:cNvPr id="0" name="image45.png"/>
        <xdr:cNvPicPr preferRelativeResize="0"/>
      </xdr:nvPicPr>
      <xdr:blipFill>
        <a:blip cstate="print" r:embed="rId22"/>
        <a:stretch>
          <a:fillRect/>
        </a:stretch>
      </xdr:blipFill>
      <xdr:spPr>
        <a:prstGeom prst="rect">
          <a:avLst/>
        </a:prstGeom>
        <a:noFill/>
      </xdr:spPr>
    </xdr:pic>
    <xdr:clientData fLocksWithSheet="0"/>
  </xdr:oneCellAnchor>
  <xdr:oneCellAnchor>
    <xdr:from>
      <xdr:col>83</xdr:col>
      <xdr:colOff>0</xdr:colOff>
      <xdr:row>20</xdr:row>
      <xdr:rowOff>0</xdr:rowOff>
    </xdr:from>
    <xdr:ext cx="200025" cy="200025"/>
    <xdr:pic>
      <xdr:nvPicPr>
        <xdr:cNvPr id="0" name="image55.png"/>
        <xdr:cNvPicPr preferRelativeResize="0"/>
      </xdr:nvPicPr>
      <xdr:blipFill>
        <a:blip cstate="print" r:embed="rId45"/>
        <a:stretch>
          <a:fillRect/>
        </a:stretch>
      </xdr:blipFill>
      <xdr:spPr>
        <a:prstGeom prst="rect">
          <a:avLst/>
        </a:prstGeom>
        <a:noFill/>
      </xdr:spPr>
    </xdr:pic>
    <xdr:clientData fLocksWithSheet="0"/>
  </xdr:oneCellAnchor>
  <xdr:oneCellAnchor>
    <xdr:from>
      <xdr:col>88</xdr:col>
      <xdr:colOff>0</xdr:colOff>
      <xdr:row>20</xdr:row>
      <xdr:rowOff>0</xdr:rowOff>
    </xdr:from>
    <xdr:ext cx="200025" cy="200025"/>
    <xdr:pic>
      <xdr:nvPicPr>
        <xdr:cNvPr id="0" name="image65.png"/>
        <xdr:cNvPicPr preferRelativeResize="0"/>
      </xdr:nvPicPr>
      <xdr:blipFill>
        <a:blip cstate="print" r:embed="rId50"/>
        <a:stretch>
          <a:fillRect/>
        </a:stretch>
      </xdr:blipFill>
      <xdr:spPr>
        <a:prstGeom prst="rect">
          <a:avLst/>
        </a:prstGeom>
        <a:noFill/>
      </xdr:spPr>
    </xdr:pic>
    <xdr:clientData fLocksWithSheet="0"/>
  </xdr:oneCellAnchor>
  <xdr:oneCellAnchor>
    <xdr:from>
      <xdr:col>93</xdr:col>
      <xdr:colOff>0</xdr:colOff>
      <xdr:row>20</xdr:row>
      <xdr:rowOff>0</xdr:rowOff>
    </xdr:from>
    <xdr:ext cx="200025" cy="200025"/>
    <xdr:pic>
      <xdr:nvPicPr>
        <xdr:cNvPr id="0" name="image65.png"/>
        <xdr:cNvPicPr preferRelativeResize="0"/>
      </xdr:nvPicPr>
      <xdr:blipFill>
        <a:blip cstate="print" r:embed="rId50"/>
        <a:stretch>
          <a:fillRect/>
        </a:stretch>
      </xdr:blipFill>
      <xdr:spPr>
        <a:prstGeom prst="rect">
          <a:avLst/>
        </a:prstGeom>
        <a:noFill/>
      </xdr:spPr>
    </xdr:pic>
    <xdr:clientData fLocksWithSheet="0"/>
  </xdr:oneCellAnchor>
  <xdr:oneCellAnchor>
    <xdr:from>
      <xdr:col>38</xdr:col>
      <xdr:colOff>0</xdr:colOff>
      <xdr:row>21</xdr:row>
      <xdr:rowOff>0</xdr:rowOff>
    </xdr:from>
    <xdr:ext cx="200025" cy="200025"/>
    <xdr:pic>
      <xdr:nvPicPr>
        <xdr:cNvPr id="0" name="image49.png"/>
        <xdr:cNvPicPr preferRelativeResize="0"/>
      </xdr:nvPicPr>
      <xdr:blipFill>
        <a:blip cstate="print" r:embed="rId30"/>
        <a:stretch>
          <a:fillRect/>
        </a:stretch>
      </xdr:blipFill>
      <xdr:spPr>
        <a:prstGeom prst="rect">
          <a:avLst/>
        </a:prstGeom>
        <a:noFill/>
      </xdr:spPr>
    </xdr:pic>
    <xdr:clientData fLocksWithSheet="0"/>
  </xdr:oneCellAnchor>
  <xdr:oneCellAnchor>
    <xdr:from>
      <xdr:col>43</xdr:col>
      <xdr:colOff>0</xdr:colOff>
      <xdr:row>21</xdr:row>
      <xdr:rowOff>0</xdr:rowOff>
    </xdr:from>
    <xdr:ext cx="200025" cy="200025"/>
    <xdr:pic>
      <xdr:nvPicPr>
        <xdr:cNvPr id="0" name="image49.png"/>
        <xdr:cNvPicPr preferRelativeResize="0"/>
      </xdr:nvPicPr>
      <xdr:blipFill>
        <a:blip cstate="print" r:embed="rId30"/>
        <a:stretch>
          <a:fillRect/>
        </a:stretch>
      </xdr:blipFill>
      <xdr:spPr>
        <a:prstGeom prst="rect">
          <a:avLst/>
        </a:prstGeom>
        <a:noFill/>
      </xdr:spPr>
    </xdr:pic>
    <xdr:clientData fLocksWithSheet="0"/>
  </xdr:oneCellAnchor>
  <xdr:oneCellAnchor>
    <xdr:from>
      <xdr:col>48</xdr:col>
      <xdr:colOff>0</xdr:colOff>
      <xdr:row>21</xdr:row>
      <xdr:rowOff>0</xdr:rowOff>
    </xdr:from>
    <xdr:ext cx="200025" cy="200025"/>
    <xdr:pic>
      <xdr:nvPicPr>
        <xdr:cNvPr id="0" name="image49.png"/>
        <xdr:cNvPicPr preferRelativeResize="0"/>
      </xdr:nvPicPr>
      <xdr:blipFill>
        <a:blip cstate="print" r:embed="rId30"/>
        <a:stretch>
          <a:fillRect/>
        </a:stretch>
      </xdr:blipFill>
      <xdr:spPr>
        <a:prstGeom prst="rect">
          <a:avLst/>
        </a:prstGeom>
        <a:noFill/>
      </xdr:spPr>
    </xdr:pic>
    <xdr:clientData fLocksWithSheet="0"/>
  </xdr:oneCellAnchor>
  <xdr:oneCellAnchor>
    <xdr:from>
      <xdr:col>53</xdr:col>
      <xdr:colOff>0</xdr:colOff>
      <xdr:row>21</xdr:row>
      <xdr:rowOff>0</xdr:rowOff>
    </xdr:from>
    <xdr:ext cx="200025" cy="200025"/>
    <xdr:pic>
      <xdr:nvPicPr>
        <xdr:cNvPr id="0" name="image49.png"/>
        <xdr:cNvPicPr preferRelativeResize="0"/>
      </xdr:nvPicPr>
      <xdr:blipFill>
        <a:blip cstate="print" r:embed="rId30"/>
        <a:stretch>
          <a:fillRect/>
        </a:stretch>
      </xdr:blipFill>
      <xdr:spPr>
        <a:prstGeom prst="rect">
          <a:avLst/>
        </a:prstGeom>
        <a:noFill/>
      </xdr:spPr>
    </xdr:pic>
    <xdr:clientData fLocksWithSheet="0"/>
  </xdr:oneCellAnchor>
  <xdr:oneCellAnchor>
    <xdr:from>
      <xdr:col>58</xdr:col>
      <xdr:colOff>0</xdr:colOff>
      <xdr:row>21</xdr:row>
      <xdr:rowOff>0</xdr:rowOff>
    </xdr:from>
    <xdr:ext cx="200025" cy="200025"/>
    <xdr:pic>
      <xdr:nvPicPr>
        <xdr:cNvPr id="0" name="image49.png"/>
        <xdr:cNvPicPr preferRelativeResize="0"/>
      </xdr:nvPicPr>
      <xdr:blipFill>
        <a:blip cstate="print" r:embed="rId30"/>
        <a:stretch>
          <a:fillRect/>
        </a:stretch>
      </xdr:blipFill>
      <xdr:spPr>
        <a:prstGeom prst="rect">
          <a:avLst/>
        </a:prstGeom>
        <a:noFill/>
      </xdr:spPr>
    </xdr:pic>
    <xdr:clientData fLocksWithSheet="0"/>
  </xdr:oneCellAnchor>
  <xdr:oneCellAnchor>
    <xdr:from>
      <xdr:col>63</xdr:col>
      <xdr:colOff>0</xdr:colOff>
      <xdr:row>21</xdr:row>
      <xdr:rowOff>0</xdr:rowOff>
    </xdr:from>
    <xdr:ext cx="161925" cy="200025"/>
    <xdr:pic>
      <xdr:nvPicPr>
        <xdr:cNvPr id="0" name="image23.png"/>
        <xdr:cNvPicPr preferRelativeResize="0"/>
      </xdr:nvPicPr>
      <xdr:blipFill>
        <a:blip cstate="print" r:embed="rId11"/>
        <a:stretch>
          <a:fillRect/>
        </a:stretch>
      </xdr:blipFill>
      <xdr:spPr>
        <a:prstGeom prst="rect">
          <a:avLst/>
        </a:prstGeom>
        <a:noFill/>
      </xdr:spPr>
    </xdr:pic>
    <xdr:clientData fLocksWithSheet="0"/>
  </xdr:oneCellAnchor>
  <xdr:oneCellAnchor>
    <xdr:from>
      <xdr:col>68</xdr:col>
      <xdr:colOff>0</xdr:colOff>
      <xdr:row>21</xdr:row>
      <xdr:rowOff>0</xdr:rowOff>
    </xdr:from>
    <xdr:ext cx="285750" cy="152400"/>
    <xdr:pic>
      <xdr:nvPicPr>
        <xdr:cNvPr id="0" name="image45.png"/>
        <xdr:cNvPicPr preferRelativeResize="0"/>
      </xdr:nvPicPr>
      <xdr:blipFill>
        <a:blip cstate="print" r:embed="rId22"/>
        <a:stretch>
          <a:fillRect/>
        </a:stretch>
      </xdr:blipFill>
      <xdr:spPr>
        <a:prstGeom prst="rect">
          <a:avLst/>
        </a:prstGeom>
        <a:noFill/>
      </xdr:spPr>
    </xdr:pic>
    <xdr:clientData fLocksWithSheet="0"/>
  </xdr:oneCellAnchor>
  <xdr:oneCellAnchor>
    <xdr:from>
      <xdr:col>73</xdr:col>
      <xdr:colOff>0</xdr:colOff>
      <xdr:row>21</xdr:row>
      <xdr:rowOff>0</xdr:rowOff>
    </xdr:from>
    <xdr:ext cx="285750" cy="152400"/>
    <xdr:pic>
      <xdr:nvPicPr>
        <xdr:cNvPr id="0" name="image45.png"/>
        <xdr:cNvPicPr preferRelativeResize="0"/>
      </xdr:nvPicPr>
      <xdr:blipFill>
        <a:blip cstate="print" r:embed="rId22"/>
        <a:stretch>
          <a:fillRect/>
        </a:stretch>
      </xdr:blipFill>
      <xdr:spPr>
        <a:prstGeom prst="rect">
          <a:avLst/>
        </a:prstGeom>
        <a:noFill/>
      </xdr:spPr>
    </xdr:pic>
    <xdr:clientData fLocksWithSheet="0"/>
  </xdr:oneCellAnchor>
  <xdr:oneCellAnchor>
    <xdr:from>
      <xdr:col>78</xdr:col>
      <xdr:colOff>0</xdr:colOff>
      <xdr:row>21</xdr:row>
      <xdr:rowOff>0</xdr:rowOff>
    </xdr:from>
    <xdr:ext cx="161925" cy="200025"/>
    <xdr:pic>
      <xdr:nvPicPr>
        <xdr:cNvPr id="0" name="image74.png"/>
        <xdr:cNvPicPr preferRelativeResize="0"/>
      </xdr:nvPicPr>
      <xdr:blipFill>
        <a:blip cstate="print" r:embed="rId51"/>
        <a:stretch>
          <a:fillRect/>
        </a:stretch>
      </xdr:blipFill>
      <xdr:spPr>
        <a:prstGeom prst="rect">
          <a:avLst/>
        </a:prstGeom>
        <a:noFill/>
      </xdr:spPr>
    </xdr:pic>
    <xdr:clientData fLocksWithSheet="0"/>
  </xdr:oneCellAnchor>
  <xdr:oneCellAnchor>
    <xdr:from>
      <xdr:col>83</xdr:col>
      <xdr:colOff>0</xdr:colOff>
      <xdr:row>21</xdr:row>
      <xdr:rowOff>0</xdr:rowOff>
    </xdr:from>
    <xdr:ext cx="190500" cy="200025"/>
    <xdr:pic>
      <xdr:nvPicPr>
        <xdr:cNvPr id="0" name="image60.png"/>
        <xdr:cNvPicPr preferRelativeResize="0"/>
      </xdr:nvPicPr>
      <xdr:blipFill>
        <a:blip cstate="print" r:embed="rId52"/>
        <a:stretch>
          <a:fillRect/>
        </a:stretch>
      </xdr:blipFill>
      <xdr:spPr>
        <a:prstGeom prst="rect">
          <a:avLst/>
        </a:prstGeom>
        <a:noFill/>
      </xdr:spPr>
    </xdr:pic>
    <xdr:clientData fLocksWithSheet="0"/>
  </xdr:oneCellAnchor>
  <xdr:oneCellAnchor>
    <xdr:from>
      <xdr:col>88</xdr:col>
      <xdr:colOff>0</xdr:colOff>
      <xdr:row>21</xdr:row>
      <xdr:rowOff>0</xdr:rowOff>
    </xdr:from>
    <xdr:ext cx="200025" cy="200025"/>
    <xdr:pic>
      <xdr:nvPicPr>
        <xdr:cNvPr id="0" name="image67.png"/>
        <xdr:cNvPicPr preferRelativeResize="0"/>
      </xdr:nvPicPr>
      <xdr:blipFill>
        <a:blip cstate="print" r:embed="rId53"/>
        <a:stretch>
          <a:fillRect/>
        </a:stretch>
      </xdr:blipFill>
      <xdr:spPr>
        <a:prstGeom prst="rect">
          <a:avLst/>
        </a:prstGeom>
        <a:noFill/>
      </xdr:spPr>
    </xdr:pic>
    <xdr:clientData fLocksWithSheet="0"/>
  </xdr:oneCellAnchor>
  <xdr:oneCellAnchor>
    <xdr:from>
      <xdr:col>93</xdr:col>
      <xdr:colOff>0</xdr:colOff>
      <xdr:row>21</xdr:row>
      <xdr:rowOff>0</xdr:rowOff>
    </xdr:from>
    <xdr:ext cx="200025" cy="200025"/>
    <xdr:pic>
      <xdr:nvPicPr>
        <xdr:cNvPr id="0" name="image67.png"/>
        <xdr:cNvPicPr preferRelativeResize="0"/>
      </xdr:nvPicPr>
      <xdr:blipFill>
        <a:blip cstate="print" r:embed="rId53"/>
        <a:stretch>
          <a:fillRect/>
        </a:stretch>
      </xdr:blipFill>
      <xdr:spPr>
        <a:prstGeom prst="rect">
          <a:avLst/>
        </a:prstGeom>
        <a:noFill/>
      </xdr:spPr>
    </xdr:pic>
    <xdr:clientData fLocksWithSheet="0"/>
  </xdr:oneCellAnchor>
  <xdr:oneCellAnchor>
    <xdr:from>
      <xdr:col>38</xdr:col>
      <xdr:colOff>0</xdr:colOff>
      <xdr:row>22</xdr:row>
      <xdr:rowOff>0</xdr:rowOff>
    </xdr:from>
    <xdr:ext cx="200025" cy="200025"/>
    <xdr:pic>
      <xdr:nvPicPr>
        <xdr:cNvPr id="0" name="image29.png"/>
        <xdr:cNvPicPr preferRelativeResize="0"/>
      </xdr:nvPicPr>
      <xdr:blipFill>
        <a:blip cstate="print" r:embed="rId16"/>
        <a:stretch>
          <a:fillRect/>
        </a:stretch>
      </xdr:blipFill>
      <xdr:spPr>
        <a:prstGeom prst="rect">
          <a:avLst/>
        </a:prstGeom>
        <a:noFill/>
      </xdr:spPr>
    </xdr:pic>
    <xdr:clientData fLocksWithSheet="0"/>
  </xdr:oneCellAnchor>
  <xdr:oneCellAnchor>
    <xdr:from>
      <xdr:col>43</xdr:col>
      <xdr:colOff>0</xdr:colOff>
      <xdr:row>22</xdr:row>
      <xdr:rowOff>0</xdr:rowOff>
    </xdr:from>
    <xdr:ext cx="200025" cy="200025"/>
    <xdr:pic>
      <xdr:nvPicPr>
        <xdr:cNvPr id="0" name="image29.png"/>
        <xdr:cNvPicPr preferRelativeResize="0"/>
      </xdr:nvPicPr>
      <xdr:blipFill>
        <a:blip cstate="print" r:embed="rId16"/>
        <a:stretch>
          <a:fillRect/>
        </a:stretch>
      </xdr:blipFill>
      <xdr:spPr>
        <a:prstGeom prst="rect">
          <a:avLst/>
        </a:prstGeom>
        <a:noFill/>
      </xdr:spPr>
    </xdr:pic>
    <xdr:clientData fLocksWithSheet="0"/>
  </xdr:oneCellAnchor>
  <xdr:oneCellAnchor>
    <xdr:from>
      <xdr:col>48</xdr:col>
      <xdr:colOff>0</xdr:colOff>
      <xdr:row>22</xdr:row>
      <xdr:rowOff>0</xdr:rowOff>
    </xdr:from>
    <xdr:ext cx="200025" cy="200025"/>
    <xdr:pic>
      <xdr:nvPicPr>
        <xdr:cNvPr id="0" name="image29.png"/>
        <xdr:cNvPicPr preferRelativeResize="0"/>
      </xdr:nvPicPr>
      <xdr:blipFill>
        <a:blip cstate="print" r:embed="rId16"/>
        <a:stretch>
          <a:fillRect/>
        </a:stretch>
      </xdr:blipFill>
      <xdr:spPr>
        <a:prstGeom prst="rect">
          <a:avLst/>
        </a:prstGeom>
        <a:noFill/>
      </xdr:spPr>
    </xdr:pic>
    <xdr:clientData fLocksWithSheet="0"/>
  </xdr:oneCellAnchor>
  <xdr:oneCellAnchor>
    <xdr:from>
      <xdr:col>53</xdr:col>
      <xdr:colOff>0</xdr:colOff>
      <xdr:row>22</xdr:row>
      <xdr:rowOff>0</xdr:rowOff>
    </xdr:from>
    <xdr:ext cx="200025" cy="200025"/>
    <xdr:pic>
      <xdr:nvPicPr>
        <xdr:cNvPr id="0" name="image29.png"/>
        <xdr:cNvPicPr preferRelativeResize="0"/>
      </xdr:nvPicPr>
      <xdr:blipFill>
        <a:blip cstate="print" r:embed="rId16"/>
        <a:stretch>
          <a:fillRect/>
        </a:stretch>
      </xdr:blipFill>
      <xdr:spPr>
        <a:prstGeom prst="rect">
          <a:avLst/>
        </a:prstGeom>
        <a:noFill/>
      </xdr:spPr>
    </xdr:pic>
    <xdr:clientData fLocksWithSheet="0"/>
  </xdr:oneCellAnchor>
  <xdr:oneCellAnchor>
    <xdr:from>
      <xdr:col>58</xdr:col>
      <xdr:colOff>0</xdr:colOff>
      <xdr:row>22</xdr:row>
      <xdr:rowOff>0</xdr:rowOff>
    </xdr:from>
    <xdr:ext cx="200025" cy="200025"/>
    <xdr:pic>
      <xdr:nvPicPr>
        <xdr:cNvPr id="0" name="image29.png"/>
        <xdr:cNvPicPr preferRelativeResize="0"/>
      </xdr:nvPicPr>
      <xdr:blipFill>
        <a:blip cstate="print" r:embed="rId16"/>
        <a:stretch>
          <a:fillRect/>
        </a:stretch>
      </xdr:blipFill>
      <xdr:spPr>
        <a:prstGeom prst="rect">
          <a:avLst/>
        </a:prstGeom>
        <a:noFill/>
      </xdr:spPr>
    </xdr:pic>
    <xdr:clientData fLocksWithSheet="0"/>
  </xdr:oneCellAnchor>
  <xdr:oneCellAnchor>
    <xdr:from>
      <xdr:col>63</xdr:col>
      <xdr:colOff>0</xdr:colOff>
      <xdr:row>22</xdr:row>
      <xdr:rowOff>0</xdr:rowOff>
    </xdr:from>
    <xdr:ext cx="200025" cy="200025"/>
    <xdr:pic>
      <xdr:nvPicPr>
        <xdr:cNvPr id="0" name="image59.png"/>
        <xdr:cNvPicPr preferRelativeResize="0"/>
      </xdr:nvPicPr>
      <xdr:blipFill>
        <a:blip cstate="print" r:embed="rId43"/>
        <a:stretch>
          <a:fillRect/>
        </a:stretch>
      </xdr:blipFill>
      <xdr:spPr>
        <a:prstGeom prst="rect">
          <a:avLst/>
        </a:prstGeom>
        <a:noFill/>
      </xdr:spPr>
    </xdr:pic>
    <xdr:clientData fLocksWithSheet="0"/>
  </xdr:oneCellAnchor>
  <xdr:oneCellAnchor>
    <xdr:from>
      <xdr:col>68</xdr:col>
      <xdr:colOff>0</xdr:colOff>
      <xdr:row>22</xdr:row>
      <xdr:rowOff>0</xdr:rowOff>
    </xdr:from>
    <xdr:ext cx="161925" cy="200025"/>
    <xdr:pic>
      <xdr:nvPicPr>
        <xdr:cNvPr id="0" name="image74.png"/>
        <xdr:cNvPicPr preferRelativeResize="0"/>
      </xdr:nvPicPr>
      <xdr:blipFill>
        <a:blip cstate="print" r:embed="rId51"/>
        <a:stretch>
          <a:fillRect/>
        </a:stretch>
      </xdr:blipFill>
      <xdr:spPr>
        <a:prstGeom prst="rect">
          <a:avLst/>
        </a:prstGeom>
        <a:noFill/>
      </xdr:spPr>
    </xdr:pic>
    <xdr:clientData fLocksWithSheet="0"/>
  </xdr:oneCellAnchor>
  <xdr:oneCellAnchor>
    <xdr:from>
      <xdr:col>73</xdr:col>
      <xdr:colOff>0</xdr:colOff>
      <xdr:row>22</xdr:row>
      <xdr:rowOff>0</xdr:rowOff>
    </xdr:from>
    <xdr:ext cx="161925" cy="200025"/>
    <xdr:pic>
      <xdr:nvPicPr>
        <xdr:cNvPr id="0" name="image74.png"/>
        <xdr:cNvPicPr preferRelativeResize="0"/>
      </xdr:nvPicPr>
      <xdr:blipFill>
        <a:blip cstate="print" r:embed="rId51"/>
        <a:stretch>
          <a:fillRect/>
        </a:stretch>
      </xdr:blipFill>
      <xdr:spPr>
        <a:prstGeom prst="rect">
          <a:avLst/>
        </a:prstGeom>
        <a:noFill/>
      </xdr:spPr>
    </xdr:pic>
    <xdr:clientData fLocksWithSheet="0"/>
  </xdr:oneCellAnchor>
  <xdr:oneCellAnchor>
    <xdr:from>
      <xdr:col>78</xdr:col>
      <xdr:colOff>0</xdr:colOff>
      <xdr:row>22</xdr:row>
      <xdr:rowOff>0</xdr:rowOff>
    </xdr:from>
    <xdr:ext cx="161925" cy="200025"/>
    <xdr:pic>
      <xdr:nvPicPr>
        <xdr:cNvPr id="0" name="image80.png"/>
        <xdr:cNvPicPr preferRelativeResize="0"/>
      </xdr:nvPicPr>
      <xdr:blipFill>
        <a:blip cstate="print" r:embed="rId54"/>
        <a:stretch>
          <a:fillRect/>
        </a:stretch>
      </xdr:blipFill>
      <xdr:spPr>
        <a:prstGeom prst="rect">
          <a:avLst/>
        </a:prstGeom>
        <a:noFill/>
      </xdr:spPr>
    </xdr:pic>
    <xdr:clientData fLocksWithSheet="0"/>
  </xdr:oneCellAnchor>
  <xdr:oneCellAnchor>
    <xdr:from>
      <xdr:col>83</xdr:col>
      <xdr:colOff>0</xdr:colOff>
      <xdr:row>22</xdr:row>
      <xdr:rowOff>0</xdr:rowOff>
    </xdr:from>
    <xdr:ext cx="200025" cy="200025"/>
    <xdr:pic>
      <xdr:nvPicPr>
        <xdr:cNvPr id="0" name="image61.png"/>
        <xdr:cNvPicPr preferRelativeResize="0"/>
      </xdr:nvPicPr>
      <xdr:blipFill>
        <a:blip cstate="print" r:embed="rId48"/>
        <a:stretch>
          <a:fillRect/>
        </a:stretch>
      </xdr:blipFill>
      <xdr:spPr>
        <a:prstGeom prst="rect">
          <a:avLst/>
        </a:prstGeom>
        <a:noFill/>
      </xdr:spPr>
    </xdr:pic>
    <xdr:clientData fLocksWithSheet="0"/>
  </xdr:oneCellAnchor>
  <xdr:oneCellAnchor>
    <xdr:from>
      <xdr:col>88</xdr:col>
      <xdr:colOff>0</xdr:colOff>
      <xdr:row>22</xdr:row>
      <xdr:rowOff>0</xdr:rowOff>
    </xdr:from>
    <xdr:ext cx="209550" cy="200025"/>
    <xdr:pic>
      <xdr:nvPicPr>
        <xdr:cNvPr id="0" name="image76.png"/>
        <xdr:cNvPicPr preferRelativeResize="0"/>
      </xdr:nvPicPr>
      <xdr:blipFill>
        <a:blip cstate="print" r:embed="rId55"/>
        <a:stretch>
          <a:fillRect/>
        </a:stretch>
      </xdr:blipFill>
      <xdr:spPr>
        <a:prstGeom prst="rect">
          <a:avLst/>
        </a:prstGeom>
        <a:noFill/>
      </xdr:spPr>
    </xdr:pic>
    <xdr:clientData fLocksWithSheet="0"/>
  </xdr:oneCellAnchor>
  <xdr:oneCellAnchor>
    <xdr:from>
      <xdr:col>93</xdr:col>
      <xdr:colOff>0</xdr:colOff>
      <xdr:row>22</xdr:row>
      <xdr:rowOff>0</xdr:rowOff>
    </xdr:from>
    <xdr:ext cx="209550" cy="200025"/>
    <xdr:pic>
      <xdr:nvPicPr>
        <xdr:cNvPr id="0" name="image76.png"/>
        <xdr:cNvPicPr preferRelativeResize="0"/>
      </xdr:nvPicPr>
      <xdr:blipFill>
        <a:blip cstate="print" r:embed="rId55"/>
        <a:stretch>
          <a:fillRect/>
        </a:stretch>
      </xdr:blipFill>
      <xdr:spPr>
        <a:prstGeom prst="rect">
          <a:avLst/>
        </a:prstGeom>
        <a:noFill/>
      </xdr:spPr>
    </xdr:pic>
    <xdr:clientData fLocksWithSheet="0"/>
  </xdr:oneCellAnchor>
  <xdr:oneCellAnchor>
    <xdr:from>
      <xdr:col>38</xdr:col>
      <xdr:colOff>0</xdr:colOff>
      <xdr:row>23</xdr:row>
      <xdr:rowOff>0</xdr:rowOff>
    </xdr:from>
    <xdr:ext cx="200025" cy="200025"/>
    <xdr:pic>
      <xdr:nvPicPr>
        <xdr:cNvPr id="0" name="image48.png"/>
        <xdr:cNvPicPr preferRelativeResize="0"/>
      </xdr:nvPicPr>
      <xdr:blipFill>
        <a:blip cstate="print" r:embed="rId33"/>
        <a:stretch>
          <a:fillRect/>
        </a:stretch>
      </xdr:blipFill>
      <xdr:spPr>
        <a:prstGeom prst="rect">
          <a:avLst/>
        </a:prstGeom>
        <a:noFill/>
      </xdr:spPr>
    </xdr:pic>
    <xdr:clientData fLocksWithSheet="0"/>
  </xdr:oneCellAnchor>
  <xdr:oneCellAnchor>
    <xdr:from>
      <xdr:col>43</xdr:col>
      <xdr:colOff>0</xdr:colOff>
      <xdr:row>23</xdr:row>
      <xdr:rowOff>0</xdr:rowOff>
    </xdr:from>
    <xdr:ext cx="200025" cy="200025"/>
    <xdr:pic>
      <xdr:nvPicPr>
        <xdr:cNvPr id="0" name="image36.png"/>
        <xdr:cNvPicPr preferRelativeResize="0"/>
      </xdr:nvPicPr>
      <xdr:blipFill>
        <a:blip cstate="print" r:embed="rId29"/>
        <a:stretch>
          <a:fillRect/>
        </a:stretch>
      </xdr:blipFill>
      <xdr:spPr>
        <a:prstGeom prst="rect">
          <a:avLst/>
        </a:prstGeom>
        <a:noFill/>
      </xdr:spPr>
    </xdr:pic>
    <xdr:clientData fLocksWithSheet="0"/>
  </xdr:oneCellAnchor>
  <xdr:oneCellAnchor>
    <xdr:from>
      <xdr:col>48</xdr:col>
      <xdr:colOff>0</xdr:colOff>
      <xdr:row>23</xdr:row>
      <xdr:rowOff>0</xdr:rowOff>
    </xdr:from>
    <xdr:ext cx="200025" cy="200025"/>
    <xdr:pic>
      <xdr:nvPicPr>
        <xdr:cNvPr id="0" name="image36.png"/>
        <xdr:cNvPicPr preferRelativeResize="0"/>
      </xdr:nvPicPr>
      <xdr:blipFill>
        <a:blip cstate="print" r:embed="rId29"/>
        <a:stretch>
          <a:fillRect/>
        </a:stretch>
      </xdr:blipFill>
      <xdr:spPr>
        <a:prstGeom prst="rect">
          <a:avLst/>
        </a:prstGeom>
        <a:noFill/>
      </xdr:spPr>
    </xdr:pic>
    <xdr:clientData fLocksWithSheet="0"/>
  </xdr:oneCellAnchor>
  <xdr:oneCellAnchor>
    <xdr:from>
      <xdr:col>53</xdr:col>
      <xdr:colOff>0</xdr:colOff>
      <xdr:row>23</xdr:row>
      <xdr:rowOff>0</xdr:rowOff>
    </xdr:from>
    <xdr:ext cx="200025" cy="200025"/>
    <xdr:pic>
      <xdr:nvPicPr>
        <xdr:cNvPr id="0" name="image37.png"/>
        <xdr:cNvPicPr preferRelativeResize="0"/>
      </xdr:nvPicPr>
      <xdr:blipFill>
        <a:blip cstate="print" r:embed="rId24"/>
        <a:stretch>
          <a:fillRect/>
        </a:stretch>
      </xdr:blipFill>
      <xdr:spPr>
        <a:prstGeom prst="rect">
          <a:avLst/>
        </a:prstGeom>
        <a:noFill/>
      </xdr:spPr>
    </xdr:pic>
    <xdr:clientData fLocksWithSheet="0"/>
  </xdr:oneCellAnchor>
  <xdr:oneCellAnchor>
    <xdr:from>
      <xdr:col>58</xdr:col>
      <xdr:colOff>0</xdr:colOff>
      <xdr:row>23</xdr:row>
      <xdr:rowOff>0</xdr:rowOff>
    </xdr:from>
    <xdr:ext cx="200025" cy="200025"/>
    <xdr:pic>
      <xdr:nvPicPr>
        <xdr:cNvPr id="0" name="image38.png"/>
        <xdr:cNvPicPr preferRelativeResize="0"/>
      </xdr:nvPicPr>
      <xdr:blipFill>
        <a:blip cstate="print" r:embed="rId25"/>
        <a:stretch>
          <a:fillRect/>
        </a:stretch>
      </xdr:blipFill>
      <xdr:spPr>
        <a:prstGeom prst="rect">
          <a:avLst/>
        </a:prstGeom>
        <a:noFill/>
      </xdr:spPr>
    </xdr:pic>
    <xdr:clientData fLocksWithSheet="0"/>
  </xdr:oneCellAnchor>
  <xdr:oneCellAnchor>
    <xdr:from>
      <xdr:col>63</xdr:col>
      <xdr:colOff>0</xdr:colOff>
      <xdr:row>23</xdr:row>
      <xdr:rowOff>0</xdr:rowOff>
    </xdr:from>
    <xdr:ext cx="190500" cy="200025"/>
    <xdr:pic>
      <xdr:nvPicPr>
        <xdr:cNvPr id="0" name="image60.png"/>
        <xdr:cNvPicPr preferRelativeResize="0"/>
      </xdr:nvPicPr>
      <xdr:blipFill>
        <a:blip cstate="print" r:embed="rId52"/>
        <a:stretch>
          <a:fillRect/>
        </a:stretch>
      </xdr:blipFill>
      <xdr:spPr>
        <a:prstGeom prst="rect">
          <a:avLst/>
        </a:prstGeom>
        <a:noFill/>
      </xdr:spPr>
    </xdr:pic>
    <xdr:clientData fLocksWithSheet="0"/>
  </xdr:oneCellAnchor>
  <xdr:oneCellAnchor>
    <xdr:from>
      <xdr:col>68</xdr:col>
      <xdr:colOff>0</xdr:colOff>
      <xdr:row>23</xdr:row>
      <xdr:rowOff>0</xdr:rowOff>
    </xdr:from>
    <xdr:ext cx="161925" cy="200025"/>
    <xdr:pic>
      <xdr:nvPicPr>
        <xdr:cNvPr id="0" name="image80.png"/>
        <xdr:cNvPicPr preferRelativeResize="0"/>
      </xdr:nvPicPr>
      <xdr:blipFill>
        <a:blip cstate="print" r:embed="rId54"/>
        <a:stretch>
          <a:fillRect/>
        </a:stretch>
      </xdr:blipFill>
      <xdr:spPr>
        <a:prstGeom prst="rect">
          <a:avLst/>
        </a:prstGeom>
        <a:noFill/>
      </xdr:spPr>
    </xdr:pic>
    <xdr:clientData fLocksWithSheet="0"/>
  </xdr:oneCellAnchor>
  <xdr:oneCellAnchor>
    <xdr:from>
      <xdr:col>73</xdr:col>
      <xdr:colOff>0</xdr:colOff>
      <xdr:row>23</xdr:row>
      <xdr:rowOff>0</xdr:rowOff>
    </xdr:from>
    <xdr:ext cx="161925" cy="200025"/>
    <xdr:pic>
      <xdr:nvPicPr>
        <xdr:cNvPr id="0" name="image80.png"/>
        <xdr:cNvPicPr preferRelativeResize="0"/>
      </xdr:nvPicPr>
      <xdr:blipFill>
        <a:blip cstate="print" r:embed="rId54"/>
        <a:stretch>
          <a:fillRect/>
        </a:stretch>
      </xdr:blipFill>
      <xdr:spPr>
        <a:prstGeom prst="rect">
          <a:avLst/>
        </a:prstGeom>
        <a:noFill/>
      </xdr:spPr>
    </xdr:pic>
    <xdr:clientData fLocksWithSheet="0"/>
  </xdr:oneCellAnchor>
  <xdr:oneCellAnchor>
    <xdr:from>
      <xdr:col>78</xdr:col>
      <xdr:colOff>0</xdr:colOff>
      <xdr:row>23</xdr:row>
      <xdr:rowOff>0</xdr:rowOff>
    </xdr:from>
    <xdr:ext cx="200025" cy="200025"/>
    <xdr:pic>
      <xdr:nvPicPr>
        <xdr:cNvPr id="0" name="image69.png"/>
        <xdr:cNvPicPr preferRelativeResize="0"/>
      </xdr:nvPicPr>
      <xdr:blipFill>
        <a:blip cstate="print" r:embed="rId56"/>
        <a:stretch>
          <a:fillRect/>
        </a:stretch>
      </xdr:blipFill>
      <xdr:spPr>
        <a:prstGeom prst="rect">
          <a:avLst/>
        </a:prstGeom>
        <a:noFill/>
      </xdr:spPr>
    </xdr:pic>
    <xdr:clientData fLocksWithSheet="0"/>
  </xdr:oneCellAnchor>
  <xdr:oneCellAnchor>
    <xdr:from>
      <xdr:col>83</xdr:col>
      <xdr:colOff>0</xdr:colOff>
      <xdr:row>23</xdr:row>
      <xdr:rowOff>0</xdr:rowOff>
    </xdr:from>
    <xdr:ext cx="200025" cy="200025"/>
    <xdr:pic>
      <xdr:nvPicPr>
        <xdr:cNvPr id="0" name="image63.png"/>
        <xdr:cNvPicPr preferRelativeResize="0"/>
      </xdr:nvPicPr>
      <xdr:blipFill>
        <a:blip cstate="print" r:embed="rId49"/>
        <a:stretch>
          <a:fillRect/>
        </a:stretch>
      </xdr:blipFill>
      <xdr:spPr>
        <a:prstGeom prst="rect">
          <a:avLst/>
        </a:prstGeom>
        <a:noFill/>
      </xdr:spPr>
    </xdr:pic>
    <xdr:clientData fLocksWithSheet="0"/>
  </xdr:oneCellAnchor>
  <xdr:oneCellAnchor>
    <xdr:from>
      <xdr:col>88</xdr:col>
      <xdr:colOff>0</xdr:colOff>
      <xdr:row>23</xdr:row>
      <xdr:rowOff>0</xdr:rowOff>
    </xdr:from>
    <xdr:ext cx="200025" cy="200025"/>
    <xdr:pic>
      <xdr:nvPicPr>
        <xdr:cNvPr id="0" name="image72.png"/>
        <xdr:cNvPicPr preferRelativeResize="0"/>
      </xdr:nvPicPr>
      <xdr:blipFill>
        <a:blip cstate="print" r:embed="rId57"/>
        <a:stretch>
          <a:fillRect/>
        </a:stretch>
      </xdr:blipFill>
      <xdr:spPr>
        <a:prstGeom prst="rect">
          <a:avLst/>
        </a:prstGeom>
        <a:noFill/>
      </xdr:spPr>
    </xdr:pic>
    <xdr:clientData fLocksWithSheet="0"/>
  </xdr:oneCellAnchor>
  <xdr:oneCellAnchor>
    <xdr:from>
      <xdr:col>93</xdr:col>
      <xdr:colOff>0</xdr:colOff>
      <xdr:row>23</xdr:row>
      <xdr:rowOff>0</xdr:rowOff>
    </xdr:from>
    <xdr:ext cx="200025" cy="200025"/>
    <xdr:pic>
      <xdr:nvPicPr>
        <xdr:cNvPr id="0" name="image68.png"/>
        <xdr:cNvPicPr preferRelativeResize="0"/>
      </xdr:nvPicPr>
      <xdr:blipFill>
        <a:blip cstate="print" r:embed="rId58"/>
        <a:stretch>
          <a:fillRect/>
        </a:stretch>
      </xdr:blipFill>
      <xdr:spPr>
        <a:prstGeom prst="rect">
          <a:avLst/>
        </a:prstGeom>
        <a:noFill/>
      </xdr:spPr>
    </xdr:pic>
    <xdr:clientData fLocksWithSheet="0"/>
  </xdr:oneCellAnchor>
  <xdr:oneCellAnchor>
    <xdr:from>
      <xdr:col>38</xdr:col>
      <xdr:colOff>0</xdr:colOff>
      <xdr:row>24</xdr:row>
      <xdr:rowOff>0</xdr:rowOff>
    </xdr:from>
    <xdr:ext cx="200025" cy="200025"/>
    <xdr:pic>
      <xdr:nvPicPr>
        <xdr:cNvPr id="0" name="image38.png"/>
        <xdr:cNvPicPr preferRelativeResize="0"/>
      </xdr:nvPicPr>
      <xdr:blipFill>
        <a:blip cstate="print" r:embed="rId25"/>
        <a:stretch>
          <a:fillRect/>
        </a:stretch>
      </xdr:blipFill>
      <xdr:spPr>
        <a:prstGeom prst="rect">
          <a:avLst/>
        </a:prstGeom>
        <a:noFill/>
      </xdr:spPr>
    </xdr:pic>
    <xdr:clientData fLocksWithSheet="0"/>
  </xdr:oneCellAnchor>
  <xdr:oneCellAnchor>
    <xdr:from>
      <xdr:col>43</xdr:col>
      <xdr:colOff>0</xdr:colOff>
      <xdr:row>24</xdr:row>
      <xdr:rowOff>0</xdr:rowOff>
    </xdr:from>
    <xdr:ext cx="161925" cy="200025"/>
    <xdr:pic>
      <xdr:nvPicPr>
        <xdr:cNvPr id="0" name="image44.png"/>
        <xdr:cNvPicPr preferRelativeResize="0"/>
      </xdr:nvPicPr>
      <xdr:blipFill>
        <a:blip cstate="print" r:embed="rId34"/>
        <a:stretch>
          <a:fillRect/>
        </a:stretch>
      </xdr:blipFill>
      <xdr:spPr>
        <a:prstGeom prst="rect">
          <a:avLst/>
        </a:prstGeom>
        <a:noFill/>
      </xdr:spPr>
    </xdr:pic>
    <xdr:clientData fLocksWithSheet="0"/>
  </xdr:oneCellAnchor>
  <xdr:oneCellAnchor>
    <xdr:from>
      <xdr:col>48</xdr:col>
      <xdr:colOff>0</xdr:colOff>
      <xdr:row>24</xdr:row>
      <xdr:rowOff>0</xdr:rowOff>
    </xdr:from>
    <xdr:ext cx="161925" cy="200025"/>
    <xdr:pic>
      <xdr:nvPicPr>
        <xdr:cNvPr id="0" name="image44.png"/>
        <xdr:cNvPicPr preferRelativeResize="0"/>
      </xdr:nvPicPr>
      <xdr:blipFill>
        <a:blip cstate="print" r:embed="rId34"/>
        <a:stretch>
          <a:fillRect/>
        </a:stretch>
      </xdr:blipFill>
      <xdr:spPr>
        <a:prstGeom prst="rect">
          <a:avLst/>
        </a:prstGeom>
        <a:noFill/>
      </xdr:spPr>
    </xdr:pic>
    <xdr:clientData fLocksWithSheet="0"/>
  </xdr:oneCellAnchor>
  <xdr:oneCellAnchor>
    <xdr:from>
      <xdr:col>53</xdr:col>
      <xdr:colOff>0</xdr:colOff>
      <xdr:row>24</xdr:row>
      <xdr:rowOff>0</xdr:rowOff>
    </xdr:from>
    <xdr:ext cx="200025" cy="200025"/>
    <xdr:pic>
      <xdr:nvPicPr>
        <xdr:cNvPr id="0" name="image36.png"/>
        <xdr:cNvPicPr preferRelativeResize="0"/>
      </xdr:nvPicPr>
      <xdr:blipFill>
        <a:blip cstate="print" r:embed="rId29"/>
        <a:stretch>
          <a:fillRect/>
        </a:stretch>
      </xdr:blipFill>
      <xdr:spPr>
        <a:prstGeom prst="rect">
          <a:avLst/>
        </a:prstGeom>
        <a:noFill/>
      </xdr:spPr>
    </xdr:pic>
    <xdr:clientData fLocksWithSheet="0"/>
  </xdr:oneCellAnchor>
  <xdr:oneCellAnchor>
    <xdr:from>
      <xdr:col>58</xdr:col>
      <xdr:colOff>0</xdr:colOff>
      <xdr:row>24</xdr:row>
      <xdr:rowOff>0</xdr:rowOff>
    </xdr:from>
    <xdr:ext cx="200025" cy="200025"/>
    <xdr:pic>
      <xdr:nvPicPr>
        <xdr:cNvPr id="0" name="image37.png"/>
        <xdr:cNvPicPr preferRelativeResize="0"/>
      </xdr:nvPicPr>
      <xdr:blipFill>
        <a:blip cstate="print" r:embed="rId24"/>
        <a:stretch>
          <a:fillRect/>
        </a:stretch>
      </xdr:blipFill>
      <xdr:spPr>
        <a:prstGeom prst="rect">
          <a:avLst/>
        </a:prstGeom>
        <a:noFill/>
      </xdr:spPr>
    </xdr:pic>
    <xdr:clientData fLocksWithSheet="0"/>
  </xdr:oneCellAnchor>
  <xdr:oneCellAnchor>
    <xdr:from>
      <xdr:col>63</xdr:col>
      <xdr:colOff>0</xdr:colOff>
      <xdr:row>24</xdr:row>
      <xdr:rowOff>0</xdr:rowOff>
    </xdr:from>
    <xdr:ext cx="200025" cy="200025"/>
    <xdr:pic>
      <xdr:nvPicPr>
        <xdr:cNvPr id="0" name="image61.png"/>
        <xdr:cNvPicPr preferRelativeResize="0"/>
      </xdr:nvPicPr>
      <xdr:blipFill>
        <a:blip cstate="print" r:embed="rId48"/>
        <a:stretch>
          <a:fillRect/>
        </a:stretch>
      </xdr:blipFill>
      <xdr:spPr>
        <a:prstGeom prst="rect">
          <a:avLst/>
        </a:prstGeom>
        <a:noFill/>
      </xdr:spPr>
    </xdr:pic>
    <xdr:clientData fLocksWithSheet="0"/>
  </xdr:oneCellAnchor>
  <xdr:oneCellAnchor>
    <xdr:from>
      <xdr:col>68</xdr:col>
      <xdr:colOff>0</xdr:colOff>
      <xdr:row>24</xdr:row>
      <xdr:rowOff>0</xdr:rowOff>
    </xdr:from>
    <xdr:ext cx="200025" cy="200025"/>
    <xdr:pic>
      <xdr:nvPicPr>
        <xdr:cNvPr id="0" name="image69.png"/>
        <xdr:cNvPicPr preferRelativeResize="0"/>
      </xdr:nvPicPr>
      <xdr:blipFill>
        <a:blip cstate="print" r:embed="rId56"/>
        <a:stretch>
          <a:fillRect/>
        </a:stretch>
      </xdr:blipFill>
      <xdr:spPr>
        <a:prstGeom prst="rect">
          <a:avLst/>
        </a:prstGeom>
        <a:noFill/>
      </xdr:spPr>
    </xdr:pic>
    <xdr:clientData fLocksWithSheet="0"/>
  </xdr:oneCellAnchor>
  <xdr:oneCellAnchor>
    <xdr:from>
      <xdr:col>73</xdr:col>
      <xdr:colOff>0</xdr:colOff>
      <xdr:row>24</xdr:row>
      <xdr:rowOff>0</xdr:rowOff>
    </xdr:from>
    <xdr:ext cx="200025" cy="200025"/>
    <xdr:pic>
      <xdr:nvPicPr>
        <xdr:cNvPr id="0" name="image69.png"/>
        <xdr:cNvPicPr preferRelativeResize="0"/>
      </xdr:nvPicPr>
      <xdr:blipFill>
        <a:blip cstate="print" r:embed="rId56"/>
        <a:stretch>
          <a:fillRect/>
        </a:stretch>
      </xdr:blipFill>
      <xdr:spPr>
        <a:prstGeom prst="rect">
          <a:avLst/>
        </a:prstGeom>
        <a:noFill/>
      </xdr:spPr>
    </xdr:pic>
    <xdr:clientData fLocksWithSheet="0"/>
  </xdr:oneCellAnchor>
  <xdr:oneCellAnchor>
    <xdr:from>
      <xdr:col>78</xdr:col>
      <xdr:colOff>0</xdr:colOff>
      <xdr:row>24</xdr:row>
      <xdr:rowOff>0</xdr:rowOff>
    </xdr:from>
    <xdr:ext cx="200025" cy="200025"/>
    <xdr:pic>
      <xdr:nvPicPr>
        <xdr:cNvPr id="0" name="image73.png"/>
        <xdr:cNvPicPr preferRelativeResize="0"/>
      </xdr:nvPicPr>
      <xdr:blipFill>
        <a:blip cstate="print" r:embed="rId59"/>
        <a:stretch>
          <a:fillRect/>
        </a:stretch>
      </xdr:blipFill>
      <xdr:spPr>
        <a:prstGeom prst="rect">
          <a:avLst/>
        </a:prstGeom>
        <a:noFill/>
      </xdr:spPr>
    </xdr:pic>
    <xdr:clientData fLocksWithSheet="0"/>
  </xdr:oneCellAnchor>
  <xdr:oneCellAnchor>
    <xdr:from>
      <xdr:col>83</xdr:col>
      <xdr:colOff>0</xdr:colOff>
      <xdr:row>24</xdr:row>
      <xdr:rowOff>0</xdr:rowOff>
    </xdr:from>
    <xdr:ext cx="200025" cy="200025"/>
    <xdr:pic>
      <xdr:nvPicPr>
        <xdr:cNvPr id="0" name="image65.png"/>
        <xdr:cNvPicPr preferRelativeResize="0"/>
      </xdr:nvPicPr>
      <xdr:blipFill>
        <a:blip cstate="print" r:embed="rId50"/>
        <a:stretch>
          <a:fillRect/>
        </a:stretch>
      </xdr:blipFill>
      <xdr:spPr>
        <a:prstGeom prst="rect">
          <a:avLst/>
        </a:prstGeom>
        <a:noFill/>
      </xdr:spPr>
    </xdr:pic>
    <xdr:clientData fLocksWithSheet="0"/>
  </xdr:oneCellAnchor>
  <xdr:oneCellAnchor>
    <xdr:from>
      <xdr:col>88</xdr:col>
      <xdr:colOff>0</xdr:colOff>
      <xdr:row>24</xdr:row>
      <xdr:rowOff>0</xdr:rowOff>
    </xdr:from>
    <xdr:ext cx="171450" cy="200025"/>
    <xdr:pic>
      <xdr:nvPicPr>
        <xdr:cNvPr id="0" name="image71.png"/>
        <xdr:cNvPicPr preferRelativeResize="0"/>
      </xdr:nvPicPr>
      <xdr:blipFill>
        <a:blip cstate="print" r:embed="rId60"/>
        <a:stretch>
          <a:fillRect/>
        </a:stretch>
      </xdr:blipFill>
      <xdr:spPr>
        <a:prstGeom prst="rect">
          <a:avLst/>
        </a:prstGeom>
        <a:noFill/>
      </xdr:spPr>
    </xdr:pic>
    <xdr:clientData fLocksWithSheet="0"/>
  </xdr:oneCellAnchor>
  <xdr:oneCellAnchor>
    <xdr:from>
      <xdr:col>93</xdr:col>
      <xdr:colOff>0</xdr:colOff>
      <xdr:row>24</xdr:row>
      <xdr:rowOff>0</xdr:rowOff>
    </xdr:from>
    <xdr:ext cx="200025" cy="200025"/>
    <xdr:pic>
      <xdr:nvPicPr>
        <xdr:cNvPr id="0" name="image72.png"/>
        <xdr:cNvPicPr preferRelativeResize="0"/>
      </xdr:nvPicPr>
      <xdr:blipFill>
        <a:blip cstate="print" r:embed="rId57"/>
        <a:stretch>
          <a:fillRect/>
        </a:stretch>
      </xdr:blipFill>
      <xdr:spPr>
        <a:prstGeom prst="rect">
          <a:avLst/>
        </a:prstGeom>
        <a:noFill/>
      </xdr:spPr>
    </xdr:pic>
    <xdr:clientData fLocksWithSheet="0"/>
  </xdr:oneCellAnchor>
  <xdr:oneCellAnchor>
    <xdr:from>
      <xdr:col>38</xdr:col>
      <xdr:colOff>0</xdr:colOff>
      <xdr:row>25</xdr:row>
      <xdr:rowOff>0</xdr:rowOff>
    </xdr:from>
    <xdr:ext cx="200025" cy="200025"/>
    <xdr:pic>
      <xdr:nvPicPr>
        <xdr:cNvPr id="0" name="image37.png"/>
        <xdr:cNvPicPr preferRelativeResize="0"/>
      </xdr:nvPicPr>
      <xdr:blipFill>
        <a:blip cstate="print" r:embed="rId24"/>
        <a:stretch>
          <a:fillRect/>
        </a:stretch>
      </xdr:blipFill>
      <xdr:spPr>
        <a:prstGeom prst="rect">
          <a:avLst/>
        </a:prstGeom>
        <a:noFill/>
      </xdr:spPr>
    </xdr:pic>
    <xdr:clientData fLocksWithSheet="0"/>
  </xdr:oneCellAnchor>
  <xdr:oneCellAnchor>
    <xdr:from>
      <xdr:col>43</xdr:col>
      <xdr:colOff>0</xdr:colOff>
      <xdr:row>25</xdr:row>
      <xdr:rowOff>0</xdr:rowOff>
    </xdr:from>
    <xdr:ext cx="200025" cy="200025"/>
    <xdr:pic>
      <xdr:nvPicPr>
        <xdr:cNvPr id="0" name="image42.png"/>
        <xdr:cNvPicPr preferRelativeResize="0"/>
      </xdr:nvPicPr>
      <xdr:blipFill>
        <a:blip cstate="print" r:embed="rId35"/>
        <a:stretch>
          <a:fillRect/>
        </a:stretch>
      </xdr:blipFill>
      <xdr:spPr>
        <a:prstGeom prst="rect">
          <a:avLst/>
        </a:prstGeom>
        <a:noFill/>
      </xdr:spPr>
    </xdr:pic>
    <xdr:clientData fLocksWithSheet="0"/>
  </xdr:oneCellAnchor>
  <xdr:oneCellAnchor>
    <xdr:from>
      <xdr:col>48</xdr:col>
      <xdr:colOff>0</xdr:colOff>
      <xdr:row>25</xdr:row>
      <xdr:rowOff>0</xdr:rowOff>
    </xdr:from>
    <xdr:ext cx="200025" cy="200025"/>
    <xdr:pic>
      <xdr:nvPicPr>
        <xdr:cNvPr id="0" name="image42.png"/>
        <xdr:cNvPicPr preferRelativeResize="0"/>
      </xdr:nvPicPr>
      <xdr:blipFill>
        <a:blip cstate="print" r:embed="rId35"/>
        <a:stretch>
          <a:fillRect/>
        </a:stretch>
      </xdr:blipFill>
      <xdr:spPr>
        <a:prstGeom prst="rect">
          <a:avLst/>
        </a:prstGeom>
        <a:noFill/>
      </xdr:spPr>
    </xdr:pic>
    <xdr:clientData fLocksWithSheet="0"/>
  </xdr:oneCellAnchor>
  <xdr:oneCellAnchor>
    <xdr:from>
      <xdr:col>53</xdr:col>
      <xdr:colOff>0</xdr:colOff>
      <xdr:row>25</xdr:row>
      <xdr:rowOff>0</xdr:rowOff>
    </xdr:from>
    <xdr:ext cx="161925" cy="200025"/>
    <xdr:pic>
      <xdr:nvPicPr>
        <xdr:cNvPr id="0" name="image44.png"/>
        <xdr:cNvPicPr preferRelativeResize="0"/>
      </xdr:nvPicPr>
      <xdr:blipFill>
        <a:blip cstate="print" r:embed="rId34"/>
        <a:stretch>
          <a:fillRect/>
        </a:stretch>
      </xdr:blipFill>
      <xdr:spPr>
        <a:prstGeom prst="rect">
          <a:avLst/>
        </a:prstGeom>
        <a:noFill/>
      </xdr:spPr>
    </xdr:pic>
    <xdr:clientData fLocksWithSheet="0"/>
  </xdr:oneCellAnchor>
  <xdr:oneCellAnchor>
    <xdr:from>
      <xdr:col>58</xdr:col>
      <xdr:colOff>0</xdr:colOff>
      <xdr:row>25</xdr:row>
      <xdr:rowOff>0</xdr:rowOff>
    </xdr:from>
    <xdr:ext cx="200025" cy="200025"/>
    <xdr:pic>
      <xdr:nvPicPr>
        <xdr:cNvPr id="0" name="image36.png"/>
        <xdr:cNvPicPr preferRelativeResize="0"/>
      </xdr:nvPicPr>
      <xdr:blipFill>
        <a:blip cstate="print" r:embed="rId29"/>
        <a:stretch>
          <a:fillRect/>
        </a:stretch>
      </xdr:blipFill>
      <xdr:spPr>
        <a:prstGeom prst="rect">
          <a:avLst/>
        </a:prstGeom>
        <a:noFill/>
      </xdr:spPr>
    </xdr:pic>
    <xdr:clientData fLocksWithSheet="0"/>
  </xdr:oneCellAnchor>
  <xdr:oneCellAnchor>
    <xdr:from>
      <xdr:col>63</xdr:col>
      <xdr:colOff>0</xdr:colOff>
      <xdr:row>25</xdr:row>
      <xdr:rowOff>0</xdr:rowOff>
    </xdr:from>
    <xdr:ext cx="200025" cy="200025"/>
    <xdr:pic>
      <xdr:nvPicPr>
        <xdr:cNvPr id="0" name="image34.png"/>
        <xdr:cNvPicPr preferRelativeResize="0"/>
      </xdr:nvPicPr>
      <xdr:blipFill>
        <a:blip cstate="print" r:embed="rId15"/>
        <a:stretch>
          <a:fillRect/>
        </a:stretch>
      </xdr:blipFill>
      <xdr:spPr>
        <a:prstGeom prst="rect">
          <a:avLst/>
        </a:prstGeom>
        <a:noFill/>
      </xdr:spPr>
    </xdr:pic>
    <xdr:clientData fLocksWithSheet="0"/>
  </xdr:oneCellAnchor>
  <xdr:oneCellAnchor>
    <xdr:from>
      <xdr:col>68</xdr:col>
      <xdr:colOff>0</xdr:colOff>
      <xdr:row>25</xdr:row>
      <xdr:rowOff>0</xdr:rowOff>
    </xdr:from>
    <xdr:ext cx="200025" cy="200025"/>
    <xdr:pic>
      <xdr:nvPicPr>
        <xdr:cNvPr id="0" name="image73.png"/>
        <xdr:cNvPicPr preferRelativeResize="0"/>
      </xdr:nvPicPr>
      <xdr:blipFill>
        <a:blip cstate="print" r:embed="rId59"/>
        <a:stretch>
          <a:fillRect/>
        </a:stretch>
      </xdr:blipFill>
      <xdr:spPr>
        <a:prstGeom prst="rect">
          <a:avLst/>
        </a:prstGeom>
        <a:noFill/>
      </xdr:spPr>
    </xdr:pic>
    <xdr:clientData fLocksWithSheet="0"/>
  </xdr:oneCellAnchor>
  <xdr:oneCellAnchor>
    <xdr:from>
      <xdr:col>73</xdr:col>
      <xdr:colOff>0</xdr:colOff>
      <xdr:row>25</xdr:row>
      <xdr:rowOff>0</xdr:rowOff>
    </xdr:from>
    <xdr:ext cx="200025" cy="200025"/>
    <xdr:pic>
      <xdr:nvPicPr>
        <xdr:cNvPr id="0" name="image73.png"/>
        <xdr:cNvPicPr preferRelativeResize="0"/>
      </xdr:nvPicPr>
      <xdr:blipFill>
        <a:blip cstate="print" r:embed="rId59"/>
        <a:stretch>
          <a:fillRect/>
        </a:stretch>
      </xdr:blipFill>
      <xdr:spPr>
        <a:prstGeom prst="rect">
          <a:avLst/>
        </a:prstGeom>
        <a:noFill/>
      </xdr:spPr>
    </xdr:pic>
    <xdr:clientData fLocksWithSheet="0"/>
  </xdr:oneCellAnchor>
  <xdr:oneCellAnchor>
    <xdr:from>
      <xdr:col>78</xdr:col>
      <xdr:colOff>0</xdr:colOff>
      <xdr:row>25</xdr:row>
      <xdr:rowOff>0</xdr:rowOff>
    </xdr:from>
    <xdr:ext cx="200025" cy="200025"/>
    <xdr:pic>
      <xdr:nvPicPr>
        <xdr:cNvPr id="0" name="image40.png"/>
        <xdr:cNvPicPr preferRelativeResize="0"/>
      </xdr:nvPicPr>
      <xdr:blipFill>
        <a:blip cstate="print" r:embed="rId27"/>
        <a:stretch>
          <a:fillRect/>
        </a:stretch>
      </xdr:blipFill>
      <xdr:spPr>
        <a:prstGeom prst="rect">
          <a:avLst/>
        </a:prstGeom>
        <a:noFill/>
      </xdr:spPr>
    </xdr:pic>
    <xdr:clientData fLocksWithSheet="0"/>
  </xdr:oneCellAnchor>
  <xdr:oneCellAnchor>
    <xdr:from>
      <xdr:col>83</xdr:col>
      <xdr:colOff>0</xdr:colOff>
      <xdr:row>25</xdr:row>
      <xdr:rowOff>0</xdr:rowOff>
    </xdr:from>
    <xdr:ext cx="200025" cy="200025"/>
    <xdr:pic>
      <xdr:nvPicPr>
        <xdr:cNvPr id="0" name="image67.png"/>
        <xdr:cNvPicPr preferRelativeResize="0"/>
      </xdr:nvPicPr>
      <xdr:blipFill>
        <a:blip cstate="print" r:embed="rId53"/>
        <a:stretch>
          <a:fillRect/>
        </a:stretch>
      </xdr:blipFill>
      <xdr:spPr>
        <a:prstGeom prst="rect">
          <a:avLst/>
        </a:prstGeom>
        <a:noFill/>
      </xdr:spPr>
    </xdr:pic>
    <xdr:clientData fLocksWithSheet="0"/>
  </xdr:oneCellAnchor>
  <xdr:oneCellAnchor>
    <xdr:from>
      <xdr:col>88</xdr:col>
      <xdr:colOff>0</xdr:colOff>
      <xdr:row>25</xdr:row>
      <xdr:rowOff>0</xdr:rowOff>
    </xdr:from>
    <xdr:ext cx="200025" cy="200025"/>
    <xdr:pic>
      <xdr:nvPicPr>
        <xdr:cNvPr id="0" name="image79.png"/>
        <xdr:cNvPicPr preferRelativeResize="0"/>
      </xdr:nvPicPr>
      <xdr:blipFill>
        <a:blip cstate="print" r:embed="rId61"/>
        <a:stretch>
          <a:fillRect/>
        </a:stretch>
      </xdr:blipFill>
      <xdr:spPr>
        <a:prstGeom prst="rect">
          <a:avLst/>
        </a:prstGeom>
        <a:noFill/>
      </xdr:spPr>
    </xdr:pic>
    <xdr:clientData fLocksWithSheet="0"/>
  </xdr:oneCellAnchor>
  <xdr:oneCellAnchor>
    <xdr:from>
      <xdr:col>93</xdr:col>
      <xdr:colOff>0</xdr:colOff>
      <xdr:row>25</xdr:row>
      <xdr:rowOff>0</xdr:rowOff>
    </xdr:from>
    <xdr:ext cx="200025" cy="200025"/>
    <xdr:pic>
      <xdr:nvPicPr>
        <xdr:cNvPr id="0" name="image77.png"/>
        <xdr:cNvPicPr preferRelativeResize="0"/>
      </xdr:nvPicPr>
      <xdr:blipFill>
        <a:blip cstate="print" r:embed="rId62"/>
        <a:stretch>
          <a:fillRect/>
        </a:stretch>
      </xdr:blipFill>
      <xdr:spPr>
        <a:prstGeom prst="rect">
          <a:avLst/>
        </a:prstGeom>
        <a:noFill/>
      </xdr:spPr>
    </xdr:pic>
    <xdr:clientData fLocksWithSheet="0"/>
  </xdr:oneCellAnchor>
  <xdr:oneCellAnchor>
    <xdr:from>
      <xdr:col>38</xdr:col>
      <xdr:colOff>0</xdr:colOff>
      <xdr:row>26</xdr:row>
      <xdr:rowOff>0</xdr:rowOff>
    </xdr:from>
    <xdr:ext cx="200025" cy="200025"/>
    <xdr:pic>
      <xdr:nvPicPr>
        <xdr:cNvPr id="0" name="image36.png"/>
        <xdr:cNvPicPr preferRelativeResize="0"/>
      </xdr:nvPicPr>
      <xdr:blipFill>
        <a:blip cstate="print" r:embed="rId29"/>
        <a:stretch>
          <a:fillRect/>
        </a:stretch>
      </xdr:blipFill>
      <xdr:spPr>
        <a:prstGeom prst="rect">
          <a:avLst/>
        </a:prstGeom>
        <a:noFill/>
      </xdr:spPr>
    </xdr:pic>
    <xdr:clientData fLocksWithSheet="0"/>
  </xdr:oneCellAnchor>
  <xdr:oneCellAnchor>
    <xdr:from>
      <xdr:col>43</xdr:col>
      <xdr:colOff>0</xdr:colOff>
      <xdr:row>26</xdr:row>
      <xdr:rowOff>0</xdr:rowOff>
    </xdr:from>
    <xdr:ext cx="200025" cy="200025"/>
    <xdr:pic>
      <xdr:nvPicPr>
        <xdr:cNvPr id="0" name="image31.png"/>
        <xdr:cNvPicPr preferRelativeResize="0"/>
      </xdr:nvPicPr>
      <xdr:blipFill>
        <a:blip cstate="print" r:embed="rId20"/>
        <a:stretch>
          <a:fillRect/>
        </a:stretch>
      </xdr:blipFill>
      <xdr:spPr>
        <a:prstGeom prst="rect">
          <a:avLst/>
        </a:prstGeom>
        <a:noFill/>
      </xdr:spPr>
    </xdr:pic>
    <xdr:clientData fLocksWithSheet="0"/>
  </xdr:oneCellAnchor>
  <xdr:oneCellAnchor>
    <xdr:from>
      <xdr:col>48</xdr:col>
      <xdr:colOff>0</xdr:colOff>
      <xdr:row>26</xdr:row>
      <xdr:rowOff>0</xdr:rowOff>
    </xdr:from>
    <xdr:ext cx="200025" cy="200025"/>
    <xdr:pic>
      <xdr:nvPicPr>
        <xdr:cNvPr id="0" name="image31.png"/>
        <xdr:cNvPicPr preferRelativeResize="0"/>
      </xdr:nvPicPr>
      <xdr:blipFill>
        <a:blip cstate="print" r:embed="rId20"/>
        <a:stretch>
          <a:fillRect/>
        </a:stretch>
      </xdr:blipFill>
      <xdr:spPr>
        <a:prstGeom prst="rect">
          <a:avLst/>
        </a:prstGeom>
        <a:noFill/>
      </xdr:spPr>
    </xdr:pic>
    <xdr:clientData fLocksWithSheet="0"/>
  </xdr:oneCellAnchor>
  <xdr:oneCellAnchor>
    <xdr:from>
      <xdr:col>53</xdr:col>
      <xdr:colOff>0</xdr:colOff>
      <xdr:row>26</xdr:row>
      <xdr:rowOff>0</xdr:rowOff>
    </xdr:from>
    <xdr:ext cx="200025" cy="200025"/>
    <xdr:pic>
      <xdr:nvPicPr>
        <xdr:cNvPr id="0" name="image42.png"/>
        <xdr:cNvPicPr preferRelativeResize="0"/>
      </xdr:nvPicPr>
      <xdr:blipFill>
        <a:blip cstate="print" r:embed="rId35"/>
        <a:stretch>
          <a:fillRect/>
        </a:stretch>
      </xdr:blipFill>
      <xdr:spPr>
        <a:prstGeom prst="rect">
          <a:avLst/>
        </a:prstGeom>
        <a:noFill/>
      </xdr:spPr>
    </xdr:pic>
    <xdr:clientData fLocksWithSheet="0"/>
  </xdr:oneCellAnchor>
  <xdr:oneCellAnchor>
    <xdr:from>
      <xdr:col>58</xdr:col>
      <xdr:colOff>0</xdr:colOff>
      <xdr:row>26</xdr:row>
      <xdr:rowOff>0</xdr:rowOff>
    </xdr:from>
    <xdr:ext cx="161925" cy="200025"/>
    <xdr:pic>
      <xdr:nvPicPr>
        <xdr:cNvPr id="0" name="image44.png"/>
        <xdr:cNvPicPr preferRelativeResize="0"/>
      </xdr:nvPicPr>
      <xdr:blipFill>
        <a:blip cstate="print" r:embed="rId34"/>
        <a:stretch>
          <a:fillRect/>
        </a:stretch>
      </xdr:blipFill>
      <xdr:spPr>
        <a:prstGeom prst="rect">
          <a:avLst/>
        </a:prstGeom>
        <a:noFill/>
      </xdr:spPr>
    </xdr:pic>
    <xdr:clientData fLocksWithSheet="0"/>
  </xdr:oneCellAnchor>
  <xdr:oneCellAnchor>
    <xdr:from>
      <xdr:col>63</xdr:col>
      <xdr:colOff>0</xdr:colOff>
      <xdr:row>26</xdr:row>
      <xdr:rowOff>0</xdr:rowOff>
    </xdr:from>
    <xdr:ext cx="209550" cy="200025"/>
    <xdr:pic>
      <xdr:nvPicPr>
        <xdr:cNvPr id="0" name="image76.png"/>
        <xdr:cNvPicPr preferRelativeResize="0"/>
      </xdr:nvPicPr>
      <xdr:blipFill>
        <a:blip cstate="print" r:embed="rId55"/>
        <a:stretch>
          <a:fillRect/>
        </a:stretch>
      </xdr:blipFill>
      <xdr:spPr>
        <a:prstGeom prst="rect">
          <a:avLst/>
        </a:prstGeom>
        <a:noFill/>
      </xdr:spPr>
    </xdr:pic>
    <xdr:clientData fLocksWithSheet="0"/>
  </xdr:oneCellAnchor>
  <xdr:oneCellAnchor>
    <xdr:from>
      <xdr:col>68</xdr:col>
      <xdr:colOff>0</xdr:colOff>
      <xdr:row>26</xdr:row>
      <xdr:rowOff>0</xdr:rowOff>
    </xdr:from>
    <xdr:ext cx="200025" cy="200025"/>
    <xdr:pic>
      <xdr:nvPicPr>
        <xdr:cNvPr id="0" name="image40.png"/>
        <xdr:cNvPicPr preferRelativeResize="0"/>
      </xdr:nvPicPr>
      <xdr:blipFill>
        <a:blip cstate="print" r:embed="rId27"/>
        <a:stretch>
          <a:fillRect/>
        </a:stretch>
      </xdr:blipFill>
      <xdr:spPr>
        <a:prstGeom prst="rect">
          <a:avLst/>
        </a:prstGeom>
        <a:noFill/>
      </xdr:spPr>
    </xdr:pic>
    <xdr:clientData fLocksWithSheet="0"/>
  </xdr:oneCellAnchor>
  <xdr:oneCellAnchor>
    <xdr:from>
      <xdr:col>73</xdr:col>
      <xdr:colOff>0</xdr:colOff>
      <xdr:row>26</xdr:row>
      <xdr:rowOff>0</xdr:rowOff>
    </xdr:from>
    <xdr:ext cx="200025" cy="200025"/>
    <xdr:pic>
      <xdr:nvPicPr>
        <xdr:cNvPr id="0" name="image40.png"/>
        <xdr:cNvPicPr preferRelativeResize="0"/>
      </xdr:nvPicPr>
      <xdr:blipFill>
        <a:blip cstate="print" r:embed="rId27"/>
        <a:stretch>
          <a:fillRect/>
        </a:stretch>
      </xdr:blipFill>
      <xdr:spPr>
        <a:prstGeom prst="rect">
          <a:avLst/>
        </a:prstGeom>
        <a:noFill/>
      </xdr:spPr>
    </xdr:pic>
    <xdr:clientData fLocksWithSheet="0"/>
  </xdr:oneCellAnchor>
  <xdr:oneCellAnchor>
    <xdr:from>
      <xdr:col>78</xdr:col>
      <xdr:colOff>0</xdr:colOff>
      <xdr:row>26</xdr:row>
      <xdr:rowOff>0</xdr:rowOff>
    </xdr:from>
    <xdr:ext cx="200025" cy="200025"/>
    <xdr:pic>
      <xdr:nvPicPr>
        <xdr:cNvPr id="0" name="image70.png"/>
        <xdr:cNvPicPr preferRelativeResize="0"/>
      </xdr:nvPicPr>
      <xdr:blipFill>
        <a:blip cstate="print" r:embed="rId63"/>
        <a:stretch>
          <a:fillRect/>
        </a:stretch>
      </xdr:blipFill>
      <xdr:spPr>
        <a:prstGeom prst="rect">
          <a:avLst/>
        </a:prstGeom>
        <a:noFill/>
      </xdr:spPr>
    </xdr:pic>
    <xdr:clientData fLocksWithSheet="0"/>
  </xdr:oneCellAnchor>
  <xdr:oneCellAnchor>
    <xdr:from>
      <xdr:col>83</xdr:col>
      <xdr:colOff>0</xdr:colOff>
      <xdr:row>26</xdr:row>
      <xdr:rowOff>0</xdr:rowOff>
    </xdr:from>
    <xdr:ext cx="200025" cy="200025"/>
    <xdr:pic>
      <xdr:nvPicPr>
        <xdr:cNvPr id="0" name="image68.png"/>
        <xdr:cNvPicPr preferRelativeResize="0"/>
      </xdr:nvPicPr>
      <xdr:blipFill>
        <a:blip cstate="print" r:embed="rId58"/>
        <a:stretch>
          <a:fillRect/>
        </a:stretch>
      </xdr:blipFill>
      <xdr:spPr>
        <a:prstGeom prst="rect">
          <a:avLst/>
        </a:prstGeom>
        <a:noFill/>
      </xdr:spPr>
    </xdr:pic>
    <xdr:clientData fLocksWithSheet="0"/>
  </xdr:oneCellAnchor>
  <xdr:oneCellAnchor>
    <xdr:from>
      <xdr:col>88</xdr:col>
      <xdr:colOff>0</xdr:colOff>
      <xdr:row>26</xdr:row>
      <xdr:rowOff>0</xdr:rowOff>
    </xdr:from>
    <xdr:ext cx="200025" cy="200025"/>
    <xdr:pic>
      <xdr:nvPicPr>
        <xdr:cNvPr id="0" name="image83.png"/>
        <xdr:cNvPicPr preferRelativeResize="0"/>
      </xdr:nvPicPr>
      <xdr:blipFill>
        <a:blip cstate="print" r:embed="rId64"/>
        <a:stretch>
          <a:fillRect/>
        </a:stretch>
      </xdr:blipFill>
      <xdr:spPr>
        <a:prstGeom prst="rect">
          <a:avLst/>
        </a:prstGeom>
        <a:noFill/>
      </xdr:spPr>
    </xdr:pic>
    <xdr:clientData fLocksWithSheet="0"/>
  </xdr:oneCellAnchor>
  <xdr:oneCellAnchor>
    <xdr:from>
      <xdr:col>93</xdr:col>
      <xdr:colOff>0</xdr:colOff>
      <xdr:row>26</xdr:row>
      <xdr:rowOff>0</xdr:rowOff>
    </xdr:from>
    <xdr:ext cx="171450" cy="200025"/>
    <xdr:pic>
      <xdr:nvPicPr>
        <xdr:cNvPr id="0" name="image71.png"/>
        <xdr:cNvPicPr preferRelativeResize="0"/>
      </xdr:nvPicPr>
      <xdr:blipFill>
        <a:blip cstate="print" r:embed="rId60"/>
        <a:stretch>
          <a:fillRect/>
        </a:stretch>
      </xdr:blipFill>
      <xdr:spPr>
        <a:prstGeom prst="rect">
          <a:avLst/>
        </a:prstGeom>
        <a:noFill/>
      </xdr:spPr>
    </xdr:pic>
    <xdr:clientData fLocksWithSheet="0"/>
  </xdr:oneCellAnchor>
  <xdr:oneCellAnchor>
    <xdr:from>
      <xdr:col>38</xdr:col>
      <xdr:colOff>0</xdr:colOff>
      <xdr:row>27</xdr:row>
      <xdr:rowOff>0</xdr:rowOff>
    </xdr:from>
    <xdr:ext cx="161925" cy="200025"/>
    <xdr:pic>
      <xdr:nvPicPr>
        <xdr:cNvPr id="0" name="image44.png"/>
        <xdr:cNvPicPr preferRelativeResize="0"/>
      </xdr:nvPicPr>
      <xdr:blipFill>
        <a:blip cstate="print" r:embed="rId34"/>
        <a:stretch>
          <a:fillRect/>
        </a:stretch>
      </xdr:blipFill>
      <xdr:spPr>
        <a:prstGeom prst="rect">
          <a:avLst/>
        </a:prstGeom>
        <a:noFill/>
      </xdr:spPr>
    </xdr:pic>
    <xdr:clientData fLocksWithSheet="0"/>
  </xdr:oneCellAnchor>
  <xdr:oneCellAnchor>
    <xdr:from>
      <xdr:col>43</xdr:col>
      <xdr:colOff>0</xdr:colOff>
      <xdr:row>27</xdr:row>
      <xdr:rowOff>0</xdr:rowOff>
    </xdr:from>
    <xdr:ext cx="200025" cy="200025"/>
    <xdr:pic>
      <xdr:nvPicPr>
        <xdr:cNvPr id="0" name="image22.png"/>
        <xdr:cNvPicPr preferRelativeResize="0"/>
      </xdr:nvPicPr>
      <xdr:blipFill>
        <a:blip cstate="print" r:embed="rId8"/>
        <a:stretch>
          <a:fillRect/>
        </a:stretch>
      </xdr:blipFill>
      <xdr:spPr>
        <a:prstGeom prst="rect">
          <a:avLst/>
        </a:prstGeom>
        <a:noFill/>
      </xdr:spPr>
    </xdr:pic>
    <xdr:clientData fLocksWithSheet="0"/>
  </xdr:oneCellAnchor>
  <xdr:oneCellAnchor>
    <xdr:from>
      <xdr:col>48</xdr:col>
      <xdr:colOff>0</xdr:colOff>
      <xdr:row>27</xdr:row>
      <xdr:rowOff>0</xdr:rowOff>
    </xdr:from>
    <xdr:ext cx="200025" cy="200025"/>
    <xdr:pic>
      <xdr:nvPicPr>
        <xdr:cNvPr id="0" name="image22.png"/>
        <xdr:cNvPicPr preferRelativeResize="0"/>
      </xdr:nvPicPr>
      <xdr:blipFill>
        <a:blip cstate="print" r:embed="rId8"/>
        <a:stretch>
          <a:fillRect/>
        </a:stretch>
      </xdr:blipFill>
      <xdr:spPr>
        <a:prstGeom prst="rect">
          <a:avLst/>
        </a:prstGeom>
        <a:noFill/>
      </xdr:spPr>
    </xdr:pic>
    <xdr:clientData fLocksWithSheet="0"/>
  </xdr:oneCellAnchor>
  <xdr:oneCellAnchor>
    <xdr:from>
      <xdr:col>53</xdr:col>
      <xdr:colOff>0</xdr:colOff>
      <xdr:row>27</xdr:row>
      <xdr:rowOff>0</xdr:rowOff>
    </xdr:from>
    <xdr:ext cx="200025" cy="200025"/>
    <xdr:pic>
      <xdr:nvPicPr>
        <xdr:cNvPr id="0" name="image31.png"/>
        <xdr:cNvPicPr preferRelativeResize="0"/>
      </xdr:nvPicPr>
      <xdr:blipFill>
        <a:blip cstate="print" r:embed="rId20"/>
        <a:stretch>
          <a:fillRect/>
        </a:stretch>
      </xdr:blipFill>
      <xdr:spPr>
        <a:prstGeom prst="rect">
          <a:avLst/>
        </a:prstGeom>
        <a:noFill/>
      </xdr:spPr>
    </xdr:pic>
    <xdr:clientData fLocksWithSheet="0"/>
  </xdr:oneCellAnchor>
  <xdr:oneCellAnchor>
    <xdr:from>
      <xdr:col>58</xdr:col>
      <xdr:colOff>0</xdr:colOff>
      <xdr:row>27</xdr:row>
      <xdr:rowOff>0</xdr:rowOff>
    </xdr:from>
    <xdr:ext cx="200025" cy="200025"/>
    <xdr:pic>
      <xdr:nvPicPr>
        <xdr:cNvPr id="0" name="image42.png"/>
        <xdr:cNvPicPr preferRelativeResize="0"/>
      </xdr:nvPicPr>
      <xdr:blipFill>
        <a:blip cstate="print" r:embed="rId35"/>
        <a:stretch>
          <a:fillRect/>
        </a:stretch>
      </xdr:blipFill>
      <xdr:spPr>
        <a:prstGeom prst="rect">
          <a:avLst/>
        </a:prstGeom>
        <a:noFill/>
      </xdr:spPr>
    </xdr:pic>
    <xdr:clientData fLocksWithSheet="0"/>
  </xdr:oneCellAnchor>
  <xdr:oneCellAnchor>
    <xdr:from>
      <xdr:col>63</xdr:col>
      <xdr:colOff>0</xdr:colOff>
      <xdr:row>27</xdr:row>
      <xdr:rowOff>0</xdr:rowOff>
    </xdr:from>
    <xdr:ext cx="200025" cy="200025"/>
    <xdr:pic>
      <xdr:nvPicPr>
        <xdr:cNvPr id="0" name="image66.png"/>
        <xdr:cNvPicPr preferRelativeResize="0"/>
      </xdr:nvPicPr>
      <xdr:blipFill>
        <a:blip cstate="print" r:embed="rId47"/>
        <a:stretch>
          <a:fillRect/>
        </a:stretch>
      </xdr:blipFill>
      <xdr:spPr>
        <a:prstGeom prst="rect">
          <a:avLst/>
        </a:prstGeom>
        <a:noFill/>
      </xdr:spPr>
    </xdr:pic>
    <xdr:clientData fLocksWithSheet="0"/>
  </xdr:oneCellAnchor>
  <xdr:oneCellAnchor>
    <xdr:from>
      <xdr:col>68</xdr:col>
      <xdr:colOff>0</xdr:colOff>
      <xdr:row>27</xdr:row>
      <xdr:rowOff>0</xdr:rowOff>
    </xdr:from>
    <xdr:ext cx="200025" cy="200025"/>
    <xdr:pic>
      <xdr:nvPicPr>
        <xdr:cNvPr id="0" name="image70.png"/>
        <xdr:cNvPicPr preferRelativeResize="0"/>
      </xdr:nvPicPr>
      <xdr:blipFill>
        <a:blip cstate="print" r:embed="rId63"/>
        <a:stretch>
          <a:fillRect/>
        </a:stretch>
      </xdr:blipFill>
      <xdr:spPr>
        <a:prstGeom prst="rect">
          <a:avLst/>
        </a:prstGeom>
        <a:noFill/>
      </xdr:spPr>
    </xdr:pic>
    <xdr:clientData fLocksWithSheet="0"/>
  </xdr:oneCellAnchor>
  <xdr:oneCellAnchor>
    <xdr:from>
      <xdr:col>73</xdr:col>
      <xdr:colOff>0</xdr:colOff>
      <xdr:row>27</xdr:row>
      <xdr:rowOff>0</xdr:rowOff>
    </xdr:from>
    <xdr:ext cx="200025" cy="200025"/>
    <xdr:pic>
      <xdr:nvPicPr>
        <xdr:cNvPr id="0" name="image70.png"/>
        <xdr:cNvPicPr preferRelativeResize="0"/>
      </xdr:nvPicPr>
      <xdr:blipFill>
        <a:blip cstate="print" r:embed="rId63"/>
        <a:stretch>
          <a:fillRect/>
        </a:stretch>
      </xdr:blipFill>
      <xdr:spPr>
        <a:prstGeom prst="rect">
          <a:avLst/>
        </a:prstGeom>
        <a:noFill/>
      </xdr:spPr>
    </xdr:pic>
    <xdr:clientData fLocksWithSheet="0"/>
  </xdr:oneCellAnchor>
  <xdr:oneCellAnchor>
    <xdr:from>
      <xdr:col>78</xdr:col>
      <xdr:colOff>0</xdr:colOff>
      <xdr:row>27</xdr:row>
      <xdr:rowOff>0</xdr:rowOff>
    </xdr:from>
    <xdr:ext cx="200025" cy="200025"/>
    <xdr:pic>
      <xdr:nvPicPr>
        <xdr:cNvPr id="0" name="image75.png"/>
        <xdr:cNvPicPr preferRelativeResize="0"/>
      </xdr:nvPicPr>
      <xdr:blipFill>
        <a:blip cstate="print" r:embed="rId65"/>
        <a:stretch>
          <a:fillRect/>
        </a:stretch>
      </xdr:blipFill>
      <xdr:spPr>
        <a:prstGeom prst="rect">
          <a:avLst/>
        </a:prstGeom>
        <a:noFill/>
      </xdr:spPr>
    </xdr:pic>
    <xdr:clientData fLocksWithSheet="0"/>
  </xdr:oneCellAnchor>
  <xdr:oneCellAnchor>
    <xdr:from>
      <xdr:col>83</xdr:col>
      <xdr:colOff>0</xdr:colOff>
      <xdr:row>27</xdr:row>
      <xdr:rowOff>0</xdr:rowOff>
    </xdr:from>
    <xdr:ext cx="200025" cy="200025"/>
    <xdr:pic>
      <xdr:nvPicPr>
        <xdr:cNvPr id="0" name="image72.png"/>
        <xdr:cNvPicPr preferRelativeResize="0"/>
      </xdr:nvPicPr>
      <xdr:blipFill>
        <a:blip cstate="print" r:embed="rId57"/>
        <a:stretch>
          <a:fillRect/>
        </a:stretch>
      </xdr:blipFill>
      <xdr:spPr>
        <a:prstGeom prst="rect">
          <a:avLst/>
        </a:prstGeom>
        <a:noFill/>
      </xdr:spPr>
    </xdr:pic>
    <xdr:clientData fLocksWithSheet="0"/>
  </xdr:oneCellAnchor>
  <xdr:oneCellAnchor>
    <xdr:from>
      <xdr:col>88</xdr:col>
      <xdr:colOff>0</xdr:colOff>
      <xdr:row>27</xdr:row>
      <xdr:rowOff>0</xdr:rowOff>
    </xdr:from>
    <xdr:ext cx="200025" cy="200025"/>
    <xdr:pic>
      <xdr:nvPicPr>
        <xdr:cNvPr id="0" name="image51.png"/>
        <xdr:cNvPicPr preferRelativeResize="0"/>
      </xdr:nvPicPr>
      <xdr:blipFill>
        <a:blip cstate="print" r:embed="rId31"/>
        <a:stretch>
          <a:fillRect/>
        </a:stretch>
      </xdr:blipFill>
      <xdr:spPr>
        <a:prstGeom prst="rect">
          <a:avLst/>
        </a:prstGeom>
        <a:noFill/>
      </xdr:spPr>
    </xdr:pic>
    <xdr:clientData fLocksWithSheet="0"/>
  </xdr:oneCellAnchor>
  <xdr:oneCellAnchor>
    <xdr:from>
      <xdr:col>93</xdr:col>
      <xdr:colOff>0</xdr:colOff>
      <xdr:row>27</xdr:row>
      <xdr:rowOff>0</xdr:rowOff>
    </xdr:from>
    <xdr:ext cx="200025" cy="200025"/>
    <xdr:pic>
      <xdr:nvPicPr>
        <xdr:cNvPr id="0" name="image79.png"/>
        <xdr:cNvPicPr preferRelativeResize="0"/>
      </xdr:nvPicPr>
      <xdr:blipFill>
        <a:blip cstate="print" r:embed="rId61"/>
        <a:stretch>
          <a:fillRect/>
        </a:stretch>
      </xdr:blipFill>
      <xdr:spPr>
        <a:prstGeom prst="rect">
          <a:avLst/>
        </a:prstGeom>
        <a:noFill/>
      </xdr:spPr>
    </xdr:pic>
    <xdr:clientData fLocksWithSheet="0"/>
  </xdr:oneCellAnchor>
  <xdr:oneCellAnchor>
    <xdr:from>
      <xdr:col>38</xdr:col>
      <xdr:colOff>0</xdr:colOff>
      <xdr:row>28</xdr:row>
      <xdr:rowOff>0</xdr:rowOff>
    </xdr:from>
    <xdr:ext cx="200025" cy="200025"/>
    <xdr:pic>
      <xdr:nvPicPr>
        <xdr:cNvPr id="0" name="image42.png"/>
        <xdr:cNvPicPr preferRelativeResize="0"/>
      </xdr:nvPicPr>
      <xdr:blipFill>
        <a:blip cstate="print" r:embed="rId35"/>
        <a:stretch>
          <a:fillRect/>
        </a:stretch>
      </xdr:blipFill>
      <xdr:spPr>
        <a:prstGeom prst="rect">
          <a:avLst/>
        </a:prstGeom>
        <a:noFill/>
      </xdr:spPr>
    </xdr:pic>
    <xdr:clientData fLocksWithSheet="0"/>
  </xdr:oneCellAnchor>
  <xdr:oneCellAnchor>
    <xdr:from>
      <xdr:col>43</xdr:col>
      <xdr:colOff>0</xdr:colOff>
      <xdr:row>28</xdr:row>
      <xdr:rowOff>0</xdr:rowOff>
    </xdr:from>
    <xdr:ext cx="200025" cy="200025"/>
    <xdr:pic>
      <xdr:nvPicPr>
        <xdr:cNvPr id="0" name="image41.png"/>
        <xdr:cNvPicPr preferRelativeResize="0"/>
      </xdr:nvPicPr>
      <xdr:blipFill>
        <a:blip cstate="print" r:embed="rId23"/>
        <a:stretch>
          <a:fillRect/>
        </a:stretch>
      </xdr:blipFill>
      <xdr:spPr>
        <a:prstGeom prst="rect">
          <a:avLst/>
        </a:prstGeom>
        <a:noFill/>
      </xdr:spPr>
    </xdr:pic>
    <xdr:clientData fLocksWithSheet="0"/>
  </xdr:oneCellAnchor>
  <xdr:oneCellAnchor>
    <xdr:from>
      <xdr:col>48</xdr:col>
      <xdr:colOff>0</xdr:colOff>
      <xdr:row>28</xdr:row>
      <xdr:rowOff>0</xdr:rowOff>
    </xdr:from>
    <xdr:ext cx="200025" cy="200025"/>
    <xdr:pic>
      <xdr:nvPicPr>
        <xdr:cNvPr id="0" name="image41.png"/>
        <xdr:cNvPicPr preferRelativeResize="0"/>
      </xdr:nvPicPr>
      <xdr:blipFill>
        <a:blip cstate="print" r:embed="rId23"/>
        <a:stretch>
          <a:fillRect/>
        </a:stretch>
      </xdr:blipFill>
      <xdr:spPr>
        <a:prstGeom prst="rect">
          <a:avLst/>
        </a:prstGeom>
        <a:noFill/>
      </xdr:spPr>
    </xdr:pic>
    <xdr:clientData fLocksWithSheet="0"/>
  </xdr:oneCellAnchor>
  <xdr:oneCellAnchor>
    <xdr:from>
      <xdr:col>53</xdr:col>
      <xdr:colOff>0</xdr:colOff>
      <xdr:row>28</xdr:row>
      <xdr:rowOff>0</xdr:rowOff>
    </xdr:from>
    <xdr:ext cx="200025" cy="200025"/>
    <xdr:pic>
      <xdr:nvPicPr>
        <xdr:cNvPr id="0" name="image22.png"/>
        <xdr:cNvPicPr preferRelativeResize="0"/>
      </xdr:nvPicPr>
      <xdr:blipFill>
        <a:blip cstate="print" r:embed="rId8"/>
        <a:stretch>
          <a:fillRect/>
        </a:stretch>
      </xdr:blipFill>
      <xdr:spPr>
        <a:prstGeom prst="rect">
          <a:avLst/>
        </a:prstGeom>
        <a:noFill/>
      </xdr:spPr>
    </xdr:pic>
    <xdr:clientData fLocksWithSheet="0"/>
  </xdr:oneCellAnchor>
  <xdr:oneCellAnchor>
    <xdr:from>
      <xdr:col>58</xdr:col>
      <xdr:colOff>0</xdr:colOff>
      <xdr:row>28</xdr:row>
      <xdr:rowOff>0</xdr:rowOff>
    </xdr:from>
    <xdr:ext cx="200025" cy="200025"/>
    <xdr:pic>
      <xdr:nvPicPr>
        <xdr:cNvPr id="0" name="image31.png"/>
        <xdr:cNvPicPr preferRelativeResize="0"/>
      </xdr:nvPicPr>
      <xdr:blipFill>
        <a:blip cstate="print" r:embed="rId20"/>
        <a:stretch>
          <a:fillRect/>
        </a:stretch>
      </xdr:blipFill>
      <xdr:spPr>
        <a:prstGeom prst="rect">
          <a:avLst/>
        </a:prstGeom>
        <a:noFill/>
      </xdr:spPr>
    </xdr:pic>
    <xdr:clientData fLocksWithSheet="0"/>
  </xdr:oneCellAnchor>
  <xdr:oneCellAnchor>
    <xdr:from>
      <xdr:col>63</xdr:col>
      <xdr:colOff>0</xdr:colOff>
      <xdr:row>28</xdr:row>
      <xdr:rowOff>0</xdr:rowOff>
    </xdr:from>
    <xdr:ext cx="285750" cy="142875"/>
    <xdr:pic>
      <xdr:nvPicPr>
        <xdr:cNvPr id="0" name="image32.png"/>
        <xdr:cNvPicPr preferRelativeResize="0"/>
      </xdr:nvPicPr>
      <xdr:blipFill>
        <a:blip cstate="print" r:embed="rId19"/>
        <a:stretch>
          <a:fillRect/>
        </a:stretch>
      </xdr:blipFill>
      <xdr:spPr>
        <a:prstGeom prst="rect">
          <a:avLst/>
        </a:prstGeom>
        <a:noFill/>
      </xdr:spPr>
    </xdr:pic>
    <xdr:clientData fLocksWithSheet="0"/>
  </xdr:oneCellAnchor>
  <xdr:oneCellAnchor>
    <xdr:from>
      <xdr:col>68</xdr:col>
      <xdr:colOff>0</xdr:colOff>
      <xdr:row>28</xdr:row>
      <xdr:rowOff>0</xdr:rowOff>
    </xdr:from>
    <xdr:ext cx="200025" cy="200025"/>
    <xdr:pic>
      <xdr:nvPicPr>
        <xdr:cNvPr id="0" name="image75.png"/>
        <xdr:cNvPicPr preferRelativeResize="0"/>
      </xdr:nvPicPr>
      <xdr:blipFill>
        <a:blip cstate="print" r:embed="rId65"/>
        <a:stretch>
          <a:fillRect/>
        </a:stretch>
      </xdr:blipFill>
      <xdr:spPr>
        <a:prstGeom prst="rect">
          <a:avLst/>
        </a:prstGeom>
        <a:noFill/>
      </xdr:spPr>
    </xdr:pic>
    <xdr:clientData fLocksWithSheet="0"/>
  </xdr:oneCellAnchor>
  <xdr:oneCellAnchor>
    <xdr:from>
      <xdr:col>73</xdr:col>
      <xdr:colOff>0</xdr:colOff>
      <xdr:row>28</xdr:row>
      <xdr:rowOff>0</xdr:rowOff>
    </xdr:from>
    <xdr:ext cx="200025" cy="200025"/>
    <xdr:pic>
      <xdr:nvPicPr>
        <xdr:cNvPr id="0" name="image75.png"/>
        <xdr:cNvPicPr preferRelativeResize="0"/>
      </xdr:nvPicPr>
      <xdr:blipFill>
        <a:blip cstate="print" r:embed="rId65"/>
        <a:stretch>
          <a:fillRect/>
        </a:stretch>
      </xdr:blipFill>
      <xdr:spPr>
        <a:prstGeom prst="rect">
          <a:avLst/>
        </a:prstGeom>
        <a:noFill/>
      </xdr:spPr>
    </xdr:pic>
    <xdr:clientData fLocksWithSheet="0"/>
  </xdr:oneCellAnchor>
  <xdr:oneCellAnchor>
    <xdr:from>
      <xdr:col>78</xdr:col>
      <xdr:colOff>0</xdr:colOff>
      <xdr:row>28</xdr:row>
      <xdr:rowOff>0</xdr:rowOff>
    </xdr:from>
    <xdr:ext cx="200025" cy="200025"/>
    <xdr:pic>
      <xdr:nvPicPr>
        <xdr:cNvPr id="0" name="image78.png"/>
        <xdr:cNvPicPr preferRelativeResize="0"/>
      </xdr:nvPicPr>
      <xdr:blipFill>
        <a:blip cstate="print" r:embed="rId66"/>
        <a:stretch>
          <a:fillRect/>
        </a:stretch>
      </xdr:blipFill>
      <xdr:spPr>
        <a:prstGeom prst="rect">
          <a:avLst/>
        </a:prstGeom>
        <a:noFill/>
      </xdr:spPr>
    </xdr:pic>
    <xdr:clientData fLocksWithSheet="0"/>
  </xdr:oneCellAnchor>
  <xdr:oneCellAnchor>
    <xdr:from>
      <xdr:col>83</xdr:col>
      <xdr:colOff>0</xdr:colOff>
      <xdr:row>28</xdr:row>
      <xdr:rowOff>0</xdr:rowOff>
    </xdr:from>
    <xdr:ext cx="200025" cy="200025"/>
    <xdr:pic>
      <xdr:nvPicPr>
        <xdr:cNvPr id="0" name="image77.png"/>
        <xdr:cNvPicPr preferRelativeResize="0"/>
      </xdr:nvPicPr>
      <xdr:blipFill>
        <a:blip cstate="print" r:embed="rId62"/>
        <a:stretch>
          <a:fillRect/>
        </a:stretch>
      </xdr:blipFill>
      <xdr:spPr>
        <a:prstGeom prst="rect">
          <a:avLst/>
        </a:prstGeom>
        <a:noFill/>
      </xdr:spPr>
    </xdr:pic>
    <xdr:clientData fLocksWithSheet="0"/>
  </xdr:oneCellAnchor>
  <xdr:oneCellAnchor>
    <xdr:from>
      <xdr:col>88</xdr:col>
      <xdr:colOff>0</xdr:colOff>
      <xdr:row>28</xdr:row>
      <xdr:rowOff>0</xdr:rowOff>
    </xdr:from>
    <xdr:ext cx="200025" cy="200025"/>
    <xdr:pic>
      <xdr:nvPicPr>
        <xdr:cNvPr id="0" name="image6.png"/>
        <xdr:cNvPicPr preferRelativeResize="0"/>
      </xdr:nvPicPr>
      <xdr:blipFill>
        <a:blip cstate="print" r:embed="rId67"/>
        <a:stretch>
          <a:fillRect/>
        </a:stretch>
      </xdr:blipFill>
      <xdr:spPr>
        <a:prstGeom prst="rect">
          <a:avLst/>
        </a:prstGeom>
        <a:noFill/>
      </xdr:spPr>
    </xdr:pic>
    <xdr:clientData fLocksWithSheet="0"/>
  </xdr:oneCellAnchor>
  <xdr:oneCellAnchor>
    <xdr:from>
      <xdr:col>93</xdr:col>
      <xdr:colOff>0</xdr:colOff>
      <xdr:row>28</xdr:row>
      <xdr:rowOff>0</xdr:rowOff>
    </xdr:from>
    <xdr:ext cx="200025" cy="200025"/>
    <xdr:pic>
      <xdr:nvPicPr>
        <xdr:cNvPr id="0" name="image83.png"/>
        <xdr:cNvPicPr preferRelativeResize="0"/>
      </xdr:nvPicPr>
      <xdr:blipFill>
        <a:blip cstate="print" r:embed="rId64"/>
        <a:stretch>
          <a:fillRect/>
        </a:stretch>
      </xdr:blipFill>
      <xdr:spPr>
        <a:prstGeom prst="rect">
          <a:avLst/>
        </a:prstGeom>
        <a:noFill/>
      </xdr:spPr>
    </xdr:pic>
    <xdr:clientData fLocksWithSheet="0"/>
  </xdr:oneCellAnchor>
  <xdr:oneCellAnchor>
    <xdr:from>
      <xdr:col>38</xdr:col>
      <xdr:colOff>0</xdr:colOff>
      <xdr:row>29</xdr:row>
      <xdr:rowOff>0</xdr:rowOff>
    </xdr:from>
    <xdr:ext cx="200025" cy="200025"/>
    <xdr:pic>
      <xdr:nvPicPr>
        <xdr:cNvPr id="0" name="image31.png"/>
        <xdr:cNvPicPr preferRelativeResize="0"/>
      </xdr:nvPicPr>
      <xdr:blipFill>
        <a:blip cstate="print" r:embed="rId20"/>
        <a:stretch>
          <a:fillRect/>
        </a:stretch>
      </xdr:blipFill>
      <xdr:spPr>
        <a:prstGeom prst="rect">
          <a:avLst/>
        </a:prstGeom>
        <a:noFill/>
      </xdr:spPr>
    </xdr:pic>
    <xdr:clientData fLocksWithSheet="0"/>
  </xdr:oneCellAnchor>
  <xdr:oneCellAnchor>
    <xdr:from>
      <xdr:col>43</xdr:col>
      <xdr:colOff>0</xdr:colOff>
      <xdr:row>29</xdr:row>
      <xdr:rowOff>0</xdr:rowOff>
    </xdr:from>
    <xdr:ext cx="200025" cy="200025"/>
    <xdr:pic>
      <xdr:nvPicPr>
        <xdr:cNvPr id="0" name="image50.png"/>
        <xdr:cNvPicPr preferRelativeResize="0"/>
      </xdr:nvPicPr>
      <xdr:blipFill>
        <a:blip cstate="print" r:embed="rId40"/>
        <a:stretch>
          <a:fillRect/>
        </a:stretch>
      </xdr:blipFill>
      <xdr:spPr>
        <a:prstGeom prst="rect">
          <a:avLst/>
        </a:prstGeom>
        <a:noFill/>
      </xdr:spPr>
    </xdr:pic>
    <xdr:clientData fLocksWithSheet="0"/>
  </xdr:oneCellAnchor>
  <xdr:oneCellAnchor>
    <xdr:from>
      <xdr:col>48</xdr:col>
      <xdr:colOff>0</xdr:colOff>
      <xdr:row>29</xdr:row>
      <xdr:rowOff>0</xdr:rowOff>
    </xdr:from>
    <xdr:ext cx="200025" cy="200025"/>
    <xdr:pic>
      <xdr:nvPicPr>
        <xdr:cNvPr id="0" name="image50.png"/>
        <xdr:cNvPicPr preferRelativeResize="0"/>
      </xdr:nvPicPr>
      <xdr:blipFill>
        <a:blip cstate="print" r:embed="rId40"/>
        <a:stretch>
          <a:fillRect/>
        </a:stretch>
      </xdr:blipFill>
      <xdr:spPr>
        <a:prstGeom prst="rect">
          <a:avLst/>
        </a:prstGeom>
        <a:noFill/>
      </xdr:spPr>
    </xdr:pic>
    <xdr:clientData fLocksWithSheet="0"/>
  </xdr:oneCellAnchor>
  <xdr:oneCellAnchor>
    <xdr:from>
      <xdr:col>53</xdr:col>
      <xdr:colOff>0</xdr:colOff>
      <xdr:row>29</xdr:row>
      <xdr:rowOff>0</xdr:rowOff>
    </xdr:from>
    <xdr:ext cx="200025" cy="200025"/>
    <xdr:pic>
      <xdr:nvPicPr>
        <xdr:cNvPr id="0" name="image41.png"/>
        <xdr:cNvPicPr preferRelativeResize="0"/>
      </xdr:nvPicPr>
      <xdr:blipFill>
        <a:blip cstate="print" r:embed="rId23"/>
        <a:stretch>
          <a:fillRect/>
        </a:stretch>
      </xdr:blipFill>
      <xdr:spPr>
        <a:prstGeom prst="rect">
          <a:avLst/>
        </a:prstGeom>
        <a:noFill/>
      </xdr:spPr>
    </xdr:pic>
    <xdr:clientData fLocksWithSheet="0"/>
  </xdr:oneCellAnchor>
  <xdr:oneCellAnchor>
    <xdr:from>
      <xdr:col>58</xdr:col>
      <xdr:colOff>0</xdr:colOff>
      <xdr:row>29</xdr:row>
      <xdr:rowOff>0</xdr:rowOff>
    </xdr:from>
    <xdr:ext cx="200025" cy="200025"/>
    <xdr:pic>
      <xdr:nvPicPr>
        <xdr:cNvPr id="0" name="image22.png"/>
        <xdr:cNvPicPr preferRelativeResize="0"/>
      </xdr:nvPicPr>
      <xdr:blipFill>
        <a:blip cstate="print" r:embed="rId8"/>
        <a:stretch>
          <a:fillRect/>
        </a:stretch>
      </xdr:blipFill>
      <xdr:spPr>
        <a:prstGeom prst="rect">
          <a:avLst/>
        </a:prstGeom>
        <a:noFill/>
      </xdr:spPr>
    </xdr:pic>
    <xdr:clientData fLocksWithSheet="0"/>
  </xdr:oneCellAnchor>
  <xdr:oneCellAnchor>
    <xdr:from>
      <xdr:col>63</xdr:col>
      <xdr:colOff>0</xdr:colOff>
      <xdr:row>29</xdr:row>
      <xdr:rowOff>0</xdr:rowOff>
    </xdr:from>
    <xdr:ext cx="285750" cy="152400"/>
    <xdr:pic>
      <xdr:nvPicPr>
        <xdr:cNvPr id="0" name="image45.png"/>
        <xdr:cNvPicPr preferRelativeResize="0"/>
      </xdr:nvPicPr>
      <xdr:blipFill>
        <a:blip cstate="print" r:embed="rId22"/>
        <a:stretch>
          <a:fillRect/>
        </a:stretch>
      </xdr:blipFill>
      <xdr:spPr>
        <a:prstGeom prst="rect">
          <a:avLst/>
        </a:prstGeom>
        <a:noFill/>
      </xdr:spPr>
    </xdr:pic>
    <xdr:clientData fLocksWithSheet="0"/>
  </xdr:oneCellAnchor>
  <xdr:oneCellAnchor>
    <xdr:from>
      <xdr:col>68</xdr:col>
      <xdr:colOff>0</xdr:colOff>
      <xdr:row>29</xdr:row>
      <xdr:rowOff>0</xdr:rowOff>
    </xdr:from>
    <xdr:ext cx="200025" cy="200025"/>
    <xdr:pic>
      <xdr:nvPicPr>
        <xdr:cNvPr id="0" name="image78.png"/>
        <xdr:cNvPicPr preferRelativeResize="0"/>
      </xdr:nvPicPr>
      <xdr:blipFill>
        <a:blip cstate="print" r:embed="rId66"/>
        <a:stretch>
          <a:fillRect/>
        </a:stretch>
      </xdr:blipFill>
      <xdr:spPr>
        <a:prstGeom prst="rect">
          <a:avLst/>
        </a:prstGeom>
        <a:noFill/>
      </xdr:spPr>
    </xdr:pic>
    <xdr:clientData fLocksWithSheet="0"/>
  </xdr:oneCellAnchor>
  <xdr:oneCellAnchor>
    <xdr:from>
      <xdr:col>73</xdr:col>
      <xdr:colOff>0</xdr:colOff>
      <xdr:row>29</xdr:row>
      <xdr:rowOff>0</xdr:rowOff>
    </xdr:from>
    <xdr:ext cx="200025" cy="200025"/>
    <xdr:pic>
      <xdr:nvPicPr>
        <xdr:cNvPr id="0" name="image78.png"/>
        <xdr:cNvPicPr preferRelativeResize="0"/>
      </xdr:nvPicPr>
      <xdr:blipFill>
        <a:blip cstate="print" r:embed="rId66"/>
        <a:stretch>
          <a:fillRect/>
        </a:stretch>
      </xdr:blipFill>
      <xdr:spPr>
        <a:prstGeom prst="rect">
          <a:avLst/>
        </a:prstGeom>
        <a:noFill/>
      </xdr:spPr>
    </xdr:pic>
    <xdr:clientData fLocksWithSheet="0"/>
  </xdr:oneCellAnchor>
  <xdr:oneCellAnchor>
    <xdr:from>
      <xdr:col>78</xdr:col>
      <xdr:colOff>0</xdr:colOff>
      <xdr:row>29</xdr:row>
      <xdr:rowOff>0</xdr:rowOff>
    </xdr:from>
    <xdr:ext cx="200025" cy="200025"/>
    <xdr:pic>
      <xdr:nvPicPr>
        <xdr:cNvPr id="0" name="image88.png"/>
        <xdr:cNvPicPr preferRelativeResize="0"/>
      </xdr:nvPicPr>
      <xdr:blipFill>
        <a:blip cstate="print" r:embed="rId68"/>
        <a:stretch>
          <a:fillRect/>
        </a:stretch>
      </xdr:blipFill>
      <xdr:spPr>
        <a:prstGeom prst="rect">
          <a:avLst/>
        </a:prstGeom>
        <a:noFill/>
      </xdr:spPr>
    </xdr:pic>
    <xdr:clientData fLocksWithSheet="0"/>
  </xdr:oneCellAnchor>
  <xdr:oneCellAnchor>
    <xdr:from>
      <xdr:col>83</xdr:col>
      <xdr:colOff>0</xdr:colOff>
      <xdr:row>29</xdr:row>
      <xdr:rowOff>0</xdr:rowOff>
    </xdr:from>
    <xdr:ext cx="171450" cy="200025"/>
    <xdr:pic>
      <xdr:nvPicPr>
        <xdr:cNvPr id="0" name="image71.png"/>
        <xdr:cNvPicPr preferRelativeResize="0"/>
      </xdr:nvPicPr>
      <xdr:blipFill>
        <a:blip cstate="print" r:embed="rId60"/>
        <a:stretch>
          <a:fillRect/>
        </a:stretch>
      </xdr:blipFill>
      <xdr:spPr>
        <a:prstGeom prst="rect">
          <a:avLst/>
        </a:prstGeom>
        <a:noFill/>
      </xdr:spPr>
    </xdr:pic>
    <xdr:clientData fLocksWithSheet="0"/>
  </xdr:oneCellAnchor>
  <xdr:oneCellAnchor>
    <xdr:from>
      <xdr:col>88</xdr:col>
      <xdr:colOff>0</xdr:colOff>
      <xdr:row>29</xdr:row>
      <xdr:rowOff>0</xdr:rowOff>
    </xdr:from>
    <xdr:ext cx="200025" cy="200025"/>
    <xdr:pic>
      <xdr:nvPicPr>
        <xdr:cNvPr id="0" name="image57.png"/>
        <xdr:cNvPicPr preferRelativeResize="0"/>
      </xdr:nvPicPr>
      <xdr:blipFill>
        <a:blip cstate="print" r:embed="rId46"/>
        <a:stretch>
          <a:fillRect/>
        </a:stretch>
      </xdr:blipFill>
      <xdr:spPr>
        <a:prstGeom prst="rect">
          <a:avLst/>
        </a:prstGeom>
        <a:noFill/>
      </xdr:spPr>
    </xdr:pic>
    <xdr:clientData fLocksWithSheet="0"/>
  </xdr:oneCellAnchor>
  <xdr:oneCellAnchor>
    <xdr:from>
      <xdr:col>93</xdr:col>
      <xdr:colOff>0</xdr:colOff>
      <xdr:row>29</xdr:row>
      <xdr:rowOff>0</xdr:rowOff>
    </xdr:from>
    <xdr:ext cx="200025" cy="200025"/>
    <xdr:pic>
      <xdr:nvPicPr>
        <xdr:cNvPr id="0" name="image51.png"/>
        <xdr:cNvPicPr preferRelativeResize="0"/>
      </xdr:nvPicPr>
      <xdr:blipFill>
        <a:blip cstate="print" r:embed="rId31"/>
        <a:stretch>
          <a:fillRect/>
        </a:stretch>
      </xdr:blipFill>
      <xdr:spPr>
        <a:prstGeom prst="rect">
          <a:avLst/>
        </a:prstGeom>
        <a:noFill/>
      </xdr:spPr>
    </xdr:pic>
    <xdr:clientData fLocksWithSheet="0"/>
  </xdr:oneCellAnchor>
  <xdr:oneCellAnchor>
    <xdr:from>
      <xdr:col>38</xdr:col>
      <xdr:colOff>0</xdr:colOff>
      <xdr:row>30</xdr:row>
      <xdr:rowOff>0</xdr:rowOff>
    </xdr:from>
    <xdr:ext cx="200025" cy="200025"/>
    <xdr:pic>
      <xdr:nvPicPr>
        <xdr:cNvPr id="0" name="image22.png"/>
        <xdr:cNvPicPr preferRelativeResize="0"/>
      </xdr:nvPicPr>
      <xdr:blipFill>
        <a:blip cstate="print" r:embed="rId8"/>
        <a:stretch>
          <a:fillRect/>
        </a:stretch>
      </xdr:blipFill>
      <xdr:spPr>
        <a:prstGeom prst="rect">
          <a:avLst/>
        </a:prstGeom>
        <a:noFill/>
      </xdr:spPr>
    </xdr:pic>
    <xdr:clientData fLocksWithSheet="0"/>
  </xdr:oneCellAnchor>
  <xdr:oneCellAnchor>
    <xdr:from>
      <xdr:col>43</xdr:col>
      <xdr:colOff>0</xdr:colOff>
      <xdr:row>30</xdr:row>
      <xdr:rowOff>0</xdr:rowOff>
    </xdr:from>
    <xdr:ext cx="200025" cy="200025"/>
    <xdr:pic>
      <xdr:nvPicPr>
        <xdr:cNvPr id="0" name="image43.png"/>
        <xdr:cNvPicPr preferRelativeResize="0"/>
      </xdr:nvPicPr>
      <xdr:blipFill>
        <a:blip cstate="print" r:embed="rId28"/>
        <a:stretch>
          <a:fillRect/>
        </a:stretch>
      </xdr:blipFill>
      <xdr:spPr>
        <a:prstGeom prst="rect">
          <a:avLst/>
        </a:prstGeom>
        <a:noFill/>
      </xdr:spPr>
    </xdr:pic>
    <xdr:clientData fLocksWithSheet="0"/>
  </xdr:oneCellAnchor>
  <xdr:oneCellAnchor>
    <xdr:from>
      <xdr:col>48</xdr:col>
      <xdr:colOff>0</xdr:colOff>
      <xdr:row>30</xdr:row>
      <xdr:rowOff>0</xdr:rowOff>
    </xdr:from>
    <xdr:ext cx="200025" cy="200025"/>
    <xdr:pic>
      <xdr:nvPicPr>
        <xdr:cNvPr id="0" name="image43.png"/>
        <xdr:cNvPicPr preferRelativeResize="0"/>
      </xdr:nvPicPr>
      <xdr:blipFill>
        <a:blip cstate="print" r:embed="rId28"/>
        <a:stretch>
          <a:fillRect/>
        </a:stretch>
      </xdr:blipFill>
      <xdr:spPr>
        <a:prstGeom prst="rect">
          <a:avLst/>
        </a:prstGeom>
        <a:noFill/>
      </xdr:spPr>
    </xdr:pic>
    <xdr:clientData fLocksWithSheet="0"/>
  </xdr:oneCellAnchor>
  <xdr:oneCellAnchor>
    <xdr:from>
      <xdr:col>53</xdr:col>
      <xdr:colOff>0</xdr:colOff>
      <xdr:row>30</xdr:row>
      <xdr:rowOff>0</xdr:rowOff>
    </xdr:from>
    <xdr:ext cx="200025" cy="200025"/>
    <xdr:pic>
      <xdr:nvPicPr>
        <xdr:cNvPr id="0" name="image50.png"/>
        <xdr:cNvPicPr preferRelativeResize="0"/>
      </xdr:nvPicPr>
      <xdr:blipFill>
        <a:blip cstate="print" r:embed="rId40"/>
        <a:stretch>
          <a:fillRect/>
        </a:stretch>
      </xdr:blipFill>
      <xdr:spPr>
        <a:prstGeom prst="rect">
          <a:avLst/>
        </a:prstGeom>
        <a:noFill/>
      </xdr:spPr>
    </xdr:pic>
    <xdr:clientData fLocksWithSheet="0"/>
  </xdr:oneCellAnchor>
  <xdr:oneCellAnchor>
    <xdr:from>
      <xdr:col>58</xdr:col>
      <xdr:colOff>0</xdr:colOff>
      <xdr:row>30</xdr:row>
      <xdr:rowOff>0</xdr:rowOff>
    </xdr:from>
    <xdr:ext cx="200025" cy="200025"/>
    <xdr:pic>
      <xdr:nvPicPr>
        <xdr:cNvPr id="0" name="image41.png"/>
        <xdr:cNvPicPr preferRelativeResize="0"/>
      </xdr:nvPicPr>
      <xdr:blipFill>
        <a:blip cstate="print" r:embed="rId23"/>
        <a:stretch>
          <a:fillRect/>
        </a:stretch>
      </xdr:blipFill>
      <xdr:spPr>
        <a:prstGeom prst="rect">
          <a:avLst/>
        </a:prstGeom>
        <a:noFill/>
      </xdr:spPr>
    </xdr:pic>
    <xdr:clientData fLocksWithSheet="0"/>
  </xdr:oneCellAnchor>
  <xdr:oneCellAnchor>
    <xdr:from>
      <xdr:col>63</xdr:col>
      <xdr:colOff>0</xdr:colOff>
      <xdr:row>30</xdr:row>
      <xdr:rowOff>0</xdr:rowOff>
    </xdr:from>
    <xdr:ext cx="161925" cy="200025"/>
    <xdr:pic>
      <xdr:nvPicPr>
        <xdr:cNvPr id="0" name="image74.png"/>
        <xdr:cNvPicPr preferRelativeResize="0"/>
      </xdr:nvPicPr>
      <xdr:blipFill>
        <a:blip cstate="print" r:embed="rId51"/>
        <a:stretch>
          <a:fillRect/>
        </a:stretch>
      </xdr:blipFill>
      <xdr:spPr>
        <a:prstGeom prst="rect">
          <a:avLst/>
        </a:prstGeom>
        <a:noFill/>
      </xdr:spPr>
    </xdr:pic>
    <xdr:clientData fLocksWithSheet="0"/>
  </xdr:oneCellAnchor>
  <xdr:oneCellAnchor>
    <xdr:from>
      <xdr:col>68</xdr:col>
      <xdr:colOff>0</xdr:colOff>
      <xdr:row>30</xdr:row>
      <xdr:rowOff>0</xdr:rowOff>
    </xdr:from>
    <xdr:ext cx="200025" cy="200025"/>
    <xdr:pic>
      <xdr:nvPicPr>
        <xdr:cNvPr id="0" name="image88.png"/>
        <xdr:cNvPicPr preferRelativeResize="0"/>
      </xdr:nvPicPr>
      <xdr:blipFill>
        <a:blip cstate="print" r:embed="rId68"/>
        <a:stretch>
          <a:fillRect/>
        </a:stretch>
      </xdr:blipFill>
      <xdr:spPr>
        <a:prstGeom prst="rect">
          <a:avLst/>
        </a:prstGeom>
        <a:noFill/>
      </xdr:spPr>
    </xdr:pic>
    <xdr:clientData fLocksWithSheet="0"/>
  </xdr:oneCellAnchor>
  <xdr:oneCellAnchor>
    <xdr:from>
      <xdr:col>73</xdr:col>
      <xdr:colOff>0</xdr:colOff>
      <xdr:row>30</xdr:row>
      <xdr:rowOff>0</xdr:rowOff>
    </xdr:from>
    <xdr:ext cx="200025" cy="200025"/>
    <xdr:pic>
      <xdr:nvPicPr>
        <xdr:cNvPr id="0" name="image88.png"/>
        <xdr:cNvPicPr preferRelativeResize="0"/>
      </xdr:nvPicPr>
      <xdr:blipFill>
        <a:blip cstate="print" r:embed="rId68"/>
        <a:stretch>
          <a:fillRect/>
        </a:stretch>
      </xdr:blipFill>
      <xdr:spPr>
        <a:prstGeom prst="rect">
          <a:avLst/>
        </a:prstGeom>
        <a:noFill/>
      </xdr:spPr>
    </xdr:pic>
    <xdr:clientData fLocksWithSheet="0"/>
  </xdr:oneCellAnchor>
  <xdr:oneCellAnchor>
    <xdr:from>
      <xdr:col>78</xdr:col>
      <xdr:colOff>0</xdr:colOff>
      <xdr:row>30</xdr:row>
      <xdr:rowOff>0</xdr:rowOff>
    </xdr:from>
    <xdr:ext cx="161925" cy="200025"/>
    <xdr:pic>
      <xdr:nvPicPr>
        <xdr:cNvPr id="0" name="image81.png"/>
        <xdr:cNvPicPr preferRelativeResize="0"/>
      </xdr:nvPicPr>
      <xdr:blipFill>
        <a:blip cstate="print" r:embed="rId69"/>
        <a:stretch>
          <a:fillRect/>
        </a:stretch>
      </xdr:blipFill>
      <xdr:spPr>
        <a:prstGeom prst="rect">
          <a:avLst/>
        </a:prstGeom>
        <a:noFill/>
      </xdr:spPr>
    </xdr:pic>
    <xdr:clientData fLocksWithSheet="0"/>
  </xdr:oneCellAnchor>
  <xdr:oneCellAnchor>
    <xdr:from>
      <xdr:col>83</xdr:col>
      <xdr:colOff>0</xdr:colOff>
      <xdr:row>30</xdr:row>
      <xdr:rowOff>0</xdr:rowOff>
    </xdr:from>
    <xdr:ext cx="200025" cy="200025"/>
    <xdr:pic>
      <xdr:nvPicPr>
        <xdr:cNvPr id="0" name="image79.png"/>
        <xdr:cNvPicPr preferRelativeResize="0"/>
      </xdr:nvPicPr>
      <xdr:blipFill>
        <a:blip cstate="print" r:embed="rId61"/>
        <a:stretch>
          <a:fillRect/>
        </a:stretch>
      </xdr:blipFill>
      <xdr:spPr>
        <a:prstGeom prst="rect">
          <a:avLst/>
        </a:prstGeom>
        <a:noFill/>
      </xdr:spPr>
    </xdr:pic>
    <xdr:clientData fLocksWithSheet="0"/>
  </xdr:oneCellAnchor>
  <xdr:oneCellAnchor>
    <xdr:from>
      <xdr:col>88</xdr:col>
      <xdr:colOff>0</xdr:colOff>
      <xdr:row>30</xdr:row>
      <xdr:rowOff>0</xdr:rowOff>
    </xdr:from>
    <xdr:ext cx="200025" cy="200025"/>
    <xdr:pic>
      <xdr:nvPicPr>
        <xdr:cNvPr id="0" name="image82.png"/>
        <xdr:cNvPicPr preferRelativeResize="0"/>
      </xdr:nvPicPr>
      <xdr:blipFill>
        <a:blip cstate="print" r:embed="rId70"/>
        <a:stretch>
          <a:fillRect/>
        </a:stretch>
      </xdr:blipFill>
      <xdr:spPr>
        <a:prstGeom prst="rect">
          <a:avLst/>
        </a:prstGeom>
        <a:noFill/>
      </xdr:spPr>
    </xdr:pic>
    <xdr:clientData fLocksWithSheet="0"/>
  </xdr:oneCellAnchor>
  <xdr:oneCellAnchor>
    <xdr:from>
      <xdr:col>93</xdr:col>
      <xdr:colOff>0</xdr:colOff>
      <xdr:row>30</xdr:row>
      <xdr:rowOff>0</xdr:rowOff>
    </xdr:from>
    <xdr:ext cx="200025" cy="200025"/>
    <xdr:pic>
      <xdr:nvPicPr>
        <xdr:cNvPr id="0" name="image6.png"/>
        <xdr:cNvPicPr preferRelativeResize="0"/>
      </xdr:nvPicPr>
      <xdr:blipFill>
        <a:blip cstate="print" r:embed="rId67"/>
        <a:stretch>
          <a:fillRect/>
        </a:stretch>
      </xdr:blipFill>
      <xdr:spPr>
        <a:prstGeom prst="rect">
          <a:avLst/>
        </a:prstGeom>
        <a:noFill/>
      </xdr:spPr>
    </xdr:pic>
    <xdr:clientData fLocksWithSheet="0"/>
  </xdr:oneCellAnchor>
  <xdr:oneCellAnchor>
    <xdr:from>
      <xdr:col>38</xdr:col>
      <xdr:colOff>0</xdr:colOff>
      <xdr:row>31</xdr:row>
      <xdr:rowOff>0</xdr:rowOff>
    </xdr:from>
    <xdr:ext cx="200025" cy="200025"/>
    <xdr:pic>
      <xdr:nvPicPr>
        <xdr:cNvPr id="0" name="image41.png"/>
        <xdr:cNvPicPr preferRelativeResize="0"/>
      </xdr:nvPicPr>
      <xdr:blipFill>
        <a:blip cstate="print" r:embed="rId23"/>
        <a:stretch>
          <a:fillRect/>
        </a:stretch>
      </xdr:blipFill>
      <xdr:spPr>
        <a:prstGeom prst="rect">
          <a:avLst/>
        </a:prstGeom>
        <a:noFill/>
      </xdr:spPr>
    </xdr:pic>
    <xdr:clientData fLocksWithSheet="0"/>
  </xdr:oneCellAnchor>
  <xdr:oneCellAnchor>
    <xdr:from>
      <xdr:col>43</xdr:col>
      <xdr:colOff>0</xdr:colOff>
      <xdr:row>31</xdr:row>
      <xdr:rowOff>0</xdr:rowOff>
    </xdr:from>
    <xdr:ext cx="161925" cy="200025"/>
    <xdr:pic>
      <xdr:nvPicPr>
        <xdr:cNvPr id="0" name="image23.png"/>
        <xdr:cNvPicPr preferRelativeResize="0"/>
      </xdr:nvPicPr>
      <xdr:blipFill>
        <a:blip cstate="print" r:embed="rId11"/>
        <a:stretch>
          <a:fillRect/>
        </a:stretch>
      </xdr:blipFill>
      <xdr:spPr>
        <a:prstGeom prst="rect">
          <a:avLst/>
        </a:prstGeom>
        <a:noFill/>
      </xdr:spPr>
    </xdr:pic>
    <xdr:clientData fLocksWithSheet="0"/>
  </xdr:oneCellAnchor>
  <xdr:oneCellAnchor>
    <xdr:from>
      <xdr:col>48</xdr:col>
      <xdr:colOff>0</xdr:colOff>
      <xdr:row>31</xdr:row>
      <xdr:rowOff>0</xdr:rowOff>
    </xdr:from>
    <xdr:ext cx="161925" cy="200025"/>
    <xdr:pic>
      <xdr:nvPicPr>
        <xdr:cNvPr id="0" name="image23.png"/>
        <xdr:cNvPicPr preferRelativeResize="0"/>
      </xdr:nvPicPr>
      <xdr:blipFill>
        <a:blip cstate="print" r:embed="rId11"/>
        <a:stretch>
          <a:fillRect/>
        </a:stretch>
      </xdr:blipFill>
      <xdr:spPr>
        <a:prstGeom prst="rect">
          <a:avLst/>
        </a:prstGeom>
        <a:noFill/>
      </xdr:spPr>
    </xdr:pic>
    <xdr:clientData fLocksWithSheet="0"/>
  </xdr:oneCellAnchor>
  <xdr:oneCellAnchor>
    <xdr:from>
      <xdr:col>53</xdr:col>
      <xdr:colOff>0</xdr:colOff>
      <xdr:row>31</xdr:row>
      <xdr:rowOff>0</xdr:rowOff>
    </xdr:from>
    <xdr:ext cx="200025" cy="200025"/>
    <xdr:pic>
      <xdr:nvPicPr>
        <xdr:cNvPr id="0" name="image43.png"/>
        <xdr:cNvPicPr preferRelativeResize="0"/>
      </xdr:nvPicPr>
      <xdr:blipFill>
        <a:blip cstate="print" r:embed="rId28"/>
        <a:stretch>
          <a:fillRect/>
        </a:stretch>
      </xdr:blipFill>
      <xdr:spPr>
        <a:prstGeom prst="rect">
          <a:avLst/>
        </a:prstGeom>
        <a:noFill/>
      </xdr:spPr>
    </xdr:pic>
    <xdr:clientData fLocksWithSheet="0"/>
  </xdr:oneCellAnchor>
  <xdr:oneCellAnchor>
    <xdr:from>
      <xdr:col>58</xdr:col>
      <xdr:colOff>0</xdr:colOff>
      <xdr:row>31</xdr:row>
      <xdr:rowOff>0</xdr:rowOff>
    </xdr:from>
    <xdr:ext cx="200025" cy="200025"/>
    <xdr:pic>
      <xdr:nvPicPr>
        <xdr:cNvPr id="0" name="image50.png"/>
        <xdr:cNvPicPr preferRelativeResize="0"/>
      </xdr:nvPicPr>
      <xdr:blipFill>
        <a:blip cstate="print" r:embed="rId40"/>
        <a:stretch>
          <a:fillRect/>
        </a:stretch>
      </xdr:blipFill>
      <xdr:spPr>
        <a:prstGeom prst="rect">
          <a:avLst/>
        </a:prstGeom>
        <a:noFill/>
      </xdr:spPr>
    </xdr:pic>
    <xdr:clientData fLocksWithSheet="0"/>
  </xdr:oneCellAnchor>
  <xdr:oneCellAnchor>
    <xdr:from>
      <xdr:col>63</xdr:col>
      <xdr:colOff>0</xdr:colOff>
      <xdr:row>31</xdr:row>
      <xdr:rowOff>0</xdr:rowOff>
    </xdr:from>
    <xdr:ext cx="200025" cy="200025"/>
    <xdr:pic>
      <xdr:nvPicPr>
        <xdr:cNvPr id="0" name="image77.png"/>
        <xdr:cNvPicPr preferRelativeResize="0"/>
      </xdr:nvPicPr>
      <xdr:blipFill>
        <a:blip cstate="print" r:embed="rId62"/>
        <a:stretch>
          <a:fillRect/>
        </a:stretch>
      </xdr:blipFill>
      <xdr:spPr>
        <a:prstGeom prst="rect">
          <a:avLst/>
        </a:prstGeom>
        <a:noFill/>
      </xdr:spPr>
    </xdr:pic>
    <xdr:clientData fLocksWithSheet="0"/>
  </xdr:oneCellAnchor>
  <xdr:oneCellAnchor>
    <xdr:from>
      <xdr:col>68</xdr:col>
      <xdr:colOff>0</xdr:colOff>
      <xdr:row>31</xdr:row>
      <xdr:rowOff>0</xdr:rowOff>
    </xdr:from>
    <xdr:ext cx="161925" cy="200025"/>
    <xdr:pic>
      <xdr:nvPicPr>
        <xdr:cNvPr id="0" name="image81.png"/>
        <xdr:cNvPicPr preferRelativeResize="0"/>
      </xdr:nvPicPr>
      <xdr:blipFill>
        <a:blip cstate="print" r:embed="rId69"/>
        <a:stretch>
          <a:fillRect/>
        </a:stretch>
      </xdr:blipFill>
      <xdr:spPr>
        <a:prstGeom prst="rect">
          <a:avLst/>
        </a:prstGeom>
        <a:noFill/>
      </xdr:spPr>
    </xdr:pic>
    <xdr:clientData fLocksWithSheet="0"/>
  </xdr:oneCellAnchor>
  <xdr:oneCellAnchor>
    <xdr:from>
      <xdr:col>73</xdr:col>
      <xdr:colOff>0</xdr:colOff>
      <xdr:row>31</xdr:row>
      <xdr:rowOff>0</xdr:rowOff>
    </xdr:from>
    <xdr:ext cx="161925" cy="200025"/>
    <xdr:pic>
      <xdr:nvPicPr>
        <xdr:cNvPr id="0" name="image81.png"/>
        <xdr:cNvPicPr preferRelativeResize="0"/>
      </xdr:nvPicPr>
      <xdr:blipFill>
        <a:blip cstate="print" r:embed="rId69"/>
        <a:stretch>
          <a:fillRect/>
        </a:stretch>
      </xdr:blipFill>
      <xdr:spPr>
        <a:prstGeom prst="rect">
          <a:avLst/>
        </a:prstGeom>
        <a:noFill/>
      </xdr:spPr>
    </xdr:pic>
    <xdr:clientData fLocksWithSheet="0"/>
  </xdr:oneCellAnchor>
  <xdr:oneCellAnchor>
    <xdr:from>
      <xdr:col>78</xdr:col>
      <xdr:colOff>0</xdr:colOff>
      <xdr:row>31</xdr:row>
      <xdr:rowOff>0</xdr:rowOff>
    </xdr:from>
    <xdr:ext cx="295275" cy="142875"/>
    <xdr:pic>
      <xdr:nvPicPr>
        <xdr:cNvPr id="0" name="image84.png"/>
        <xdr:cNvPicPr preferRelativeResize="0"/>
      </xdr:nvPicPr>
      <xdr:blipFill>
        <a:blip cstate="print" r:embed="rId71"/>
        <a:stretch>
          <a:fillRect/>
        </a:stretch>
      </xdr:blipFill>
      <xdr:spPr>
        <a:prstGeom prst="rect">
          <a:avLst/>
        </a:prstGeom>
        <a:noFill/>
      </xdr:spPr>
    </xdr:pic>
    <xdr:clientData fLocksWithSheet="0"/>
  </xdr:oneCellAnchor>
  <xdr:oneCellAnchor>
    <xdr:from>
      <xdr:col>83</xdr:col>
      <xdr:colOff>0</xdr:colOff>
      <xdr:row>31</xdr:row>
      <xdr:rowOff>0</xdr:rowOff>
    </xdr:from>
    <xdr:ext cx="200025" cy="200025"/>
    <xdr:pic>
      <xdr:nvPicPr>
        <xdr:cNvPr id="0" name="image2.png"/>
        <xdr:cNvPicPr preferRelativeResize="0"/>
      </xdr:nvPicPr>
      <xdr:blipFill>
        <a:blip cstate="print" r:embed="rId72"/>
        <a:stretch>
          <a:fillRect/>
        </a:stretch>
      </xdr:blipFill>
      <xdr:spPr>
        <a:prstGeom prst="rect">
          <a:avLst/>
        </a:prstGeom>
        <a:noFill/>
      </xdr:spPr>
    </xdr:pic>
    <xdr:clientData fLocksWithSheet="0"/>
  </xdr:oneCellAnchor>
  <xdr:oneCellAnchor>
    <xdr:from>
      <xdr:col>93</xdr:col>
      <xdr:colOff>0</xdr:colOff>
      <xdr:row>31</xdr:row>
      <xdr:rowOff>0</xdr:rowOff>
    </xdr:from>
    <xdr:ext cx="200025" cy="200025"/>
    <xdr:pic>
      <xdr:nvPicPr>
        <xdr:cNvPr id="0" name="image57.png"/>
        <xdr:cNvPicPr preferRelativeResize="0"/>
      </xdr:nvPicPr>
      <xdr:blipFill>
        <a:blip cstate="print" r:embed="rId46"/>
        <a:stretch>
          <a:fillRect/>
        </a:stretch>
      </xdr:blipFill>
      <xdr:spPr>
        <a:prstGeom prst="rect">
          <a:avLst/>
        </a:prstGeom>
        <a:noFill/>
      </xdr:spPr>
    </xdr:pic>
    <xdr:clientData fLocksWithSheet="0"/>
  </xdr:oneCellAnchor>
  <xdr:oneCellAnchor>
    <xdr:from>
      <xdr:col>38</xdr:col>
      <xdr:colOff>0</xdr:colOff>
      <xdr:row>32</xdr:row>
      <xdr:rowOff>0</xdr:rowOff>
    </xdr:from>
    <xdr:ext cx="200025" cy="200025"/>
    <xdr:pic>
      <xdr:nvPicPr>
        <xdr:cNvPr id="0" name="image50.png"/>
        <xdr:cNvPicPr preferRelativeResize="0"/>
      </xdr:nvPicPr>
      <xdr:blipFill>
        <a:blip cstate="print" r:embed="rId40"/>
        <a:stretch>
          <a:fillRect/>
        </a:stretch>
      </xdr:blipFill>
      <xdr:spPr>
        <a:prstGeom prst="rect">
          <a:avLst/>
        </a:prstGeom>
        <a:noFill/>
      </xdr:spPr>
    </xdr:pic>
    <xdr:clientData fLocksWithSheet="0"/>
  </xdr:oneCellAnchor>
  <xdr:oneCellAnchor>
    <xdr:from>
      <xdr:col>43</xdr:col>
      <xdr:colOff>0</xdr:colOff>
      <xdr:row>32</xdr:row>
      <xdr:rowOff>0</xdr:rowOff>
    </xdr:from>
    <xdr:ext cx="200025" cy="200025"/>
    <xdr:pic>
      <xdr:nvPicPr>
        <xdr:cNvPr id="0" name="image55.png"/>
        <xdr:cNvPicPr preferRelativeResize="0"/>
      </xdr:nvPicPr>
      <xdr:blipFill>
        <a:blip cstate="print" r:embed="rId45"/>
        <a:stretch>
          <a:fillRect/>
        </a:stretch>
      </xdr:blipFill>
      <xdr:spPr>
        <a:prstGeom prst="rect">
          <a:avLst/>
        </a:prstGeom>
        <a:noFill/>
      </xdr:spPr>
    </xdr:pic>
    <xdr:clientData fLocksWithSheet="0"/>
  </xdr:oneCellAnchor>
  <xdr:oneCellAnchor>
    <xdr:from>
      <xdr:col>48</xdr:col>
      <xdr:colOff>0</xdr:colOff>
      <xdr:row>32</xdr:row>
      <xdr:rowOff>0</xdr:rowOff>
    </xdr:from>
    <xdr:ext cx="200025" cy="200025"/>
    <xdr:pic>
      <xdr:nvPicPr>
        <xdr:cNvPr id="0" name="image55.png"/>
        <xdr:cNvPicPr preferRelativeResize="0"/>
      </xdr:nvPicPr>
      <xdr:blipFill>
        <a:blip cstate="print" r:embed="rId45"/>
        <a:stretch>
          <a:fillRect/>
        </a:stretch>
      </xdr:blipFill>
      <xdr:spPr>
        <a:prstGeom prst="rect">
          <a:avLst/>
        </a:prstGeom>
        <a:noFill/>
      </xdr:spPr>
    </xdr:pic>
    <xdr:clientData fLocksWithSheet="0"/>
  </xdr:oneCellAnchor>
  <xdr:oneCellAnchor>
    <xdr:from>
      <xdr:col>53</xdr:col>
      <xdr:colOff>0</xdr:colOff>
      <xdr:row>32</xdr:row>
      <xdr:rowOff>0</xdr:rowOff>
    </xdr:from>
    <xdr:ext cx="161925" cy="200025"/>
    <xdr:pic>
      <xdr:nvPicPr>
        <xdr:cNvPr id="0" name="image23.png"/>
        <xdr:cNvPicPr preferRelativeResize="0"/>
      </xdr:nvPicPr>
      <xdr:blipFill>
        <a:blip cstate="print" r:embed="rId11"/>
        <a:stretch>
          <a:fillRect/>
        </a:stretch>
      </xdr:blipFill>
      <xdr:spPr>
        <a:prstGeom prst="rect">
          <a:avLst/>
        </a:prstGeom>
        <a:noFill/>
      </xdr:spPr>
    </xdr:pic>
    <xdr:clientData fLocksWithSheet="0"/>
  </xdr:oneCellAnchor>
  <xdr:oneCellAnchor>
    <xdr:from>
      <xdr:col>58</xdr:col>
      <xdr:colOff>0</xdr:colOff>
      <xdr:row>32</xdr:row>
      <xdr:rowOff>0</xdr:rowOff>
    </xdr:from>
    <xdr:ext cx="200025" cy="200025"/>
    <xdr:pic>
      <xdr:nvPicPr>
        <xdr:cNvPr id="0" name="image43.png"/>
        <xdr:cNvPicPr preferRelativeResize="0"/>
      </xdr:nvPicPr>
      <xdr:blipFill>
        <a:blip cstate="print" r:embed="rId28"/>
        <a:stretch>
          <a:fillRect/>
        </a:stretch>
      </xdr:blipFill>
      <xdr:spPr>
        <a:prstGeom prst="rect">
          <a:avLst/>
        </a:prstGeom>
        <a:noFill/>
      </xdr:spPr>
    </xdr:pic>
    <xdr:clientData fLocksWithSheet="0"/>
  </xdr:oneCellAnchor>
  <xdr:oneCellAnchor>
    <xdr:from>
      <xdr:col>63</xdr:col>
      <xdr:colOff>0</xdr:colOff>
      <xdr:row>32</xdr:row>
      <xdr:rowOff>0</xdr:rowOff>
    </xdr:from>
    <xdr:ext cx="200025" cy="200025"/>
    <xdr:pic>
      <xdr:nvPicPr>
        <xdr:cNvPr id="0" name="image62.png"/>
        <xdr:cNvPicPr preferRelativeResize="0"/>
      </xdr:nvPicPr>
      <xdr:blipFill>
        <a:blip cstate="print" r:embed="rId32"/>
        <a:stretch>
          <a:fillRect/>
        </a:stretch>
      </xdr:blipFill>
      <xdr:spPr>
        <a:prstGeom prst="rect">
          <a:avLst/>
        </a:prstGeom>
        <a:noFill/>
      </xdr:spPr>
    </xdr:pic>
    <xdr:clientData fLocksWithSheet="0"/>
  </xdr:oneCellAnchor>
  <xdr:oneCellAnchor>
    <xdr:from>
      <xdr:col>68</xdr:col>
      <xdr:colOff>0</xdr:colOff>
      <xdr:row>32</xdr:row>
      <xdr:rowOff>0</xdr:rowOff>
    </xdr:from>
    <xdr:ext cx="295275" cy="142875"/>
    <xdr:pic>
      <xdr:nvPicPr>
        <xdr:cNvPr id="0" name="image84.png"/>
        <xdr:cNvPicPr preferRelativeResize="0"/>
      </xdr:nvPicPr>
      <xdr:blipFill>
        <a:blip cstate="print" r:embed="rId71"/>
        <a:stretch>
          <a:fillRect/>
        </a:stretch>
      </xdr:blipFill>
      <xdr:spPr>
        <a:prstGeom prst="rect">
          <a:avLst/>
        </a:prstGeom>
        <a:noFill/>
      </xdr:spPr>
    </xdr:pic>
    <xdr:clientData fLocksWithSheet="0"/>
  </xdr:oneCellAnchor>
  <xdr:oneCellAnchor>
    <xdr:from>
      <xdr:col>73</xdr:col>
      <xdr:colOff>0</xdr:colOff>
      <xdr:row>32</xdr:row>
      <xdr:rowOff>0</xdr:rowOff>
    </xdr:from>
    <xdr:ext cx="295275" cy="142875"/>
    <xdr:pic>
      <xdr:nvPicPr>
        <xdr:cNvPr id="0" name="image84.png"/>
        <xdr:cNvPicPr preferRelativeResize="0"/>
      </xdr:nvPicPr>
      <xdr:blipFill>
        <a:blip cstate="print" r:embed="rId71"/>
        <a:stretch>
          <a:fillRect/>
        </a:stretch>
      </xdr:blipFill>
      <xdr:spPr>
        <a:prstGeom prst="rect">
          <a:avLst/>
        </a:prstGeom>
        <a:noFill/>
      </xdr:spPr>
    </xdr:pic>
    <xdr:clientData fLocksWithSheet="0"/>
  </xdr:oneCellAnchor>
  <xdr:oneCellAnchor>
    <xdr:from>
      <xdr:col>78</xdr:col>
      <xdr:colOff>0</xdr:colOff>
      <xdr:row>32</xdr:row>
      <xdr:rowOff>0</xdr:rowOff>
    </xdr:from>
    <xdr:ext cx="200025" cy="200025"/>
    <xdr:pic>
      <xdr:nvPicPr>
        <xdr:cNvPr id="0" name="image56.png"/>
        <xdr:cNvPicPr preferRelativeResize="0"/>
      </xdr:nvPicPr>
      <xdr:blipFill>
        <a:blip cstate="print" r:embed="rId36"/>
        <a:stretch>
          <a:fillRect/>
        </a:stretch>
      </xdr:blipFill>
      <xdr:spPr>
        <a:prstGeom prst="rect">
          <a:avLst/>
        </a:prstGeom>
        <a:noFill/>
      </xdr:spPr>
    </xdr:pic>
    <xdr:clientData fLocksWithSheet="0"/>
  </xdr:oneCellAnchor>
  <xdr:oneCellAnchor>
    <xdr:from>
      <xdr:col>83</xdr:col>
      <xdr:colOff>0</xdr:colOff>
      <xdr:row>32</xdr:row>
      <xdr:rowOff>0</xdr:rowOff>
    </xdr:from>
    <xdr:ext cx="200025" cy="200025"/>
    <xdr:pic>
      <xdr:nvPicPr>
        <xdr:cNvPr id="0" name="image83.png"/>
        <xdr:cNvPicPr preferRelativeResize="0"/>
      </xdr:nvPicPr>
      <xdr:blipFill>
        <a:blip cstate="print" r:embed="rId64"/>
        <a:stretch>
          <a:fillRect/>
        </a:stretch>
      </xdr:blipFill>
      <xdr:spPr>
        <a:prstGeom prst="rect">
          <a:avLst/>
        </a:prstGeom>
        <a:noFill/>
      </xdr:spPr>
    </xdr:pic>
    <xdr:clientData fLocksWithSheet="0"/>
  </xdr:oneCellAnchor>
  <xdr:oneCellAnchor>
    <xdr:from>
      <xdr:col>93</xdr:col>
      <xdr:colOff>0</xdr:colOff>
      <xdr:row>32</xdr:row>
      <xdr:rowOff>0</xdr:rowOff>
    </xdr:from>
    <xdr:ext cx="200025" cy="200025"/>
    <xdr:pic>
      <xdr:nvPicPr>
        <xdr:cNvPr id="0" name="image82.png"/>
        <xdr:cNvPicPr preferRelativeResize="0"/>
      </xdr:nvPicPr>
      <xdr:blipFill>
        <a:blip cstate="print" r:embed="rId70"/>
        <a:stretch>
          <a:fillRect/>
        </a:stretch>
      </xdr:blipFill>
      <xdr:spPr>
        <a:prstGeom prst="rect">
          <a:avLst/>
        </a:prstGeom>
        <a:noFill/>
      </xdr:spPr>
    </xdr:pic>
    <xdr:clientData fLocksWithSheet="0"/>
  </xdr:oneCellAnchor>
  <xdr:oneCellAnchor>
    <xdr:from>
      <xdr:col>38</xdr:col>
      <xdr:colOff>0</xdr:colOff>
      <xdr:row>33</xdr:row>
      <xdr:rowOff>0</xdr:rowOff>
    </xdr:from>
    <xdr:ext cx="200025" cy="200025"/>
    <xdr:pic>
      <xdr:nvPicPr>
        <xdr:cNvPr id="0" name="image43.png"/>
        <xdr:cNvPicPr preferRelativeResize="0"/>
      </xdr:nvPicPr>
      <xdr:blipFill>
        <a:blip cstate="print" r:embed="rId28"/>
        <a:stretch>
          <a:fillRect/>
        </a:stretch>
      </xdr:blipFill>
      <xdr:spPr>
        <a:prstGeom prst="rect">
          <a:avLst/>
        </a:prstGeom>
        <a:noFill/>
      </xdr:spPr>
    </xdr:pic>
    <xdr:clientData fLocksWithSheet="0"/>
  </xdr:oneCellAnchor>
  <xdr:oneCellAnchor>
    <xdr:from>
      <xdr:col>43</xdr:col>
      <xdr:colOff>0</xdr:colOff>
      <xdr:row>33</xdr:row>
      <xdr:rowOff>0</xdr:rowOff>
    </xdr:from>
    <xdr:ext cx="200025" cy="200025"/>
    <xdr:pic>
      <xdr:nvPicPr>
        <xdr:cNvPr id="0" name="image59.png"/>
        <xdr:cNvPicPr preferRelativeResize="0"/>
      </xdr:nvPicPr>
      <xdr:blipFill>
        <a:blip cstate="print" r:embed="rId43"/>
        <a:stretch>
          <a:fillRect/>
        </a:stretch>
      </xdr:blipFill>
      <xdr:spPr>
        <a:prstGeom prst="rect">
          <a:avLst/>
        </a:prstGeom>
        <a:noFill/>
      </xdr:spPr>
    </xdr:pic>
    <xdr:clientData fLocksWithSheet="0"/>
  </xdr:oneCellAnchor>
  <xdr:oneCellAnchor>
    <xdr:from>
      <xdr:col>48</xdr:col>
      <xdr:colOff>0</xdr:colOff>
      <xdr:row>33</xdr:row>
      <xdr:rowOff>0</xdr:rowOff>
    </xdr:from>
    <xdr:ext cx="200025" cy="200025"/>
    <xdr:pic>
      <xdr:nvPicPr>
        <xdr:cNvPr id="0" name="image59.png"/>
        <xdr:cNvPicPr preferRelativeResize="0"/>
      </xdr:nvPicPr>
      <xdr:blipFill>
        <a:blip cstate="print" r:embed="rId43"/>
        <a:stretch>
          <a:fillRect/>
        </a:stretch>
      </xdr:blipFill>
      <xdr:spPr>
        <a:prstGeom prst="rect">
          <a:avLst/>
        </a:prstGeom>
        <a:noFill/>
      </xdr:spPr>
    </xdr:pic>
    <xdr:clientData fLocksWithSheet="0"/>
  </xdr:oneCellAnchor>
  <xdr:oneCellAnchor>
    <xdr:from>
      <xdr:col>53</xdr:col>
      <xdr:colOff>0</xdr:colOff>
      <xdr:row>33</xdr:row>
      <xdr:rowOff>0</xdr:rowOff>
    </xdr:from>
    <xdr:ext cx="200025" cy="200025"/>
    <xdr:pic>
      <xdr:nvPicPr>
        <xdr:cNvPr id="0" name="image55.png"/>
        <xdr:cNvPicPr preferRelativeResize="0"/>
      </xdr:nvPicPr>
      <xdr:blipFill>
        <a:blip cstate="print" r:embed="rId45"/>
        <a:stretch>
          <a:fillRect/>
        </a:stretch>
      </xdr:blipFill>
      <xdr:spPr>
        <a:prstGeom prst="rect">
          <a:avLst/>
        </a:prstGeom>
        <a:noFill/>
      </xdr:spPr>
    </xdr:pic>
    <xdr:clientData fLocksWithSheet="0"/>
  </xdr:oneCellAnchor>
  <xdr:oneCellAnchor>
    <xdr:from>
      <xdr:col>58</xdr:col>
      <xdr:colOff>0</xdr:colOff>
      <xdr:row>33</xdr:row>
      <xdr:rowOff>0</xdr:rowOff>
    </xdr:from>
    <xdr:ext cx="161925" cy="200025"/>
    <xdr:pic>
      <xdr:nvPicPr>
        <xdr:cNvPr id="0" name="image23.png"/>
        <xdr:cNvPicPr preferRelativeResize="0"/>
      </xdr:nvPicPr>
      <xdr:blipFill>
        <a:blip cstate="print" r:embed="rId11"/>
        <a:stretch>
          <a:fillRect/>
        </a:stretch>
      </xdr:blipFill>
      <xdr:spPr>
        <a:prstGeom prst="rect">
          <a:avLst/>
        </a:prstGeom>
        <a:noFill/>
      </xdr:spPr>
    </xdr:pic>
    <xdr:clientData fLocksWithSheet="0"/>
  </xdr:oneCellAnchor>
  <xdr:oneCellAnchor>
    <xdr:from>
      <xdr:col>63</xdr:col>
      <xdr:colOff>0</xdr:colOff>
      <xdr:row>33</xdr:row>
      <xdr:rowOff>0</xdr:rowOff>
    </xdr:from>
    <xdr:ext cx="161925" cy="200025"/>
    <xdr:pic>
      <xdr:nvPicPr>
        <xdr:cNvPr id="0" name="image80.png"/>
        <xdr:cNvPicPr preferRelativeResize="0"/>
      </xdr:nvPicPr>
      <xdr:blipFill>
        <a:blip cstate="print" r:embed="rId54"/>
        <a:stretch>
          <a:fillRect/>
        </a:stretch>
      </xdr:blipFill>
      <xdr:spPr>
        <a:prstGeom prst="rect">
          <a:avLst/>
        </a:prstGeom>
        <a:noFill/>
      </xdr:spPr>
    </xdr:pic>
    <xdr:clientData fLocksWithSheet="0"/>
  </xdr:oneCellAnchor>
  <xdr:oneCellAnchor>
    <xdr:from>
      <xdr:col>68</xdr:col>
      <xdr:colOff>0</xdr:colOff>
      <xdr:row>33</xdr:row>
      <xdr:rowOff>0</xdr:rowOff>
    </xdr:from>
    <xdr:ext cx="190500" cy="200025"/>
    <xdr:pic>
      <xdr:nvPicPr>
        <xdr:cNvPr id="0" name="image85.png"/>
        <xdr:cNvPicPr preferRelativeResize="0"/>
      </xdr:nvPicPr>
      <xdr:blipFill>
        <a:blip cstate="print" r:embed="rId73"/>
        <a:stretch>
          <a:fillRect/>
        </a:stretch>
      </xdr:blipFill>
      <xdr:spPr>
        <a:prstGeom prst="rect">
          <a:avLst/>
        </a:prstGeom>
        <a:noFill/>
      </xdr:spPr>
    </xdr:pic>
    <xdr:clientData fLocksWithSheet="0"/>
  </xdr:oneCellAnchor>
  <xdr:oneCellAnchor>
    <xdr:from>
      <xdr:col>73</xdr:col>
      <xdr:colOff>0</xdr:colOff>
      <xdr:row>33</xdr:row>
      <xdr:rowOff>0</xdr:rowOff>
    </xdr:from>
    <xdr:ext cx="190500" cy="200025"/>
    <xdr:pic>
      <xdr:nvPicPr>
        <xdr:cNvPr id="0" name="image85.png"/>
        <xdr:cNvPicPr preferRelativeResize="0"/>
      </xdr:nvPicPr>
      <xdr:blipFill>
        <a:blip cstate="print" r:embed="rId73"/>
        <a:stretch>
          <a:fillRect/>
        </a:stretch>
      </xdr:blipFill>
      <xdr:spPr>
        <a:prstGeom prst="rect">
          <a:avLst/>
        </a:prstGeom>
        <a:noFill/>
      </xdr:spPr>
    </xdr:pic>
    <xdr:clientData fLocksWithSheet="0"/>
  </xdr:oneCellAnchor>
  <xdr:oneCellAnchor>
    <xdr:from>
      <xdr:col>78</xdr:col>
      <xdr:colOff>0</xdr:colOff>
      <xdr:row>33</xdr:row>
      <xdr:rowOff>0</xdr:rowOff>
    </xdr:from>
    <xdr:ext cx="161925" cy="200025"/>
    <xdr:pic>
      <xdr:nvPicPr>
        <xdr:cNvPr id="0" name="image58.png"/>
        <xdr:cNvPicPr preferRelativeResize="0"/>
      </xdr:nvPicPr>
      <xdr:blipFill>
        <a:blip cstate="print" r:embed="rId38"/>
        <a:stretch>
          <a:fillRect/>
        </a:stretch>
      </xdr:blipFill>
      <xdr:spPr>
        <a:prstGeom prst="rect">
          <a:avLst/>
        </a:prstGeom>
        <a:noFill/>
      </xdr:spPr>
    </xdr:pic>
    <xdr:clientData fLocksWithSheet="0"/>
  </xdr:oneCellAnchor>
  <xdr:oneCellAnchor>
    <xdr:from>
      <xdr:col>83</xdr:col>
      <xdr:colOff>0</xdr:colOff>
      <xdr:row>33</xdr:row>
      <xdr:rowOff>0</xdr:rowOff>
    </xdr:from>
    <xdr:ext cx="200025" cy="200025"/>
    <xdr:pic>
      <xdr:nvPicPr>
        <xdr:cNvPr id="0" name="image87.png"/>
        <xdr:cNvPicPr preferRelativeResize="0"/>
      </xdr:nvPicPr>
      <xdr:blipFill>
        <a:blip cstate="print" r:embed="rId74"/>
        <a:stretch>
          <a:fillRect/>
        </a:stretch>
      </xdr:blipFill>
      <xdr:spPr>
        <a:prstGeom prst="rect">
          <a:avLst/>
        </a:prstGeom>
        <a:noFill/>
      </xdr:spPr>
    </xdr:pic>
    <xdr:clientData fLocksWithSheet="0"/>
  </xdr:oneCellAnchor>
  <xdr:oneCellAnchor>
    <xdr:from>
      <xdr:col>38</xdr:col>
      <xdr:colOff>0</xdr:colOff>
      <xdr:row>34</xdr:row>
      <xdr:rowOff>0</xdr:rowOff>
    </xdr:from>
    <xdr:ext cx="161925" cy="200025"/>
    <xdr:pic>
      <xdr:nvPicPr>
        <xdr:cNvPr id="0" name="image23.png"/>
        <xdr:cNvPicPr preferRelativeResize="0"/>
      </xdr:nvPicPr>
      <xdr:blipFill>
        <a:blip cstate="print" r:embed="rId11"/>
        <a:stretch>
          <a:fillRect/>
        </a:stretch>
      </xdr:blipFill>
      <xdr:spPr>
        <a:prstGeom prst="rect">
          <a:avLst/>
        </a:prstGeom>
        <a:noFill/>
      </xdr:spPr>
    </xdr:pic>
    <xdr:clientData fLocksWithSheet="0"/>
  </xdr:oneCellAnchor>
  <xdr:oneCellAnchor>
    <xdr:from>
      <xdr:col>43</xdr:col>
      <xdr:colOff>0</xdr:colOff>
      <xdr:row>34</xdr:row>
      <xdr:rowOff>0</xdr:rowOff>
    </xdr:from>
    <xdr:ext cx="190500" cy="200025"/>
    <xdr:pic>
      <xdr:nvPicPr>
        <xdr:cNvPr id="0" name="image60.png"/>
        <xdr:cNvPicPr preferRelativeResize="0"/>
      </xdr:nvPicPr>
      <xdr:blipFill>
        <a:blip cstate="print" r:embed="rId52"/>
        <a:stretch>
          <a:fillRect/>
        </a:stretch>
      </xdr:blipFill>
      <xdr:spPr>
        <a:prstGeom prst="rect">
          <a:avLst/>
        </a:prstGeom>
        <a:noFill/>
      </xdr:spPr>
    </xdr:pic>
    <xdr:clientData fLocksWithSheet="0"/>
  </xdr:oneCellAnchor>
  <xdr:oneCellAnchor>
    <xdr:from>
      <xdr:col>48</xdr:col>
      <xdr:colOff>0</xdr:colOff>
      <xdr:row>34</xdr:row>
      <xdr:rowOff>0</xdr:rowOff>
    </xdr:from>
    <xdr:ext cx="190500" cy="200025"/>
    <xdr:pic>
      <xdr:nvPicPr>
        <xdr:cNvPr id="0" name="image60.png"/>
        <xdr:cNvPicPr preferRelativeResize="0"/>
      </xdr:nvPicPr>
      <xdr:blipFill>
        <a:blip cstate="print" r:embed="rId52"/>
        <a:stretch>
          <a:fillRect/>
        </a:stretch>
      </xdr:blipFill>
      <xdr:spPr>
        <a:prstGeom prst="rect">
          <a:avLst/>
        </a:prstGeom>
        <a:noFill/>
      </xdr:spPr>
    </xdr:pic>
    <xdr:clientData fLocksWithSheet="0"/>
  </xdr:oneCellAnchor>
  <xdr:oneCellAnchor>
    <xdr:from>
      <xdr:col>53</xdr:col>
      <xdr:colOff>0</xdr:colOff>
      <xdr:row>34</xdr:row>
      <xdr:rowOff>0</xdr:rowOff>
    </xdr:from>
    <xdr:ext cx="200025" cy="200025"/>
    <xdr:pic>
      <xdr:nvPicPr>
        <xdr:cNvPr id="0" name="image59.png"/>
        <xdr:cNvPicPr preferRelativeResize="0"/>
      </xdr:nvPicPr>
      <xdr:blipFill>
        <a:blip cstate="print" r:embed="rId43"/>
        <a:stretch>
          <a:fillRect/>
        </a:stretch>
      </xdr:blipFill>
      <xdr:spPr>
        <a:prstGeom prst="rect">
          <a:avLst/>
        </a:prstGeom>
        <a:noFill/>
      </xdr:spPr>
    </xdr:pic>
    <xdr:clientData fLocksWithSheet="0"/>
  </xdr:oneCellAnchor>
  <xdr:oneCellAnchor>
    <xdr:from>
      <xdr:col>58</xdr:col>
      <xdr:colOff>0</xdr:colOff>
      <xdr:row>34</xdr:row>
      <xdr:rowOff>0</xdr:rowOff>
    </xdr:from>
    <xdr:ext cx="200025" cy="200025"/>
    <xdr:pic>
      <xdr:nvPicPr>
        <xdr:cNvPr id="0" name="image55.png"/>
        <xdr:cNvPicPr preferRelativeResize="0"/>
      </xdr:nvPicPr>
      <xdr:blipFill>
        <a:blip cstate="print" r:embed="rId45"/>
        <a:stretch>
          <a:fillRect/>
        </a:stretch>
      </xdr:blipFill>
      <xdr:spPr>
        <a:prstGeom prst="rect">
          <a:avLst/>
        </a:prstGeom>
        <a:noFill/>
      </xdr:spPr>
    </xdr:pic>
    <xdr:clientData fLocksWithSheet="0"/>
  </xdr:oneCellAnchor>
  <xdr:oneCellAnchor>
    <xdr:from>
      <xdr:col>63</xdr:col>
      <xdr:colOff>0</xdr:colOff>
      <xdr:row>34</xdr:row>
      <xdr:rowOff>0</xdr:rowOff>
    </xdr:from>
    <xdr:ext cx="200025" cy="200025"/>
    <xdr:pic>
      <xdr:nvPicPr>
        <xdr:cNvPr id="0" name="image69.png"/>
        <xdr:cNvPicPr preferRelativeResize="0"/>
      </xdr:nvPicPr>
      <xdr:blipFill>
        <a:blip cstate="print" r:embed="rId56"/>
        <a:stretch>
          <a:fillRect/>
        </a:stretch>
      </xdr:blipFill>
      <xdr:spPr>
        <a:prstGeom prst="rect">
          <a:avLst/>
        </a:prstGeom>
        <a:noFill/>
      </xdr:spPr>
    </xdr:pic>
    <xdr:clientData fLocksWithSheet="0"/>
  </xdr:oneCellAnchor>
  <xdr:oneCellAnchor>
    <xdr:from>
      <xdr:col>68</xdr:col>
      <xdr:colOff>0</xdr:colOff>
      <xdr:row>34</xdr:row>
      <xdr:rowOff>0</xdr:rowOff>
    </xdr:from>
    <xdr:ext cx="200025" cy="200025"/>
    <xdr:pic>
      <xdr:nvPicPr>
        <xdr:cNvPr id="0" name="image90.png"/>
        <xdr:cNvPicPr preferRelativeResize="0"/>
      </xdr:nvPicPr>
      <xdr:blipFill>
        <a:blip cstate="print" r:embed="rId75"/>
        <a:stretch>
          <a:fillRect/>
        </a:stretch>
      </xdr:blipFill>
      <xdr:spPr>
        <a:prstGeom prst="rect">
          <a:avLst/>
        </a:prstGeom>
        <a:noFill/>
      </xdr:spPr>
    </xdr:pic>
    <xdr:clientData fLocksWithSheet="0"/>
  </xdr:oneCellAnchor>
  <xdr:oneCellAnchor>
    <xdr:from>
      <xdr:col>73</xdr:col>
      <xdr:colOff>0</xdr:colOff>
      <xdr:row>34</xdr:row>
      <xdr:rowOff>0</xdr:rowOff>
    </xdr:from>
    <xdr:ext cx="200025" cy="200025"/>
    <xdr:pic>
      <xdr:nvPicPr>
        <xdr:cNvPr id="0" name="image56.png"/>
        <xdr:cNvPicPr preferRelativeResize="0"/>
      </xdr:nvPicPr>
      <xdr:blipFill>
        <a:blip cstate="print" r:embed="rId36"/>
        <a:stretch>
          <a:fillRect/>
        </a:stretch>
      </xdr:blipFill>
      <xdr:spPr>
        <a:prstGeom prst="rect">
          <a:avLst/>
        </a:prstGeom>
        <a:noFill/>
      </xdr:spPr>
    </xdr:pic>
    <xdr:clientData fLocksWithSheet="0"/>
  </xdr:oneCellAnchor>
  <xdr:oneCellAnchor>
    <xdr:from>
      <xdr:col>78</xdr:col>
      <xdr:colOff>0</xdr:colOff>
      <xdr:row>34</xdr:row>
      <xdr:rowOff>0</xdr:rowOff>
    </xdr:from>
    <xdr:ext cx="200025" cy="200025"/>
    <xdr:pic>
      <xdr:nvPicPr>
        <xdr:cNvPr id="0" name="image89.png"/>
        <xdr:cNvPicPr preferRelativeResize="0"/>
      </xdr:nvPicPr>
      <xdr:blipFill>
        <a:blip cstate="print" r:embed="rId76"/>
        <a:stretch>
          <a:fillRect/>
        </a:stretch>
      </xdr:blipFill>
      <xdr:spPr>
        <a:prstGeom prst="rect">
          <a:avLst/>
        </a:prstGeom>
        <a:noFill/>
      </xdr:spPr>
    </xdr:pic>
    <xdr:clientData fLocksWithSheet="0"/>
  </xdr:oneCellAnchor>
  <xdr:oneCellAnchor>
    <xdr:from>
      <xdr:col>83</xdr:col>
      <xdr:colOff>0</xdr:colOff>
      <xdr:row>34</xdr:row>
      <xdr:rowOff>0</xdr:rowOff>
    </xdr:from>
    <xdr:ext cx="200025" cy="200025"/>
    <xdr:pic>
      <xdr:nvPicPr>
        <xdr:cNvPr id="0" name="image54.png"/>
        <xdr:cNvPicPr preferRelativeResize="0"/>
      </xdr:nvPicPr>
      <xdr:blipFill>
        <a:blip cstate="print" r:embed="rId39"/>
        <a:stretch>
          <a:fillRect/>
        </a:stretch>
      </xdr:blipFill>
      <xdr:spPr>
        <a:prstGeom prst="rect">
          <a:avLst/>
        </a:prstGeom>
        <a:noFill/>
      </xdr:spPr>
    </xdr:pic>
    <xdr:clientData fLocksWithSheet="0"/>
  </xdr:oneCellAnchor>
  <xdr:oneCellAnchor>
    <xdr:from>
      <xdr:col>38</xdr:col>
      <xdr:colOff>0</xdr:colOff>
      <xdr:row>35</xdr:row>
      <xdr:rowOff>0</xdr:rowOff>
    </xdr:from>
    <xdr:ext cx="200025" cy="200025"/>
    <xdr:pic>
      <xdr:nvPicPr>
        <xdr:cNvPr id="0" name="image55.png"/>
        <xdr:cNvPicPr preferRelativeResize="0"/>
      </xdr:nvPicPr>
      <xdr:blipFill>
        <a:blip cstate="print" r:embed="rId45"/>
        <a:stretch>
          <a:fillRect/>
        </a:stretch>
      </xdr:blipFill>
      <xdr:spPr>
        <a:prstGeom prst="rect">
          <a:avLst/>
        </a:prstGeom>
        <a:noFill/>
      </xdr:spPr>
    </xdr:pic>
    <xdr:clientData fLocksWithSheet="0"/>
  </xdr:oneCellAnchor>
  <xdr:oneCellAnchor>
    <xdr:from>
      <xdr:col>43</xdr:col>
      <xdr:colOff>0</xdr:colOff>
      <xdr:row>35</xdr:row>
      <xdr:rowOff>0</xdr:rowOff>
    </xdr:from>
    <xdr:ext cx="200025" cy="200025"/>
    <xdr:pic>
      <xdr:nvPicPr>
        <xdr:cNvPr id="0" name="image61.png"/>
        <xdr:cNvPicPr preferRelativeResize="0"/>
      </xdr:nvPicPr>
      <xdr:blipFill>
        <a:blip cstate="print" r:embed="rId48"/>
        <a:stretch>
          <a:fillRect/>
        </a:stretch>
      </xdr:blipFill>
      <xdr:spPr>
        <a:prstGeom prst="rect">
          <a:avLst/>
        </a:prstGeom>
        <a:noFill/>
      </xdr:spPr>
    </xdr:pic>
    <xdr:clientData fLocksWithSheet="0"/>
  </xdr:oneCellAnchor>
  <xdr:oneCellAnchor>
    <xdr:from>
      <xdr:col>48</xdr:col>
      <xdr:colOff>0</xdr:colOff>
      <xdr:row>35</xdr:row>
      <xdr:rowOff>0</xdr:rowOff>
    </xdr:from>
    <xdr:ext cx="200025" cy="200025"/>
    <xdr:pic>
      <xdr:nvPicPr>
        <xdr:cNvPr id="0" name="image61.png"/>
        <xdr:cNvPicPr preferRelativeResize="0"/>
      </xdr:nvPicPr>
      <xdr:blipFill>
        <a:blip cstate="print" r:embed="rId48"/>
        <a:stretch>
          <a:fillRect/>
        </a:stretch>
      </xdr:blipFill>
      <xdr:spPr>
        <a:prstGeom prst="rect">
          <a:avLst/>
        </a:prstGeom>
        <a:noFill/>
      </xdr:spPr>
    </xdr:pic>
    <xdr:clientData fLocksWithSheet="0"/>
  </xdr:oneCellAnchor>
  <xdr:oneCellAnchor>
    <xdr:from>
      <xdr:col>53</xdr:col>
      <xdr:colOff>0</xdr:colOff>
      <xdr:row>35</xdr:row>
      <xdr:rowOff>0</xdr:rowOff>
    </xdr:from>
    <xdr:ext cx="190500" cy="200025"/>
    <xdr:pic>
      <xdr:nvPicPr>
        <xdr:cNvPr id="0" name="image60.png"/>
        <xdr:cNvPicPr preferRelativeResize="0"/>
      </xdr:nvPicPr>
      <xdr:blipFill>
        <a:blip cstate="print" r:embed="rId52"/>
        <a:stretch>
          <a:fillRect/>
        </a:stretch>
      </xdr:blipFill>
      <xdr:spPr>
        <a:prstGeom prst="rect">
          <a:avLst/>
        </a:prstGeom>
        <a:noFill/>
      </xdr:spPr>
    </xdr:pic>
    <xdr:clientData fLocksWithSheet="0"/>
  </xdr:oneCellAnchor>
  <xdr:oneCellAnchor>
    <xdr:from>
      <xdr:col>58</xdr:col>
      <xdr:colOff>0</xdr:colOff>
      <xdr:row>35</xdr:row>
      <xdr:rowOff>0</xdr:rowOff>
    </xdr:from>
    <xdr:ext cx="200025" cy="200025"/>
    <xdr:pic>
      <xdr:nvPicPr>
        <xdr:cNvPr id="0" name="image59.png"/>
        <xdr:cNvPicPr preferRelativeResize="0"/>
      </xdr:nvPicPr>
      <xdr:blipFill>
        <a:blip cstate="print" r:embed="rId43"/>
        <a:stretch>
          <a:fillRect/>
        </a:stretch>
      </xdr:blipFill>
      <xdr:spPr>
        <a:prstGeom prst="rect">
          <a:avLst/>
        </a:prstGeom>
        <a:noFill/>
      </xdr:spPr>
    </xdr:pic>
    <xdr:clientData fLocksWithSheet="0"/>
  </xdr:oneCellAnchor>
  <xdr:oneCellAnchor>
    <xdr:from>
      <xdr:col>63</xdr:col>
      <xdr:colOff>0</xdr:colOff>
      <xdr:row>35</xdr:row>
      <xdr:rowOff>0</xdr:rowOff>
    </xdr:from>
    <xdr:ext cx="200025" cy="200025"/>
    <xdr:pic>
      <xdr:nvPicPr>
        <xdr:cNvPr id="0" name="image73.png"/>
        <xdr:cNvPicPr preferRelativeResize="0"/>
      </xdr:nvPicPr>
      <xdr:blipFill>
        <a:blip cstate="print" r:embed="rId59"/>
        <a:stretch>
          <a:fillRect/>
        </a:stretch>
      </xdr:blipFill>
      <xdr:spPr>
        <a:prstGeom prst="rect">
          <a:avLst/>
        </a:prstGeom>
        <a:noFill/>
      </xdr:spPr>
    </xdr:pic>
    <xdr:clientData fLocksWithSheet="0"/>
  </xdr:oneCellAnchor>
  <xdr:oneCellAnchor>
    <xdr:from>
      <xdr:col>68</xdr:col>
      <xdr:colOff>0</xdr:colOff>
      <xdr:row>35</xdr:row>
      <xdr:rowOff>0</xdr:rowOff>
    </xdr:from>
    <xdr:ext cx="200025" cy="200025"/>
    <xdr:pic>
      <xdr:nvPicPr>
        <xdr:cNvPr id="0" name="image56.png"/>
        <xdr:cNvPicPr preferRelativeResize="0"/>
      </xdr:nvPicPr>
      <xdr:blipFill>
        <a:blip cstate="print" r:embed="rId36"/>
        <a:stretch>
          <a:fillRect/>
        </a:stretch>
      </xdr:blipFill>
      <xdr:spPr>
        <a:prstGeom prst="rect">
          <a:avLst/>
        </a:prstGeom>
        <a:noFill/>
      </xdr:spPr>
    </xdr:pic>
    <xdr:clientData fLocksWithSheet="0"/>
  </xdr:oneCellAnchor>
  <xdr:oneCellAnchor>
    <xdr:from>
      <xdr:col>73</xdr:col>
      <xdr:colOff>0</xdr:colOff>
      <xdr:row>35</xdr:row>
      <xdr:rowOff>0</xdr:rowOff>
    </xdr:from>
    <xdr:ext cx="161925" cy="200025"/>
    <xdr:pic>
      <xdr:nvPicPr>
        <xdr:cNvPr id="0" name="image58.png"/>
        <xdr:cNvPicPr preferRelativeResize="0"/>
      </xdr:nvPicPr>
      <xdr:blipFill>
        <a:blip cstate="print" r:embed="rId38"/>
        <a:stretch>
          <a:fillRect/>
        </a:stretch>
      </xdr:blipFill>
      <xdr:spPr>
        <a:prstGeom prst="rect">
          <a:avLst/>
        </a:prstGeom>
        <a:noFill/>
      </xdr:spPr>
    </xdr:pic>
    <xdr:clientData fLocksWithSheet="0"/>
  </xdr:oneCellAnchor>
  <xdr:oneCellAnchor>
    <xdr:from>
      <xdr:col>78</xdr:col>
      <xdr:colOff>0</xdr:colOff>
      <xdr:row>35</xdr:row>
      <xdr:rowOff>0</xdr:rowOff>
    </xdr:from>
    <xdr:ext cx="190500" cy="200025"/>
    <xdr:pic>
      <xdr:nvPicPr>
        <xdr:cNvPr id="0" name="image86.png"/>
        <xdr:cNvPicPr preferRelativeResize="0"/>
      </xdr:nvPicPr>
      <xdr:blipFill>
        <a:blip cstate="print" r:embed="rId77"/>
        <a:stretch>
          <a:fillRect/>
        </a:stretch>
      </xdr:blipFill>
      <xdr:spPr>
        <a:prstGeom prst="rect">
          <a:avLst/>
        </a:prstGeom>
        <a:noFill/>
      </xdr:spPr>
    </xdr:pic>
    <xdr:clientData fLocksWithSheet="0"/>
  </xdr:oneCellAnchor>
  <xdr:oneCellAnchor>
    <xdr:from>
      <xdr:col>83</xdr:col>
      <xdr:colOff>0</xdr:colOff>
      <xdr:row>35</xdr:row>
      <xdr:rowOff>0</xdr:rowOff>
    </xdr:from>
    <xdr:ext cx="200025" cy="200025"/>
    <xdr:pic>
      <xdr:nvPicPr>
        <xdr:cNvPr id="0" name="image51.png"/>
        <xdr:cNvPicPr preferRelativeResize="0"/>
      </xdr:nvPicPr>
      <xdr:blipFill>
        <a:blip cstate="print" r:embed="rId31"/>
        <a:stretch>
          <a:fillRect/>
        </a:stretch>
      </xdr:blipFill>
      <xdr:spPr>
        <a:prstGeom prst="rect">
          <a:avLst/>
        </a:prstGeom>
        <a:noFill/>
      </xdr:spPr>
    </xdr:pic>
    <xdr:clientData fLocksWithSheet="0"/>
  </xdr:oneCellAnchor>
  <xdr:oneCellAnchor>
    <xdr:from>
      <xdr:col>38</xdr:col>
      <xdr:colOff>0</xdr:colOff>
      <xdr:row>36</xdr:row>
      <xdr:rowOff>0</xdr:rowOff>
    </xdr:from>
    <xdr:ext cx="200025" cy="200025"/>
    <xdr:pic>
      <xdr:nvPicPr>
        <xdr:cNvPr id="0" name="image59.png"/>
        <xdr:cNvPicPr preferRelativeResize="0"/>
      </xdr:nvPicPr>
      <xdr:blipFill>
        <a:blip cstate="print" r:embed="rId43"/>
        <a:stretch>
          <a:fillRect/>
        </a:stretch>
      </xdr:blipFill>
      <xdr:spPr>
        <a:prstGeom prst="rect">
          <a:avLst/>
        </a:prstGeom>
        <a:noFill/>
      </xdr:spPr>
    </xdr:pic>
    <xdr:clientData fLocksWithSheet="0"/>
  </xdr:oneCellAnchor>
  <xdr:oneCellAnchor>
    <xdr:from>
      <xdr:col>43</xdr:col>
      <xdr:colOff>0</xdr:colOff>
      <xdr:row>36</xdr:row>
      <xdr:rowOff>0</xdr:rowOff>
    </xdr:from>
    <xdr:ext cx="200025" cy="200025"/>
    <xdr:pic>
      <xdr:nvPicPr>
        <xdr:cNvPr id="0" name="image34.png"/>
        <xdr:cNvPicPr preferRelativeResize="0"/>
      </xdr:nvPicPr>
      <xdr:blipFill>
        <a:blip cstate="print" r:embed="rId15"/>
        <a:stretch>
          <a:fillRect/>
        </a:stretch>
      </xdr:blipFill>
      <xdr:spPr>
        <a:prstGeom prst="rect">
          <a:avLst/>
        </a:prstGeom>
        <a:noFill/>
      </xdr:spPr>
    </xdr:pic>
    <xdr:clientData fLocksWithSheet="0"/>
  </xdr:oneCellAnchor>
  <xdr:oneCellAnchor>
    <xdr:from>
      <xdr:col>48</xdr:col>
      <xdr:colOff>0</xdr:colOff>
      <xdr:row>36</xdr:row>
      <xdr:rowOff>0</xdr:rowOff>
    </xdr:from>
    <xdr:ext cx="200025" cy="200025"/>
    <xdr:pic>
      <xdr:nvPicPr>
        <xdr:cNvPr id="0" name="image34.png"/>
        <xdr:cNvPicPr preferRelativeResize="0"/>
      </xdr:nvPicPr>
      <xdr:blipFill>
        <a:blip cstate="print" r:embed="rId15"/>
        <a:stretch>
          <a:fillRect/>
        </a:stretch>
      </xdr:blipFill>
      <xdr:spPr>
        <a:prstGeom prst="rect">
          <a:avLst/>
        </a:prstGeom>
        <a:noFill/>
      </xdr:spPr>
    </xdr:pic>
    <xdr:clientData fLocksWithSheet="0"/>
  </xdr:oneCellAnchor>
  <xdr:oneCellAnchor>
    <xdr:from>
      <xdr:col>53</xdr:col>
      <xdr:colOff>0</xdr:colOff>
      <xdr:row>36</xdr:row>
      <xdr:rowOff>0</xdr:rowOff>
    </xdr:from>
    <xdr:ext cx="200025" cy="200025"/>
    <xdr:pic>
      <xdr:nvPicPr>
        <xdr:cNvPr id="0" name="image61.png"/>
        <xdr:cNvPicPr preferRelativeResize="0"/>
      </xdr:nvPicPr>
      <xdr:blipFill>
        <a:blip cstate="print" r:embed="rId48"/>
        <a:stretch>
          <a:fillRect/>
        </a:stretch>
      </xdr:blipFill>
      <xdr:spPr>
        <a:prstGeom prst="rect">
          <a:avLst/>
        </a:prstGeom>
        <a:noFill/>
      </xdr:spPr>
    </xdr:pic>
    <xdr:clientData fLocksWithSheet="0"/>
  </xdr:oneCellAnchor>
  <xdr:oneCellAnchor>
    <xdr:from>
      <xdr:col>58</xdr:col>
      <xdr:colOff>0</xdr:colOff>
      <xdr:row>36</xdr:row>
      <xdr:rowOff>0</xdr:rowOff>
    </xdr:from>
    <xdr:ext cx="190500" cy="200025"/>
    <xdr:pic>
      <xdr:nvPicPr>
        <xdr:cNvPr id="0" name="image60.png"/>
        <xdr:cNvPicPr preferRelativeResize="0"/>
      </xdr:nvPicPr>
      <xdr:blipFill>
        <a:blip cstate="print" r:embed="rId52"/>
        <a:stretch>
          <a:fillRect/>
        </a:stretch>
      </xdr:blipFill>
      <xdr:spPr>
        <a:prstGeom prst="rect">
          <a:avLst/>
        </a:prstGeom>
        <a:noFill/>
      </xdr:spPr>
    </xdr:pic>
    <xdr:clientData fLocksWithSheet="0"/>
  </xdr:oneCellAnchor>
  <xdr:oneCellAnchor>
    <xdr:from>
      <xdr:col>63</xdr:col>
      <xdr:colOff>0</xdr:colOff>
      <xdr:row>36</xdr:row>
      <xdr:rowOff>0</xdr:rowOff>
    </xdr:from>
    <xdr:ext cx="200025" cy="200025"/>
    <xdr:pic>
      <xdr:nvPicPr>
        <xdr:cNvPr id="0" name="image40.png"/>
        <xdr:cNvPicPr preferRelativeResize="0"/>
      </xdr:nvPicPr>
      <xdr:blipFill>
        <a:blip cstate="print" r:embed="rId27"/>
        <a:stretch>
          <a:fillRect/>
        </a:stretch>
      </xdr:blipFill>
      <xdr:spPr>
        <a:prstGeom prst="rect">
          <a:avLst/>
        </a:prstGeom>
        <a:noFill/>
      </xdr:spPr>
    </xdr:pic>
    <xdr:clientData fLocksWithSheet="0"/>
  </xdr:oneCellAnchor>
  <xdr:oneCellAnchor>
    <xdr:from>
      <xdr:col>68</xdr:col>
      <xdr:colOff>0</xdr:colOff>
      <xdr:row>36</xdr:row>
      <xdr:rowOff>0</xdr:rowOff>
    </xdr:from>
    <xdr:ext cx="161925" cy="200025"/>
    <xdr:pic>
      <xdr:nvPicPr>
        <xdr:cNvPr id="0" name="image58.png"/>
        <xdr:cNvPicPr preferRelativeResize="0"/>
      </xdr:nvPicPr>
      <xdr:blipFill>
        <a:blip cstate="print" r:embed="rId38"/>
        <a:stretch>
          <a:fillRect/>
        </a:stretch>
      </xdr:blipFill>
      <xdr:spPr>
        <a:prstGeom prst="rect">
          <a:avLst/>
        </a:prstGeom>
        <a:noFill/>
      </xdr:spPr>
    </xdr:pic>
    <xdr:clientData fLocksWithSheet="0"/>
  </xdr:oneCellAnchor>
  <xdr:oneCellAnchor>
    <xdr:from>
      <xdr:col>73</xdr:col>
      <xdr:colOff>0</xdr:colOff>
      <xdr:row>36</xdr:row>
      <xdr:rowOff>0</xdr:rowOff>
    </xdr:from>
    <xdr:ext cx="200025" cy="200025"/>
    <xdr:pic>
      <xdr:nvPicPr>
        <xdr:cNvPr id="0" name="image89.png"/>
        <xdr:cNvPicPr preferRelativeResize="0"/>
      </xdr:nvPicPr>
      <xdr:blipFill>
        <a:blip cstate="print" r:embed="rId76"/>
        <a:stretch>
          <a:fillRect/>
        </a:stretch>
      </xdr:blipFill>
      <xdr:spPr>
        <a:prstGeom prst="rect">
          <a:avLst/>
        </a:prstGeom>
        <a:noFill/>
      </xdr:spPr>
    </xdr:pic>
    <xdr:clientData fLocksWithSheet="0"/>
  </xdr:oneCellAnchor>
  <xdr:oneCellAnchor>
    <xdr:from>
      <xdr:col>78</xdr:col>
      <xdr:colOff>0</xdr:colOff>
      <xdr:row>36</xdr:row>
      <xdr:rowOff>0</xdr:rowOff>
    </xdr:from>
    <xdr:ext cx="295275" cy="142875"/>
    <xdr:pic>
      <xdr:nvPicPr>
        <xdr:cNvPr id="0" name="image47.png"/>
        <xdr:cNvPicPr preferRelativeResize="0"/>
      </xdr:nvPicPr>
      <xdr:blipFill>
        <a:blip cstate="print" r:embed="rId41"/>
        <a:stretch>
          <a:fillRect/>
        </a:stretch>
      </xdr:blipFill>
      <xdr:spPr>
        <a:prstGeom prst="rect">
          <a:avLst/>
        </a:prstGeom>
        <a:noFill/>
      </xdr:spPr>
    </xdr:pic>
    <xdr:clientData fLocksWithSheet="0"/>
  </xdr:oneCellAnchor>
  <xdr:oneCellAnchor>
    <xdr:from>
      <xdr:col>83</xdr:col>
      <xdr:colOff>0</xdr:colOff>
      <xdr:row>36</xdr:row>
      <xdr:rowOff>0</xdr:rowOff>
    </xdr:from>
    <xdr:ext cx="200025" cy="200025"/>
    <xdr:pic>
      <xdr:nvPicPr>
        <xdr:cNvPr id="0" name="image6.png"/>
        <xdr:cNvPicPr preferRelativeResize="0"/>
      </xdr:nvPicPr>
      <xdr:blipFill>
        <a:blip cstate="print" r:embed="rId67"/>
        <a:stretch>
          <a:fillRect/>
        </a:stretch>
      </xdr:blipFill>
      <xdr:spPr>
        <a:prstGeom prst="rect">
          <a:avLst/>
        </a:prstGeom>
        <a:noFill/>
      </xdr:spPr>
    </xdr:pic>
    <xdr:clientData fLocksWithSheet="0"/>
  </xdr:oneCellAnchor>
  <xdr:oneCellAnchor>
    <xdr:from>
      <xdr:col>38</xdr:col>
      <xdr:colOff>0</xdr:colOff>
      <xdr:row>37</xdr:row>
      <xdr:rowOff>0</xdr:rowOff>
    </xdr:from>
    <xdr:ext cx="190500" cy="200025"/>
    <xdr:pic>
      <xdr:nvPicPr>
        <xdr:cNvPr id="0" name="image60.png"/>
        <xdr:cNvPicPr preferRelativeResize="0"/>
      </xdr:nvPicPr>
      <xdr:blipFill>
        <a:blip cstate="print" r:embed="rId52"/>
        <a:stretch>
          <a:fillRect/>
        </a:stretch>
      </xdr:blipFill>
      <xdr:spPr>
        <a:prstGeom prst="rect">
          <a:avLst/>
        </a:prstGeom>
        <a:noFill/>
      </xdr:spPr>
    </xdr:pic>
    <xdr:clientData fLocksWithSheet="0"/>
  </xdr:oneCellAnchor>
  <xdr:oneCellAnchor>
    <xdr:from>
      <xdr:col>43</xdr:col>
      <xdr:colOff>0</xdr:colOff>
      <xdr:row>37</xdr:row>
      <xdr:rowOff>0</xdr:rowOff>
    </xdr:from>
    <xdr:ext cx="200025" cy="200025"/>
    <xdr:pic>
      <xdr:nvPicPr>
        <xdr:cNvPr id="0" name="image63.png"/>
        <xdr:cNvPicPr preferRelativeResize="0"/>
      </xdr:nvPicPr>
      <xdr:blipFill>
        <a:blip cstate="print" r:embed="rId49"/>
        <a:stretch>
          <a:fillRect/>
        </a:stretch>
      </xdr:blipFill>
      <xdr:spPr>
        <a:prstGeom prst="rect">
          <a:avLst/>
        </a:prstGeom>
        <a:noFill/>
      </xdr:spPr>
    </xdr:pic>
    <xdr:clientData fLocksWithSheet="0"/>
  </xdr:oneCellAnchor>
  <xdr:oneCellAnchor>
    <xdr:from>
      <xdr:col>48</xdr:col>
      <xdr:colOff>0</xdr:colOff>
      <xdr:row>37</xdr:row>
      <xdr:rowOff>0</xdr:rowOff>
    </xdr:from>
    <xdr:ext cx="200025" cy="200025"/>
    <xdr:pic>
      <xdr:nvPicPr>
        <xdr:cNvPr id="0" name="image63.png"/>
        <xdr:cNvPicPr preferRelativeResize="0"/>
      </xdr:nvPicPr>
      <xdr:blipFill>
        <a:blip cstate="print" r:embed="rId49"/>
        <a:stretch>
          <a:fillRect/>
        </a:stretch>
      </xdr:blipFill>
      <xdr:spPr>
        <a:prstGeom prst="rect">
          <a:avLst/>
        </a:prstGeom>
        <a:noFill/>
      </xdr:spPr>
    </xdr:pic>
    <xdr:clientData fLocksWithSheet="0"/>
  </xdr:oneCellAnchor>
  <xdr:oneCellAnchor>
    <xdr:from>
      <xdr:col>53</xdr:col>
      <xdr:colOff>0</xdr:colOff>
      <xdr:row>37</xdr:row>
      <xdr:rowOff>0</xdr:rowOff>
    </xdr:from>
    <xdr:ext cx="200025" cy="200025"/>
    <xdr:pic>
      <xdr:nvPicPr>
        <xdr:cNvPr id="0" name="image34.png"/>
        <xdr:cNvPicPr preferRelativeResize="0"/>
      </xdr:nvPicPr>
      <xdr:blipFill>
        <a:blip cstate="print" r:embed="rId15"/>
        <a:stretch>
          <a:fillRect/>
        </a:stretch>
      </xdr:blipFill>
      <xdr:spPr>
        <a:prstGeom prst="rect">
          <a:avLst/>
        </a:prstGeom>
        <a:noFill/>
      </xdr:spPr>
    </xdr:pic>
    <xdr:clientData fLocksWithSheet="0"/>
  </xdr:oneCellAnchor>
  <xdr:oneCellAnchor>
    <xdr:from>
      <xdr:col>58</xdr:col>
      <xdr:colOff>0</xdr:colOff>
      <xdr:row>37</xdr:row>
      <xdr:rowOff>0</xdr:rowOff>
    </xdr:from>
    <xdr:ext cx="200025" cy="200025"/>
    <xdr:pic>
      <xdr:nvPicPr>
        <xdr:cNvPr id="0" name="image61.png"/>
        <xdr:cNvPicPr preferRelativeResize="0"/>
      </xdr:nvPicPr>
      <xdr:blipFill>
        <a:blip cstate="print" r:embed="rId48"/>
        <a:stretch>
          <a:fillRect/>
        </a:stretch>
      </xdr:blipFill>
      <xdr:spPr>
        <a:prstGeom prst="rect">
          <a:avLst/>
        </a:prstGeom>
        <a:noFill/>
      </xdr:spPr>
    </xdr:pic>
    <xdr:clientData fLocksWithSheet="0"/>
  </xdr:oneCellAnchor>
  <xdr:oneCellAnchor>
    <xdr:from>
      <xdr:col>63</xdr:col>
      <xdr:colOff>0</xdr:colOff>
      <xdr:row>37</xdr:row>
      <xdr:rowOff>0</xdr:rowOff>
    </xdr:from>
    <xdr:ext cx="200025" cy="200025"/>
    <xdr:pic>
      <xdr:nvPicPr>
        <xdr:cNvPr id="0" name="image70.png"/>
        <xdr:cNvPicPr preferRelativeResize="0"/>
      </xdr:nvPicPr>
      <xdr:blipFill>
        <a:blip cstate="print" r:embed="rId63"/>
        <a:stretch>
          <a:fillRect/>
        </a:stretch>
      </xdr:blipFill>
      <xdr:spPr>
        <a:prstGeom prst="rect">
          <a:avLst/>
        </a:prstGeom>
        <a:noFill/>
      </xdr:spPr>
    </xdr:pic>
    <xdr:clientData fLocksWithSheet="0"/>
  </xdr:oneCellAnchor>
  <xdr:oneCellAnchor>
    <xdr:from>
      <xdr:col>68</xdr:col>
      <xdr:colOff>0</xdr:colOff>
      <xdr:row>37</xdr:row>
      <xdr:rowOff>0</xdr:rowOff>
    </xdr:from>
    <xdr:ext cx="200025" cy="200025"/>
    <xdr:pic>
      <xdr:nvPicPr>
        <xdr:cNvPr id="0" name="image89.png"/>
        <xdr:cNvPicPr preferRelativeResize="0"/>
      </xdr:nvPicPr>
      <xdr:blipFill>
        <a:blip cstate="print" r:embed="rId76"/>
        <a:stretch>
          <a:fillRect/>
        </a:stretch>
      </xdr:blipFill>
      <xdr:spPr>
        <a:prstGeom prst="rect">
          <a:avLst/>
        </a:prstGeom>
        <a:noFill/>
      </xdr:spPr>
    </xdr:pic>
    <xdr:clientData fLocksWithSheet="0"/>
  </xdr:oneCellAnchor>
  <xdr:oneCellAnchor>
    <xdr:from>
      <xdr:col>73</xdr:col>
      <xdr:colOff>0</xdr:colOff>
      <xdr:row>37</xdr:row>
      <xdr:rowOff>0</xdr:rowOff>
    </xdr:from>
    <xdr:ext cx="190500" cy="200025"/>
    <xdr:pic>
      <xdr:nvPicPr>
        <xdr:cNvPr id="0" name="image86.png"/>
        <xdr:cNvPicPr preferRelativeResize="0"/>
      </xdr:nvPicPr>
      <xdr:blipFill>
        <a:blip cstate="print" r:embed="rId77"/>
        <a:stretch>
          <a:fillRect/>
        </a:stretch>
      </xdr:blipFill>
      <xdr:spPr>
        <a:prstGeom prst="rect">
          <a:avLst/>
        </a:prstGeom>
        <a:noFill/>
      </xdr:spPr>
    </xdr:pic>
    <xdr:clientData fLocksWithSheet="0"/>
  </xdr:oneCellAnchor>
  <xdr:oneCellAnchor>
    <xdr:from>
      <xdr:col>83</xdr:col>
      <xdr:colOff>0</xdr:colOff>
      <xdr:row>37</xdr:row>
      <xdr:rowOff>0</xdr:rowOff>
    </xdr:from>
    <xdr:ext cx="200025" cy="200025"/>
    <xdr:pic>
      <xdr:nvPicPr>
        <xdr:cNvPr id="0" name="image82.png"/>
        <xdr:cNvPicPr preferRelativeResize="0"/>
      </xdr:nvPicPr>
      <xdr:blipFill>
        <a:blip cstate="print" r:embed="rId70"/>
        <a:stretch>
          <a:fillRect/>
        </a:stretch>
      </xdr:blipFill>
      <xdr:spPr>
        <a:prstGeom prst="rect">
          <a:avLst/>
        </a:prstGeom>
        <a:noFill/>
      </xdr:spPr>
    </xdr:pic>
    <xdr:clientData fLocksWithSheet="0"/>
  </xdr:oneCellAnchor>
  <xdr:oneCellAnchor>
    <xdr:from>
      <xdr:col>38</xdr:col>
      <xdr:colOff>0</xdr:colOff>
      <xdr:row>38</xdr:row>
      <xdr:rowOff>0</xdr:rowOff>
    </xdr:from>
    <xdr:ext cx="200025" cy="200025"/>
    <xdr:pic>
      <xdr:nvPicPr>
        <xdr:cNvPr id="0" name="image61.png"/>
        <xdr:cNvPicPr preferRelativeResize="0"/>
      </xdr:nvPicPr>
      <xdr:blipFill>
        <a:blip cstate="print" r:embed="rId48"/>
        <a:stretch>
          <a:fillRect/>
        </a:stretch>
      </xdr:blipFill>
      <xdr:spPr>
        <a:prstGeom prst="rect">
          <a:avLst/>
        </a:prstGeom>
        <a:noFill/>
      </xdr:spPr>
    </xdr:pic>
    <xdr:clientData fLocksWithSheet="0"/>
  </xdr:oneCellAnchor>
  <xdr:oneCellAnchor>
    <xdr:from>
      <xdr:col>43</xdr:col>
      <xdr:colOff>0</xdr:colOff>
      <xdr:row>38</xdr:row>
      <xdr:rowOff>0</xdr:rowOff>
    </xdr:from>
    <xdr:ext cx="200025" cy="200025"/>
    <xdr:pic>
      <xdr:nvPicPr>
        <xdr:cNvPr id="0" name="image65.png"/>
        <xdr:cNvPicPr preferRelativeResize="0"/>
      </xdr:nvPicPr>
      <xdr:blipFill>
        <a:blip cstate="print" r:embed="rId50"/>
        <a:stretch>
          <a:fillRect/>
        </a:stretch>
      </xdr:blipFill>
      <xdr:spPr>
        <a:prstGeom prst="rect">
          <a:avLst/>
        </a:prstGeom>
        <a:noFill/>
      </xdr:spPr>
    </xdr:pic>
    <xdr:clientData fLocksWithSheet="0"/>
  </xdr:oneCellAnchor>
  <xdr:oneCellAnchor>
    <xdr:from>
      <xdr:col>48</xdr:col>
      <xdr:colOff>0</xdr:colOff>
      <xdr:row>38</xdr:row>
      <xdr:rowOff>0</xdr:rowOff>
    </xdr:from>
    <xdr:ext cx="200025" cy="200025"/>
    <xdr:pic>
      <xdr:nvPicPr>
        <xdr:cNvPr id="0" name="image65.png"/>
        <xdr:cNvPicPr preferRelativeResize="0"/>
      </xdr:nvPicPr>
      <xdr:blipFill>
        <a:blip cstate="print" r:embed="rId50"/>
        <a:stretch>
          <a:fillRect/>
        </a:stretch>
      </xdr:blipFill>
      <xdr:spPr>
        <a:prstGeom prst="rect">
          <a:avLst/>
        </a:prstGeom>
        <a:noFill/>
      </xdr:spPr>
    </xdr:pic>
    <xdr:clientData fLocksWithSheet="0"/>
  </xdr:oneCellAnchor>
  <xdr:oneCellAnchor>
    <xdr:from>
      <xdr:col>53</xdr:col>
      <xdr:colOff>0</xdr:colOff>
      <xdr:row>38</xdr:row>
      <xdr:rowOff>0</xdr:rowOff>
    </xdr:from>
    <xdr:ext cx="200025" cy="200025"/>
    <xdr:pic>
      <xdr:nvPicPr>
        <xdr:cNvPr id="0" name="image63.png"/>
        <xdr:cNvPicPr preferRelativeResize="0"/>
      </xdr:nvPicPr>
      <xdr:blipFill>
        <a:blip cstate="print" r:embed="rId49"/>
        <a:stretch>
          <a:fillRect/>
        </a:stretch>
      </xdr:blipFill>
      <xdr:spPr>
        <a:prstGeom prst="rect">
          <a:avLst/>
        </a:prstGeom>
        <a:noFill/>
      </xdr:spPr>
    </xdr:pic>
    <xdr:clientData fLocksWithSheet="0"/>
  </xdr:oneCellAnchor>
  <xdr:oneCellAnchor>
    <xdr:from>
      <xdr:col>58</xdr:col>
      <xdr:colOff>0</xdr:colOff>
      <xdr:row>38</xdr:row>
      <xdr:rowOff>0</xdr:rowOff>
    </xdr:from>
    <xdr:ext cx="200025" cy="200025"/>
    <xdr:pic>
      <xdr:nvPicPr>
        <xdr:cNvPr id="0" name="image34.png"/>
        <xdr:cNvPicPr preferRelativeResize="0"/>
      </xdr:nvPicPr>
      <xdr:blipFill>
        <a:blip cstate="print" r:embed="rId15"/>
        <a:stretch>
          <a:fillRect/>
        </a:stretch>
      </xdr:blipFill>
      <xdr:spPr>
        <a:prstGeom prst="rect">
          <a:avLst/>
        </a:prstGeom>
        <a:noFill/>
      </xdr:spPr>
    </xdr:pic>
    <xdr:clientData fLocksWithSheet="0"/>
  </xdr:oneCellAnchor>
  <xdr:oneCellAnchor>
    <xdr:from>
      <xdr:col>63</xdr:col>
      <xdr:colOff>0</xdr:colOff>
      <xdr:row>38</xdr:row>
      <xdr:rowOff>0</xdr:rowOff>
    </xdr:from>
    <xdr:ext cx="200025" cy="200025"/>
    <xdr:pic>
      <xdr:nvPicPr>
        <xdr:cNvPr id="0" name="image75.png"/>
        <xdr:cNvPicPr preferRelativeResize="0"/>
      </xdr:nvPicPr>
      <xdr:blipFill>
        <a:blip cstate="print" r:embed="rId65"/>
        <a:stretch>
          <a:fillRect/>
        </a:stretch>
      </xdr:blipFill>
      <xdr:spPr>
        <a:prstGeom prst="rect">
          <a:avLst/>
        </a:prstGeom>
        <a:noFill/>
      </xdr:spPr>
    </xdr:pic>
    <xdr:clientData fLocksWithSheet="0"/>
  </xdr:oneCellAnchor>
  <xdr:oneCellAnchor>
    <xdr:from>
      <xdr:col>68</xdr:col>
      <xdr:colOff>0</xdr:colOff>
      <xdr:row>38</xdr:row>
      <xdr:rowOff>0</xdr:rowOff>
    </xdr:from>
    <xdr:ext cx="190500" cy="200025"/>
    <xdr:pic>
      <xdr:nvPicPr>
        <xdr:cNvPr id="0" name="image86.png"/>
        <xdr:cNvPicPr preferRelativeResize="0"/>
      </xdr:nvPicPr>
      <xdr:blipFill>
        <a:blip cstate="print" r:embed="rId77"/>
        <a:stretch>
          <a:fillRect/>
        </a:stretch>
      </xdr:blipFill>
      <xdr:spPr>
        <a:prstGeom prst="rect">
          <a:avLst/>
        </a:prstGeom>
        <a:noFill/>
      </xdr:spPr>
    </xdr:pic>
    <xdr:clientData fLocksWithSheet="0"/>
  </xdr:oneCellAnchor>
  <xdr:oneCellAnchor>
    <xdr:from>
      <xdr:col>73</xdr:col>
      <xdr:colOff>0</xdr:colOff>
      <xdr:row>38</xdr:row>
      <xdr:rowOff>0</xdr:rowOff>
    </xdr:from>
    <xdr:ext cx="295275" cy="142875"/>
    <xdr:pic>
      <xdr:nvPicPr>
        <xdr:cNvPr id="0" name="image47.png"/>
        <xdr:cNvPicPr preferRelativeResize="0"/>
      </xdr:nvPicPr>
      <xdr:blipFill>
        <a:blip cstate="print" r:embed="rId41"/>
        <a:stretch>
          <a:fillRect/>
        </a:stretch>
      </xdr:blipFill>
      <xdr:spPr>
        <a:prstGeom prst="rect">
          <a:avLst/>
        </a:prstGeom>
        <a:noFill/>
      </xdr:spPr>
    </xdr:pic>
    <xdr:clientData fLocksWithSheet="0"/>
  </xdr:oneCellAnchor>
  <xdr:oneCellAnchor>
    <xdr:from>
      <xdr:col>83</xdr:col>
      <xdr:colOff>0</xdr:colOff>
      <xdr:row>38</xdr:row>
      <xdr:rowOff>0</xdr:rowOff>
    </xdr:from>
    <xdr:ext cx="161925" cy="200025"/>
    <xdr:pic>
      <xdr:nvPicPr>
        <xdr:cNvPr id="0" name="image58.png"/>
        <xdr:cNvPicPr preferRelativeResize="0"/>
      </xdr:nvPicPr>
      <xdr:blipFill>
        <a:blip cstate="print" r:embed="rId38"/>
        <a:stretch>
          <a:fillRect/>
        </a:stretch>
      </xdr:blipFill>
      <xdr:spPr>
        <a:prstGeom prst="rect">
          <a:avLst/>
        </a:prstGeom>
        <a:noFill/>
      </xdr:spPr>
    </xdr:pic>
    <xdr:clientData fLocksWithSheet="0"/>
  </xdr:oneCellAnchor>
  <xdr:oneCellAnchor>
    <xdr:from>
      <xdr:col>38</xdr:col>
      <xdr:colOff>0</xdr:colOff>
      <xdr:row>39</xdr:row>
      <xdr:rowOff>0</xdr:rowOff>
    </xdr:from>
    <xdr:ext cx="200025" cy="200025"/>
    <xdr:pic>
      <xdr:nvPicPr>
        <xdr:cNvPr id="0" name="image34.png"/>
        <xdr:cNvPicPr preferRelativeResize="0"/>
      </xdr:nvPicPr>
      <xdr:blipFill>
        <a:blip cstate="print" r:embed="rId15"/>
        <a:stretch>
          <a:fillRect/>
        </a:stretch>
      </xdr:blipFill>
      <xdr:spPr>
        <a:prstGeom prst="rect">
          <a:avLst/>
        </a:prstGeom>
        <a:noFill/>
      </xdr:spPr>
    </xdr:pic>
    <xdr:clientData fLocksWithSheet="0"/>
  </xdr:oneCellAnchor>
  <xdr:oneCellAnchor>
    <xdr:from>
      <xdr:col>43</xdr:col>
      <xdr:colOff>0</xdr:colOff>
      <xdr:row>39</xdr:row>
      <xdr:rowOff>0</xdr:rowOff>
    </xdr:from>
    <xdr:ext cx="200025" cy="200025"/>
    <xdr:pic>
      <xdr:nvPicPr>
        <xdr:cNvPr id="0" name="image67.png"/>
        <xdr:cNvPicPr preferRelativeResize="0"/>
      </xdr:nvPicPr>
      <xdr:blipFill>
        <a:blip cstate="print" r:embed="rId53"/>
        <a:stretch>
          <a:fillRect/>
        </a:stretch>
      </xdr:blipFill>
      <xdr:spPr>
        <a:prstGeom prst="rect">
          <a:avLst/>
        </a:prstGeom>
        <a:noFill/>
      </xdr:spPr>
    </xdr:pic>
    <xdr:clientData fLocksWithSheet="0"/>
  </xdr:oneCellAnchor>
  <xdr:oneCellAnchor>
    <xdr:from>
      <xdr:col>48</xdr:col>
      <xdr:colOff>0</xdr:colOff>
      <xdr:row>39</xdr:row>
      <xdr:rowOff>0</xdr:rowOff>
    </xdr:from>
    <xdr:ext cx="200025" cy="200025"/>
    <xdr:pic>
      <xdr:nvPicPr>
        <xdr:cNvPr id="0" name="image67.png"/>
        <xdr:cNvPicPr preferRelativeResize="0"/>
      </xdr:nvPicPr>
      <xdr:blipFill>
        <a:blip cstate="print" r:embed="rId53"/>
        <a:stretch>
          <a:fillRect/>
        </a:stretch>
      </xdr:blipFill>
      <xdr:spPr>
        <a:prstGeom prst="rect">
          <a:avLst/>
        </a:prstGeom>
        <a:noFill/>
      </xdr:spPr>
    </xdr:pic>
    <xdr:clientData fLocksWithSheet="0"/>
  </xdr:oneCellAnchor>
  <xdr:oneCellAnchor>
    <xdr:from>
      <xdr:col>53</xdr:col>
      <xdr:colOff>0</xdr:colOff>
      <xdr:row>39</xdr:row>
      <xdr:rowOff>0</xdr:rowOff>
    </xdr:from>
    <xdr:ext cx="200025" cy="200025"/>
    <xdr:pic>
      <xdr:nvPicPr>
        <xdr:cNvPr id="0" name="image65.png"/>
        <xdr:cNvPicPr preferRelativeResize="0"/>
      </xdr:nvPicPr>
      <xdr:blipFill>
        <a:blip cstate="print" r:embed="rId50"/>
        <a:stretch>
          <a:fillRect/>
        </a:stretch>
      </xdr:blipFill>
      <xdr:spPr>
        <a:prstGeom prst="rect">
          <a:avLst/>
        </a:prstGeom>
        <a:noFill/>
      </xdr:spPr>
    </xdr:pic>
    <xdr:clientData fLocksWithSheet="0"/>
  </xdr:oneCellAnchor>
  <xdr:oneCellAnchor>
    <xdr:from>
      <xdr:col>58</xdr:col>
      <xdr:colOff>0</xdr:colOff>
      <xdr:row>39</xdr:row>
      <xdr:rowOff>0</xdr:rowOff>
    </xdr:from>
    <xdr:ext cx="200025" cy="200025"/>
    <xdr:pic>
      <xdr:nvPicPr>
        <xdr:cNvPr id="0" name="image63.png"/>
        <xdr:cNvPicPr preferRelativeResize="0"/>
      </xdr:nvPicPr>
      <xdr:blipFill>
        <a:blip cstate="print" r:embed="rId49"/>
        <a:stretch>
          <a:fillRect/>
        </a:stretch>
      </xdr:blipFill>
      <xdr:spPr>
        <a:prstGeom prst="rect">
          <a:avLst/>
        </a:prstGeom>
        <a:noFill/>
      </xdr:spPr>
    </xdr:pic>
    <xdr:clientData fLocksWithSheet="0"/>
  </xdr:oneCellAnchor>
  <xdr:oneCellAnchor>
    <xdr:from>
      <xdr:col>63</xdr:col>
      <xdr:colOff>0</xdr:colOff>
      <xdr:row>39</xdr:row>
      <xdr:rowOff>0</xdr:rowOff>
    </xdr:from>
    <xdr:ext cx="200025" cy="200025"/>
    <xdr:pic>
      <xdr:nvPicPr>
        <xdr:cNvPr id="0" name="image78.png"/>
        <xdr:cNvPicPr preferRelativeResize="0"/>
      </xdr:nvPicPr>
      <xdr:blipFill>
        <a:blip cstate="print" r:embed="rId66"/>
        <a:stretch>
          <a:fillRect/>
        </a:stretch>
      </xdr:blipFill>
      <xdr:spPr>
        <a:prstGeom prst="rect">
          <a:avLst/>
        </a:prstGeom>
        <a:noFill/>
      </xdr:spPr>
    </xdr:pic>
    <xdr:clientData fLocksWithSheet="0"/>
  </xdr:oneCellAnchor>
  <xdr:oneCellAnchor>
    <xdr:from>
      <xdr:col>68</xdr:col>
      <xdr:colOff>0</xdr:colOff>
      <xdr:row>39</xdr:row>
      <xdr:rowOff>0</xdr:rowOff>
    </xdr:from>
    <xdr:ext cx="295275" cy="142875"/>
    <xdr:pic>
      <xdr:nvPicPr>
        <xdr:cNvPr id="0" name="image47.png"/>
        <xdr:cNvPicPr preferRelativeResize="0"/>
      </xdr:nvPicPr>
      <xdr:blipFill>
        <a:blip cstate="print" r:embed="rId41"/>
        <a:stretch>
          <a:fillRect/>
        </a:stretch>
      </xdr:blipFill>
      <xdr:spPr>
        <a:prstGeom prst="rect">
          <a:avLst/>
        </a:prstGeom>
        <a:noFill/>
      </xdr:spPr>
    </xdr:pic>
    <xdr:clientData fLocksWithSheet="0"/>
  </xdr:oneCellAnchor>
  <xdr:oneCellAnchor>
    <xdr:from>
      <xdr:col>38</xdr:col>
      <xdr:colOff>0</xdr:colOff>
      <xdr:row>40</xdr:row>
      <xdr:rowOff>0</xdr:rowOff>
    </xdr:from>
    <xdr:ext cx="200025" cy="200025"/>
    <xdr:pic>
      <xdr:nvPicPr>
        <xdr:cNvPr id="0" name="image63.png"/>
        <xdr:cNvPicPr preferRelativeResize="0"/>
      </xdr:nvPicPr>
      <xdr:blipFill>
        <a:blip cstate="print" r:embed="rId49"/>
        <a:stretch>
          <a:fillRect/>
        </a:stretch>
      </xdr:blipFill>
      <xdr:spPr>
        <a:prstGeom prst="rect">
          <a:avLst/>
        </a:prstGeom>
        <a:noFill/>
      </xdr:spPr>
    </xdr:pic>
    <xdr:clientData fLocksWithSheet="0"/>
  </xdr:oneCellAnchor>
  <xdr:oneCellAnchor>
    <xdr:from>
      <xdr:col>43</xdr:col>
      <xdr:colOff>0</xdr:colOff>
      <xdr:row>40</xdr:row>
      <xdr:rowOff>0</xdr:rowOff>
    </xdr:from>
    <xdr:ext cx="209550" cy="200025"/>
    <xdr:pic>
      <xdr:nvPicPr>
        <xdr:cNvPr id="0" name="image76.png"/>
        <xdr:cNvPicPr preferRelativeResize="0"/>
      </xdr:nvPicPr>
      <xdr:blipFill>
        <a:blip cstate="print" r:embed="rId55"/>
        <a:stretch>
          <a:fillRect/>
        </a:stretch>
      </xdr:blipFill>
      <xdr:spPr>
        <a:prstGeom prst="rect">
          <a:avLst/>
        </a:prstGeom>
        <a:noFill/>
      </xdr:spPr>
    </xdr:pic>
    <xdr:clientData fLocksWithSheet="0"/>
  </xdr:oneCellAnchor>
  <xdr:oneCellAnchor>
    <xdr:from>
      <xdr:col>48</xdr:col>
      <xdr:colOff>0</xdr:colOff>
      <xdr:row>40</xdr:row>
      <xdr:rowOff>0</xdr:rowOff>
    </xdr:from>
    <xdr:ext cx="209550" cy="200025"/>
    <xdr:pic>
      <xdr:nvPicPr>
        <xdr:cNvPr id="0" name="image76.png"/>
        <xdr:cNvPicPr preferRelativeResize="0"/>
      </xdr:nvPicPr>
      <xdr:blipFill>
        <a:blip cstate="print" r:embed="rId55"/>
        <a:stretch>
          <a:fillRect/>
        </a:stretch>
      </xdr:blipFill>
      <xdr:spPr>
        <a:prstGeom prst="rect">
          <a:avLst/>
        </a:prstGeom>
        <a:noFill/>
      </xdr:spPr>
    </xdr:pic>
    <xdr:clientData fLocksWithSheet="0"/>
  </xdr:oneCellAnchor>
  <xdr:oneCellAnchor>
    <xdr:from>
      <xdr:col>53</xdr:col>
      <xdr:colOff>0</xdr:colOff>
      <xdr:row>40</xdr:row>
      <xdr:rowOff>0</xdr:rowOff>
    </xdr:from>
    <xdr:ext cx="200025" cy="200025"/>
    <xdr:pic>
      <xdr:nvPicPr>
        <xdr:cNvPr id="0" name="image67.png"/>
        <xdr:cNvPicPr preferRelativeResize="0"/>
      </xdr:nvPicPr>
      <xdr:blipFill>
        <a:blip cstate="print" r:embed="rId53"/>
        <a:stretch>
          <a:fillRect/>
        </a:stretch>
      </xdr:blipFill>
      <xdr:spPr>
        <a:prstGeom prst="rect">
          <a:avLst/>
        </a:prstGeom>
        <a:noFill/>
      </xdr:spPr>
    </xdr:pic>
    <xdr:clientData fLocksWithSheet="0"/>
  </xdr:oneCellAnchor>
  <xdr:oneCellAnchor>
    <xdr:from>
      <xdr:col>58</xdr:col>
      <xdr:colOff>0</xdr:colOff>
      <xdr:row>40</xdr:row>
      <xdr:rowOff>0</xdr:rowOff>
    </xdr:from>
    <xdr:ext cx="200025" cy="200025"/>
    <xdr:pic>
      <xdr:nvPicPr>
        <xdr:cNvPr id="0" name="image65.png"/>
        <xdr:cNvPicPr preferRelativeResize="0"/>
      </xdr:nvPicPr>
      <xdr:blipFill>
        <a:blip cstate="print" r:embed="rId50"/>
        <a:stretch>
          <a:fillRect/>
        </a:stretch>
      </xdr:blipFill>
      <xdr:spPr>
        <a:prstGeom prst="rect">
          <a:avLst/>
        </a:prstGeom>
        <a:noFill/>
      </xdr:spPr>
    </xdr:pic>
    <xdr:clientData fLocksWithSheet="0"/>
  </xdr:oneCellAnchor>
  <xdr:oneCellAnchor>
    <xdr:from>
      <xdr:col>63</xdr:col>
      <xdr:colOff>0</xdr:colOff>
      <xdr:row>40</xdr:row>
      <xdr:rowOff>0</xdr:rowOff>
    </xdr:from>
    <xdr:ext cx="200025" cy="200025"/>
    <xdr:pic>
      <xdr:nvPicPr>
        <xdr:cNvPr id="0" name="image6.png"/>
        <xdr:cNvPicPr preferRelativeResize="0"/>
      </xdr:nvPicPr>
      <xdr:blipFill>
        <a:blip cstate="print" r:embed="rId67"/>
        <a:stretch>
          <a:fillRect/>
        </a:stretch>
      </xdr:blipFill>
      <xdr:spPr>
        <a:prstGeom prst="rect">
          <a:avLst/>
        </a:prstGeom>
        <a:noFill/>
      </xdr:spPr>
    </xdr:pic>
    <xdr:clientData fLocksWithSheet="0"/>
  </xdr:oneCellAnchor>
  <xdr:oneCellAnchor>
    <xdr:from>
      <xdr:col>38</xdr:col>
      <xdr:colOff>0</xdr:colOff>
      <xdr:row>41</xdr:row>
      <xdr:rowOff>0</xdr:rowOff>
    </xdr:from>
    <xdr:ext cx="200025" cy="200025"/>
    <xdr:pic>
      <xdr:nvPicPr>
        <xdr:cNvPr id="0" name="image65.png"/>
        <xdr:cNvPicPr preferRelativeResize="0"/>
      </xdr:nvPicPr>
      <xdr:blipFill>
        <a:blip cstate="print" r:embed="rId50"/>
        <a:stretch>
          <a:fillRect/>
        </a:stretch>
      </xdr:blipFill>
      <xdr:spPr>
        <a:prstGeom prst="rect">
          <a:avLst/>
        </a:prstGeom>
        <a:noFill/>
      </xdr:spPr>
    </xdr:pic>
    <xdr:clientData fLocksWithSheet="0"/>
  </xdr:oneCellAnchor>
  <xdr:oneCellAnchor>
    <xdr:from>
      <xdr:col>43</xdr:col>
      <xdr:colOff>0</xdr:colOff>
      <xdr:row>41</xdr:row>
      <xdr:rowOff>0</xdr:rowOff>
    </xdr:from>
    <xdr:ext cx="200025" cy="200025"/>
    <xdr:pic>
      <xdr:nvPicPr>
        <xdr:cNvPr id="0" name="image68.png"/>
        <xdr:cNvPicPr preferRelativeResize="0"/>
      </xdr:nvPicPr>
      <xdr:blipFill>
        <a:blip cstate="print" r:embed="rId58"/>
        <a:stretch>
          <a:fillRect/>
        </a:stretch>
      </xdr:blipFill>
      <xdr:spPr>
        <a:prstGeom prst="rect">
          <a:avLst/>
        </a:prstGeom>
        <a:noFill/>
      </xdr:spPr>
    </xdr:pic>
    <xdr:clientData fLocksWithSheet="0"/>
  </xdr:oneCellAnchor>
  <xdr:oneCellAnchor>
    <xdr:from>
      <xdr:col>48</xdr:col>
      <xdr:colOff>0</xdr:colOff>
      <xdr:row>41</xdr:row>
      <xdr:rowOff>0</xdr:rowOff>
    </xdr:from>
    <xdr:ext cx="200025" cy="200025"/>
    <xdr:pic>
      <xdr:nvPicPr>
        <xdr:cNvPr id="0" name="image68.png"/>
        <xdr:cNvPicPr preferRelativeResize="0"/>
      </xdr:nvPicPr>
      <xdr:blipFill>
        <a:blip cstate="print" r:embed="rId58"/>
        <a:stretch>
          <a:fillRect/>
        </a:stretch>
      </xdr:blipFill>
      <xdr:spPr>
        <a:prstGeom prst="rect">
          <a:avLst/>
        </a:prstGeom>
        <a:noFill/>
      </xdr:spPr>
    </xdr:pic>
    <xdr:clientData fLocksWithSheet="0"/>
  </xdr:oneCellAnchor>
  <xdr:oneCellAnchor>
    <xdr:from>
      <xdr:col>53</xdr:col>
      <xdr:colOff>0</xdr:colOff>
      <xdr:row>41</xdr:row>
      <xdr:rowOff>0</xdr:rowOff>
    </xdr:from>
    <xdr:ext cx="209550" cy="200025"/>
    <xdr:pic>
      <xdr:nvPicPr>
        <xdr:cNvPr id="0" name="image76.png"/>
        <xdr:cNvPicPr preferRelativeResize="0"/>
      </xdr:nvPicPr>
      <xdr:blipFill>
        <a:blip cstate="print" r:embed="rId55"/>
        <a:stretch>
          <a:fillRect/>
        </a:stretch>
      </xdr:blipFill>
      <xdr:spPr>
        <a:prstGeom prst="rect">
          <a:avLst/>
        </a:prstGeom>
        <a:noFill/>
      </xdr:spPr>
    </xdr:pic>
    <xdr:clientData fLocksWithSheet="0"/>
  </xdr:oneCellAnchor>
  <xdr:oneCellAnchor>
    <xdr:from>
      <xdr:col>58</xdr:col>
      <xdr:colOff>0</xdr:colOff>
      <xdr:row>41</xdr:row>
      <xdr:rowOff>0</xdr:rowOff>
    </xdr:from>
    <xdr:ext cx="200025" cy="200025"/>
    <xdr:pic>
      <xdr:nvPicPr>
        <xdr:cNvPr id="0" name="image67.png"/>
        <xdr:cNvPicPr preferRelativeResize="0"/>
      </xdr:nvPicPr>
      <xdr:blipFill>
        <a:blip cstate="print" r:embed="rId53"/>
        <a:stretch>
          <a:fillRect/>
        </a:stretch>
      </xdr:blipFill>
      <xdr:spPr>
        <a:prstGeom prst="rect">
          <a:avLst/>
        </a:prstGeom>
        <a:noFill/>
      </xdr:spPr>
    </xdr:pic>
    <xdr:clientData fLocksWithSheet="0"/>
  </xdr:oneCellAnchor>
  <xdr:oneCellAnchor>
    <xdr:from>
      <xdr:col>63</xdr:col>
      <xdr:colOff>0</xdr:colOff>
      <xdr:row>41</xdr:row>
      <xdr:rowOff>0</xdr:rowOff>
    </xdr:from>
    <xdr:ext cx="200025" cy="200025"/>
    <xdr:pic>
      <xdr:nvPicPr>
        <xdr:cNvPr id="0" name="image88.png"/>
        <xdr:cNvPicPr preferRelativeResize="0"/>
      </xdr:nvPicPr>
      <xdr:blipFill>
        <a:blip cstate="print" r:embed="rId68"/>
        <a:stretch>
          <a:fillRect/>
        </a:stretch>
      </xdr:blipFill>
      <xdr:spPr>
        <a:prstGeom prst="rect">
          <a:avLst/>
        </a:prstGeom>
        <a:noFill/>
      </xdr:spPr>
    </xdr:pic>
    <xdr:clientData fLocksWithSheet="0"/>
  </xdr:oneCellAnchor>
  <xdr:oneCellAnchor>
    <xdr:from>
      <xdr:col>38</xdr:col>
      <xdr:colOff>0</xdr:colOff>
      <xdr:row>42</xdr:row>
      <xdr:rowOff>0</xdr:rowOff>
    </xdr:from>
    <xdr:ext cx="200025" cy="200025"/>
    <xdr:pic>
      <xdr:nvPicPr>
        <xdr:cNvPr id="0" name="image67.png"/>
        <xdr:cNvPicPr preferRelativeResize="0"/>
      </xdr:nvPicPr>
      <xdr:blipFill>
        <a:blip cstate="print" r:embed="rId53"/>
        <a:stretch>
          <a:fillRect/>
        </a:stretch>
      </xdr:blipFill>
      <xdr:spPr>
        <a:prstGeom prst="rect">
          <a:avLst/>
        </a:prstGeom>
        <a:noFill/>
      </xdr:spPr>
    </xdr:pic>
    <xdr:clientData fLocksWithSheet="0"/>
  </xdr:oneCellAnchor>
  <xdr:oneCellAnchor>
    <xdr:from>
      <xdr:col>43</xdr:col>
      <xdr:colOff>0</xdr:colOff>
      <xdr:row>42</xdr:row>
      <xdr:rowOff>0</xdr:rowOff>
    </xdr:from>
    <xdr:ext cx="200025" cy="200025"/>
    <xdr:pic>
      <xdr:nvPicPr>
        <xdr:cNvPr id="0" name="image66.png"/>
        <xdr:cNvPicPr preferRelativeResize="0"/>
      </xdr:nvPicPr>
      <xdr:blipFill>
        <a:blip cstate="print" r:embed="rId47"/>
        <a:stretch>
          <a:fillRect/>
        </a:stretch>
      </xdr:blipFill>
      <xdr:spPr>
        <a:prstGeom prst="rect">
          <a:avLst/>
        </a:prstGeom>
        <a:noFill/>
      </xdr:spPr>
    </xdr:pic>
    <xdr:clientData fLocksWithSheet="0"/>
  </xdr:oneCellAnchor>
  <xdr:oneCellAnchor>
    <xdr:from>
      <xdr:col>48</xdr:col>
      <xdr:colOff>0</xdr:colOff>
      <xdr:row>42</xdr:row>
      <xdr:rowOff>0</xdr:rowOff>
    </xdr:from>
    <xdr:ext cx="200025" cy="200025"/>
    <xdr:pic>
      <xdr:nvPicPr>
        <xdr:cNvPr id="0" name="image66.png"/>
        <xdr:cNvPicPr preferRelativeResize="0"/>
      </xdr:nvPicPr>
      <xdr:blipFill>
        <a:blip cstate="print" r:embed="rId47"/>
        <a:stretch>
          <a:fillRect/>
        </a:stretch>
      </xdr:blipFill>
      <xdr:spPr>
        <a:prstGeom prst="rect">
          <a:avLst/>
        </a:prstGeom>
        <a:noFill/>
      </xdr:spPr>
    </xdr:pic>
    <xdr:clientData fLocksWithSheet="0"/>
  </xdr:oneCellAnchor>
  <xdr:oneCellAnchor>
    <xdr:from>
      <xdr:col>53</xdr:col>
      <xdr:colOff>0</xdr:colOff>
      <xdr:row>42</xdr:row>
      <xdr:rowOff>0</xdr:rowOff>
    </xdr:from>
    <xdr:ext cx="200025" cy="200025"/>
    <xdr:pic>
      <xdr:nvPicPr>
        <xdr:cNvPr id="0" name="image68.png"/>
        <xdr:cNvPicPr preferRelativeResize="0"/>
      </xdr:nvPicPr>
      <xdr:blipFill>
        <a:blip cstate="print" r:embed="rId58"/>
        <a:stretch>
          <a:fillRect/>
        </a:stretch>
      </xdr:blipFill>
      <xdr:spPr>
        <a:prstGeom prst="rect">
          <a:avLst/>
        </a:prstGeom>
        <a:noFill/>
      </xdr:spPr>
    </xdr:pic>
    <xdr:clientData fLocksWithSheet="0"/>
  </xdr:oneCellAnchor>
  <xdr:oneCellAnchor>
    <xdr:from>
      <xdr:col>58</xdr:col>
      <xdr:colOff>0</xdr:colOff>
      <xdr:row>42</xdr:row>
      <xdr:rowOff>0</xdr:rowOff>
    </xdr:from>
    <xdr:ext cx="209550" cy="200025"/>
    <xdr:pic>
      <xdr:nvPicPr>
        <xdr:cNvPr id="0" name="image76.png"/>
        <xdr:cNvPicPr preferRelativeResize="0"/>
      </xdr:nvPicPr>
      <xdr:blipFill>
        <a:blip cstate="print" r:embed="rId55"/>
        <a:stretch>
          <a:fillRect/>
        </a:stretch>
      </xdr:blipFill>
      <xdr:spPr>
        <a:prstGeom prst="rect">
          <a:avLst/>
        </a:prstGeom>
        <a:noFill/>
      </xdr:spPr>
    </xdr:pic>
    <xdr:clientData fLocksWithSheet="0"/>
  </xdr:oneCellAnchor>
  <xdr:oneCellAnchor>
    <xdr:from>
      <xdr:col>63</xdr:col>
      <xdr:colOff>0</xdr:colOff>
      <xdr:row>42</xdr:row>
      <xdr:rowOff>0</xdr:rowOff>
    </xdr:from>
    <xdr:ext cx="161925" cy="200025"/>
    <xdr:pic>
      <xdr:nvPicPr>
        <xdr:cNvPr id="0" name="image81.png"/>
        <xdr:cNvPicPr preferRelativeResize="0"/>
      </xdr:nvPicPr>
      <xdr:blipFill>
        <a:blip cstate="print" r:embed="rId69"/>
        <a:stretch>
          <a:fillRect/>
        </a:stretch>
      </xdr:blipFill>
      <xdr:spPr>
        <a:prstGeom prst="rect">
          <a:avLst/>
        </a:prstGeom>
        <a:noFill/>
      </xdr:spPr>
    </xdr:pic>
    <xdr:clientData fLocksWithSheet="0"/>
  </xdr:oneCellAnchor>
  <xdr:oneCellAnchor>
    <xdr:from>
      <xdr:col>38</xdr:col>
      <xdr:colOff>0</xdr:colOff>
      <xdr:row>43</xdr:row>
      <xdr:rowOff>0</xdr:rowOff>
    </xdr:from>
    <xdr:ext cx="209550" cy="200025"/>
    <xdr:pic>
      <xdr:nvPicPr>
        <xdr:cNvPr id="0" name="image76.png"/>
        <xdr:cNvPicPr preferRelativeResize="0"/>
      </xdr:nvPicPr>
      <xdr:blipFill>
        <a:blip cstate="print" r:embed="rId55"/>
        <a:stretch>
          <a:fillRect/>
        </a:stretch>
      </xdr:blipFill>
      <xdr:spPr>
        <a:prstGeom prst="rect">
          <a:avLst/>
        </a:prstGeom>
        <a:noFill/>
      </xdr:spPr>
    </xdr:pic>
    <xdr:clientData fLocksWithSheet="0"/>
  </xdr:oneCellAnchor>
  <xdr:oneCellAnchor>
    <xdr:from>
      <xdr:col>43</xdr:col>
      <xdr:colOff>0</xdr:colOff>
      <xdr:row>43</xdr:row>
      <xdr:rowOff>0</xdr:rowOff>
    </xdr:from>
    <xdr:ext cx="200025" cy="200025"/>
    <xdr:pic>
      <xdr:nvPicPr>
        <xdr:cNvPr id="0" name="image72.png"/>
        <xdr:cNvPicPr preferRelativeResize="0"/>
      </xdr:nvPicPr>
      <xdr:blipFill>
        <a:blip cstate="print" r:embed="rId57"/>
        <a:stretch>
          <a:fillRect/>
        </a:stretch>
      </xdr:blipFill>
      <xdr:spPr>
        <a:prstGeom prst="rect">
          <a:avLst/>
        </a:prstGeom>
        <a:noFill/>
      </xdr:spPr>
    </xdr:pic>
    <xdr:clientData fLocksWithSheet="0"/>
  </xdr:oneCellAnchor>
  <xdr:oneCellAnchor>
    <xdr:from>
      <xdr:col>48</xdr:col>
      <xdr:colOff>0</xdr:colOff>
      <xdr:row>43</xdr:row>
      <xdr:rowOff>0</xdr:rowOff>
    </xdr:from>
    <xdr:ext cx="200025" cy="200025"/>
    <xdr:pic>
      <xdr:nvPicPr>
        <xdr:cNvPr id="0" name="image72.png"/>
        <xdr:cNvPicPr preferRelativeResize="0"/>
      </xdr:nvPicPr>
      <xdr:blipFill>
        <a:blip cstate="print" r:embed="rId57"/>
        <a:stretch>
          <a:fillRect/>
        </a:stretch>
      </xdr:blipFill>
      <xdr:spPr>
        <a:prstGeom prst="rect">
          <a:avLst/>
        </a:prstGeom>
        <a:noFill/>
      </xdr:spPr>
    </xdr:pic>
    <xdr:clientData fLocksWithSheet="0"/>
  </xdr:oneCellAnchor>
  <xdr:oneCellAnchor>
    <xdr:from>
      <xdr:col>53</xdr:col>
      <xdr:colOff>0</xdr:colOff>
      <xdr:row>43</xdr:row>
      <xdr:rowOff>0</xdr:rowOff>
    </xdr:from>
    <xdr:ext cx="200025" cy="200025"/>
    <xdr:pic>
      <xdr:nvPicPr>
        <xdr:cNvPr id="0" name="image66.png"/>
        <xdr:cNvPicPr preferRelativeResize="0"/>
      </xdr:nvPicPr>
      <xdr:blipFill>
        <a:blip cstate="print" r:embed="rId47"/>
        <a:stretch>
          <a:fillRect/>
        </a:stretch>
      </xdr:blipFill>
      <xdr:spPr>
        <a:prstGeom prst="rect">
          <a:avLst/>
        </a:prstGeom>
        <a:noFill/>
      </xdr:spPr>
    </xdr:pic>
    <xdr:clientData fLocksWithSheet="0"/>
  </xdr:oneCellAnchor>
  <xdr:oneCellAnchor>
    <xdr:from>
      <xdr:col>58</xdr:col>
      <xdr:colOff>0</xdr:colOff>
      <xdr:row>43</xdr:row>
      <xdr:rowOff>0</xdr:rowOff>
    </xdr:from>
    <xdr:ext cx="200025" cy="200025"/>
    <xdr:pic>
      <xdr:nvPicPr>
        <xdr:cNvPr id="0" name="image68.png"/>
        <xdr:cNvPicPr preferRelativeResize="0"/>
      </xdr:nvPicPr>
      <xdr:blipFill>
        <a:blip cstate="print" r:embed="rId58"/>
        <a:stretch>
          <a:fillRect/>
        </a:stretch>
      </xdr:blipFill>
      <xdr:spPr>
        <a:prstGeom prst="rect">
          <a:avLst/>
        </a:prstGeom>
        <a:noFill/>
      </xdr:spPr>
    </xdr:pic>
    <xdr:clientData fLocksWithSheet="0"/>
  </xdr:oneCellAnchor>
  <xdr:oneCellAnchor>
    <xdr:from>
      <xdr:col>63</xdr:col>
      <xdr:colOff>0</xdr:colOff>
      <xdr:row>43</xdr:row>
      <xdr:rowOff>0</xdr:rowOff>
    </xdr:from>
    <xdr:ext cx="295275" cy="142875"/>
    <xdr:pic>
      <xdr:nvPicPr>
        <xdr:cNvPr id="0" name="image84.png"/>
        <xdr:cNvPicPr preferRelativeResize="0"/>
      </xdr:nvPicPr>
      <xdr:blipFill>
        <a:blip cstate="print" r:embed="rId71"/>
        <a:stretch>
          <a:fillRect/>
        </a:stretch>
      </xdr:blipFill>
      <xdr:spPr>
        <a:prstGeom prst="rect">
          <a:avLst/>
        </a:prstGeom>
        <a:noFill/>
      </xdr:spPr>
    </xdr:pic>
    <xdr:clientData fLocksWithSheet="0"/>
  </xdr:oneCellAnchor>
  <xdr:oneCellAnchor>
    <xdr:from>
      <xdr:col>38</xdr:col>
      <xdr:colOff>0</xdr:colOff>
      <xdr:row>44</xdr:row>
      <xdr:rowOff>0</xdr:rowOff>
    </xdr:from>
    <xdr:ext cx="200025" cy="200025"/>
    <xdr:pic>
      <xdr:nvPicPr>
        <xdr:cNvPr id="0" name="image68.png"/>
        <xdr:cNvPicPr preferRelativeResize="0"/>
      </xdr:nvPicPr>
      <xdr:blipFill>
        <a:blip cstate="print" r:embed="rId58"/>
        <a:stretch>
          <a:fillRect/>
        </a:stretch>
      </xdr:blipFill>
      <xdr:spPr>
        <a:prstGeom prst="rect">
          <a:avLst/>
        </a:prstGeom>
        <a:noFill/>
      </xdr:spPr>
    </xdr:pic>
    <xdr:clientData fLocksWithSheet="0"/>
  </xdr:oneCellAnchor>
  <xdr:oneCellAnchor>
    <xdr:from>
      <xdr:col>43</xdr:col>
      <xdr:colOff>0</xdr:colOff>
      <xdr:row>44</xdr:row>
      <xdr:rowOff>0</xdr:rowOff>
    </xdr:from>
    <xdr:ext cx="285750" cy="142875"/>
    <xdr:pic>
      <xdr:nvPicPr>
        <xdr:cNvPr id="0" name="image32.png"/>
        <xdr:cNvPicPr preferRelativeResize="0"/>
      </xdr:nvPicPr>
      <xdr:blipFill>
        <a:blip cstate="print" r:embed="rId19"/>
        <a:stretch>
          <a:fillRect/>
        </a:stretch>
      </xdr:blipFill>
      <xdr:spPr>
        <a:prstGeom prst="rect">
          <a:avLst/>
        </a:prstGeom>
        <a:noFill/>
      </xdr:spPr>
    </xdr:pic>
    <xdr:clientData fLocksWithSheet="0"/>
  </xdr:oneCellAnchor>
  <xdr:oneCellAnchor>
    <xdr:from>
      <xdr:col>48</xdr:col>
      <xdr:colOff>0</xdr:colOff>
      <xdr:row>44</xdr:row>
      <xdr:rowOff>0</xdr:rowOff>
    </xdr:from>
    <xdr:ext cx="285750" cy="142875"/>
    <xdr:pic>
      <xdr:nvPicPr>
        <xdr:cNvPr id="0" name="image32.png"/>
        <xdr:cNvPicPr preferRelativeResize="0"/>
      </xdr:nvPicPr>
      <xdr:blipFill>
        <a:blip cstate="print" r:embed="rId19"/>
        <a:stretch>
          <a:fillRect/>
        </a:stretch>
      </xdr:blipFill>
      <xdr:spPr>
        <a:prstGeom prst="rect">
          <a:avLst/>
        </a:prstGeom>
        <a:noFill/>
      </xdr:spPr>
    </xdr:pic>
    <xdr:clientData fLocksWithSheet="0"/>
  </xdr:oneCellAnchor>
  <xdr:oneCellAnchor>
    <xdr:from>
      <xdr:col>53</xdr:col>
      <xdr:colOff>0</xdr:colOff>
      <xdr:row>44</xdr:row>
      <xdr:rowOff>0</xdr:rowOff>
    </xdr:from>
    <xdr:ext cx="200025" cy="200025"/>
    <xdr:pic>
      <xdr:nvPicPr>
        <xdr:cNvPr id="0" name="image72.png"/>
        <xdr:cNvPicPr preferRelativeResize="0"/>
      </xdr:nvPicPr>
      <xdr:blipFill>
        <a:blip cstate="print" r:embed="rId57"/>
        <a:stretch>
          <a:fillRect/>
        </a:stretch>
      </xdr:blipFill>
      <xdr:spPr>
        <a:prstGeom prst="rect">
          <a:avLst/>
        </a:prstGeom>
        <a:noFill/>
      </xdr:spPr>
    </xdr:pic>
    <xdr:clientData fLocksWithSheet="0"/>
  </xdr:oneCellAnchor>
  <xdr:oneCellAnchor>
    <xdr:from>
      <xdr:col>58</xdr:col>
      <xdr:colOff>0</xdr:colOff>
      <xdr:row>44</xdr:row>
      <xdr:rowOff>0</xdr:rowOff>
    </xdr:from>
    <xdr:ext cx="200025" cy="200025"/>
    <xdr:pic>
      <xdr:nvPicPr>
        <xdr:cNvPr id="0" name="image66.png"/>
        <xdr:cNvPicPr preferRelativeResize="0"/>
      </xdr:nvPicPr>
      <xdr:blipFill>
        <a:blip cstate="print" r:embed="rId47"/>
        <a:stretch>
          <a:fillRect/>
        </a:stretch>
      </xdr:blipFill>
      <xdr:spPr>
        <a:prstGeom prst="rect">
          <a:avLst/>
        </a:prstGeom>
        <a:noFill/>
      </xdr:spPr>
    </xdr:pic>
    <xdr:clientData fLocksWithSheet="0"/>
  </xdr:oneCellAnchor>
  <xdr:oneCellAnchor>
    <xdr:from>
      <xdr:col>63</xdr:col>
      <xdr:colOff>0</xdr:colOff>
      <xdr:row>44</xdr:row>
      <xdr:rowOff>0</xdr:rowOff>
    </xdr:from>
    <xdr:ext cx="190500" cy="200025"/>
    <xdr:pic>
      <xdr:nvPicPr>
        <xdr:cNvPr id="0" name="image85.png"/>
        <xdr:cNvPicPr preferRelativeResize="0"/>
      </xdr:nvPicPr>
      <xdr:blipFill>
        <a:blip cstate="print" r:embed="rId73"/>
        <a:stretch>
          <a:fillRect/>
        </a:stretch>
      </xdr:blipFill>
      <xdr:spPr>
        <a:prstGeom prst="rect">
          <a:avLst/>
        </a:prstGeom>
        <a:noFill/>
      </xdr:spPr>
    </xdr:pic>
    <xdr:clientData fLocksWithSheet="0"/>
  </xdr:oneCellAnchor>
  <xdr:oneCellAnchor>
    <xdr:from>
      <xdr:col>38</xdr:col>
      <xdr:colOff>0</xdr:colOff>
      <xdr:row>45</xdr:row>
      <xdr:rowOff>0</xdr:rowOff>
    </xdr:from>
    <xdr:ext cx="200025" cy="200025"/>
    <xdr:pic>
      <xdr:nvPicPr>
        <xdr:cNvPr id="0" name="image66.png"/>
        <xdr:cNvPicPr preferRelativeResize="0"/>
      </xdr:nvPicPr>
      <xdr:blipFill>
        <a:blip cstate="print" r:embed="rId47"/>
        <a:stretch>
          <a:fillRect/>
        </a:stretch>
      </xdr:blipFill>
      <xdr:spPr>
        <a:prstGeom prst="rect">
          <a:avLst/>
        </a:prstGeom>
        <a:noFill/>
      </xdr:spPr>
    </xdr:pic>
    <xdr:clientData fLocksWithSheet="0"/>
  </xdr:oneCellAnchor>
  <xdr:oneCellAnchor>
    <xdr:from>
      <xdr:col>43</xdr:col>
      <xdr:colOff>0</xdr:colOff>
      <xdr:row>45</xdr:row>
      <xdr:rowOff>0</xdr:rowOff>
    </xdr:from>
    <xdr:ext cx="285750" cy="152400"/>
    <xdr:pic>
      <xdr:nvPicPr>
        <xdr:cNvPr id="0" name="image45.png"/>
        <xdr:cNvPicPr preferRelativeResize="0"/>
      </xdr:nvPicPr>
      <xdr:blipFill>
        <a:blip cstate="print" r:embed="rId22"/>
        <a:stretch>
          <a:fillRect/>
        </a:stretch>
      </xdr:blipFill>
      <xdr:spPr>
        <a:prstGeom prst="rect">
          <a:avLst/>
        </a:prstGeom>
        <a:noFill/>
      </xdr:spPr>
    </xdr:pic>
    <xdr:clientData fLocksWithSheet="0"/>
  </xdr:oneCellAnchor>
  <xdr:oneCellAnchor>
    <xdr:from>
      <xdr:col>48</xdr:col>
      <xdr:colOff>0</xdr:colOff>
      <xdr:row>45</xdr:row>
      <xdr:rowOff>0</xdr:rowOff>
    </xdr:from>
    <xdr:ext cx="285750" cy="152400"/>
    <xdr:pic>
      <xdr:nvPicPr>
        <xdr:cNvPr id="0" name="image45.png"/>
        <xdr:cNvPicPr preferRelativeResize="0"/>
      </xdr:nvPicPr>
      <xdr:blipFill>
        <a:blip cstate="print" r:embed="rId22"/>
        <a:stretch>
          <a:fillRect/>
        </a:stretch>
      </xdr:blipFill>
      <xdr:spPr>
        <a:prstGeom prst="rect">
          <a:avLst/>
        </a:prstGeom>
        <a:noFill/>
      </xdr:spPr>
    </xdr:pic>
    <xdr:clientData fLocksWithSheet="0"/>
  </xdr:oneCellAnchor>
  <xdr:oneCellAnchor>
    <xdr:from>
      <xdr:col>53</xdr:col>
      <xdr:colOff>0</xdr:colOff>
      <xdr:row>45</xdr:row>
      <xdr:rowOff>0</xdr:rowOff>
    </xdr:from>
    <xdr:ext cx="285750" cy="142875"/>
    <xdr:pic>
      <xdr:nvPicPr>
        <xdr:cNvPr id="0" name="image32.png"/>
        <xdr:cNvPicPr preferRelativeResize="0"/>
      </xdr:nvPicPr>
      <xdr:blipFill>
        <a:blip cstate="print" r:embed="rId19"/>
        <a:stretch>
          <a:fillRect/>
        </a:stretch>
      </xdr:blipFill>
      <xdr:spPr>
        <a:prstGeom prst="rect">
          <a:avLst/>
        </a:prstGeom>
        <a:noFill/>
      </xdr:spPr>
    </xdr:pic>
    <xdr:clientData fLocksWithSheet="0"/>
  </xdr:oneCellAnchor>
  <xdr:oneCellAnchor>
    <xdr:from>
      <xdr:col>58</xdr:col>
      <xdr:colOff>0</xdr:colOff>
      <xdr:row>45</xdr:row>
      <xdr:rowOff>0</xdr:rowOff>
    </xdr:from>
    <xdr:ext cx="200025" cy="200025"/>
    <xdr:pic>
      <xdr:nvPicPr>
        <xdr:cNvPr id="0" name="image72.png"/>
        <xdr:cNvPicPr preferRelativeResize="0"/>
      </xdr:nvPicPr>
      <xdr:blipFill>
        <a:blip cstate="print" r:embed="rId57"/>
        <a:stretch>
          <a:fillRect/>
        </a:stretch>
      </xdr:blipFill>
      <xdr:spPr>
        <a:prstGeom prst="rect">
          <a:avLst/>
        </a:prstGeom>
        <a:noFill/>
      </xdr:spPr>
    </xdr:pic>
    <xdr:clientData fLocksWithSheet="0"/>
  </xdr:oneCellAnchor>
  <xdr:oneCellAnchor>
    <xdr:from>
      <xdr:col>63</xdr:col>
      <xdr:colOff>0</xdr:colOff>
      <xdr:row>45</xdr:row>
      <xdr:rowOff>0</xdr:rowOff>
    </xdr:from>
    <xdr:ext cx="200025" cy="200025"/>
    <xdr:pic>
      <xdr:nvPicPr>
        <xdr:cNvPr id="0" name="image90.png"/>
        <xdr:cNvPicPr preferRelativeResize="0"/>
      </xdr:nvPicPr>
      <xdr:blipFill>
        <a:blip cstate="print" r:embed="rId75"/>
        <a:stretch>
          <a:fillRect/>
        </a:stretch>
      </xdr:blipFill>
      <xdr:spPr>
        <a:prstGeom prst="rect">
          <a:avLst/>
        </a:prstGeom>
        <a:noFill/>
      </xdr:spPr>
    </xdr:pic>
    <xdr:clientData fLocksWithSheet="0"/>
  </xdr:oneCellAnchor>
  <xdr:oneCellAnchor>
    <xdr:from>
      <xdr:col>38</xdr:col>
      <xdr:colOff>0</xdr:colOff>
      <xdr:row>46</xdr:row>
      <xdr:rowOff>0</xdr:rowOff>
    </xdr:from>
    <xdr:ext cx="200025" cy="200025"/>
    <xdr:pic>
      <xdr:nvPicPr>
        <xdr:cNvPr id="0" name="image72.png"/>
        <xdr:cNvPicPr preferRelativeResize="0"/>
      </xdr:nvPicPr>
      <xdr:blipFill>
        <a:blip cstate="print" r:embed="rId57"/>
        <a:stretch>
          <a:fillRect/>
        </a:stretch>
      </xdr:blipFill>
      <xdr:spPr>
        <a:prstGeom prst="rect">
          <a:avLst/>
        </a:prstGeom>
        <a:noFill/>
      </xdr:spPr>
    </xdr:pic>
    <xdr:clientData fLocksWithSheet="0"/>
  </xdr:oneCellAnchor>
  <xdr:oneCellAnchor>
    <xdr:from>
      <xdr:col>43</xdr:col>
      <xdr:colOff>0</xdr:colOff>
      <xdr:row>46</xdr:row>
      <xdr:rowOff>0</xdr:rowOff>
    </xdr:from>
    <xdr:ext cx="161925" cy="200025"/>
    <xdr:pic>
      <xdr:nvPicPr>
        <xdr:cNvPr id="0" name="image74.png"/>
        <xdr:cNvPicPr preferRelativeResize="0"/>
      </xdr:nvPicPr>
      <xdr:blipFill>
        <a:blip cstate="print" r:embed="rId51"/>
        <a:stretch>
          <a:fillRect/>
        </a:stretch>
      </xdr:blipFill>
      <xdr:spPr>
        <a:prstGeom prst="rect">
          <a:avLst/>
        </a:prstGeom>
        <a:noFill/>
      </xdr:spPr>
    </xdr:pic>
    <xdr:clientData fLocksWithSheet="0"/>
  </xdr:oneCellAnchor>
  <xdr:oneCellAnchor>
    <xdr:from>
      <xdr:col>48</xdr:col>
      <xdr:colOff>0</xdr:colOff>
      <xdr:row>46</xdr:row>
      <xdr:rowOff>0</xdr:rowOff>
    </xdr:from>
    <xdr:ext cx="161925" cy="200025"/>
    <xdr:pic>
      <xdr:nvPicPr>
        <xdr:cNvPr id="0" name="image74.png"/>
        <xdr:cNvPicPr preferRelativeResize="0"/>
      </xdr:nvPicPr>
      <xdr:blipFill>
        <a:blip cstate="print" r:embed="rId51"/>
        <a:stretch>
          <a:fillRect/>
        </a:stretch>
      </xdr:blipFill>
      <xdr:spPr>
        <a:prstGeom prst="rect">
          <a:avLst/>
        </a:prstGeom>
        <a:noFill/>
      </xdr:spPr>
    </xdr:pic>
    <xdr:clientData fLocksWithSheet="0"/>
  </xdr:oneCellAnchor>
  <xdr:oneCellAnchor>
    <xdr:from>
      <xdr:col>53</xdr:col>
      <xdr:colOff>0</xdr:colOff>
      <xdr:row>46</xdr:row>
      <xdr:rowOff>0</xdr:rowOff>
    </xdr:from>
    <xdr:ext cx="285750" cy="152400"/>
    <xdr:pic>
      <xdr:nvPicPr>
        <xdr:cNvPr id="0" name="image45.png"/>
        <xdr:cNvPicPr preferRelativeResize="0"/>
      </xdr:nvPicPr>
      <xdr:blipFill>
        <a:blip cstate="print" r:embed="rId22"/>
        <a:stretch>
          <a:fillRect/>
        </a:stretch>
      </xdr:blipFill>
      <xdr:spPr>
        <a:prstGeom prst="rect">
          <a:avLst/>
        </a:prstGeom>
        <a:noFill/>
      </xdr:spPr>
    </xdr:pic>
    <xdr:clientData fLocksWithSheet="0"/>
  </xdr:oneCellAnchor>
  <xdr:oneCellAnchor>
    <xdr:from>
      <xdr:col>58</xdr:col>
      <xdr:colOff>0</xdr:colOff>
      <xdr:row>46</xdr:row>
      <xdr:rowOff>0</xdr:rowOff>
    </xdr:from>
    <xdr:ext cx="285750" cy="142875"/>
    <xdr:pic>
      <xdr:nvPicPr>
        <xdr:cNvPr id="0" name="image32.png"/>
        <xdr:cNvPicPr preferRelativeResize="0"/>
      </xdr:nvPicPr>
      <xdr:blipFill>
        <a:blip cstate="print" r:embed="rId19"/>
        <a:stretch>
          <a:fillRect/>
        </a:stretch>
      </xdr:blipFill>
      <xdr:spPr>
        <a:prstGeom prst="rect">
          <a:avLst/>
        </a:prstGeom>
        <a:noFill/>
      </xdr:spPr>
    </xdr:pic>
    <xdr:clientData fLocksWithSheet="0"/>
  </xdr:oneCellAnchor>
  <xdr:oneCellAnchor>
    <xdr:from>
      <xdr:col>63</xdr:col>
      <xdr:colOff>0</xdr:colOff>
      <xdr:row>46</xdr:row>
      <xdr:rowOff>0</xdr:rowOff>
    </xdr:from>
    <xdr:ext cx="200025" cy="200025"/>
    <xdr:pic>
      <xdr:nvPicPr>
        <xdr:cNvPr id="0" name="image56.png"/>
        <xdr:cNvPicPr preferRelativeResize="0"/>
      </xdr:nvPicPr>
      <xdr:blipFill>
        <a:blip cstate="print" r:embed="rId36"/>
        <a:stretch>
          <a:fillRect/>
        </a:stretch>
      </xdr:blipFill>
      <xdr:spPr>
        <a:prstGeom prst="rect">
          <a:avLst/>
        </a:prstGeom>
        <a:noFill/>
      </xdr:spPr>
    </xdr:pic>
    <xdr:clientData fLocksWithSheet="0"/>
  </xdr:oneCellAnchor>
  <xdr:oneCellAnchor>
    <xdr:from>
      <xdr:col>38</xdr:col>
      <xdr:colOff>0</xdr:colOff>
      <xdr:row>47</xdr:row>
      <xdr:rowOff>0</xdr:rowOff>
    </xdr:from>
    <xdr:ext cx="285750" cy="142875"/>
    <xdr:pic>
      <xdr:nvPicPr>
        <xdr:cNvPr id="0" name="image32.png"/>
        <xdr:cNvPicPr preferRelativeResize="0"/>
      </xdr:nvPicPr>
      <xdr:blipFill>
        <a:blip cstate="print" r:embed="rId19"/>
        <a:stretch>
          <a:fillRect/>
        </a:stretch>
      </xdr:blipFill>
      <xdr:spPr>
        <a:prstGeom prst="rect">
          <a:avLst/>
        </a:prstGeom>
        <a:noFill/>
      </xdr:spPr>
    </xdr:pic>
    <xdr:clientData fLocksWithSheet="0"/>
  </xdr:oneCellAnchor>
  <xdr:oneCellAnchor>
    <xdr:from>
      <xdr:col>43</xdr:col>
      <xdr:colOff>0</xdr:colOff>
      <xdr:row>47</xdr:row>
      <xdr:rowOff>0</xdr:rowOff>
    </xdr:from>
    <xdr:ext cx="200025" cy="200025"/>
    <xdr:pic>
      <xdr:nvPicPr>
        <xdr:cNvPr id="0" name="image77.png"/>
        <xdr:cNvPicPr preferRelativeResize="0"/>
      </xdr:nvPicPr>
      <xdr:blipFill>
        <a:blip cstate="print" r:embed="rId62"/>
        <a:stretch>
          <a:fillRect/>
        </a:stretch>
      </xdr:blipFill>
      <xdr:spPr>
        <a:prstGeom prst="rect">
          <a:avLst/>
        </a:prstGeom>
        <a:noFill/>
      </xdr:spPr>
    </xdr:pic>
    <xdr:clientData fLocksWithSheet="0"/>
  </xdr:oneCellAnchor>
  <xdr:oneCellAnchor>
    <xdr:from>
      <xdr:col>48</xdr:col>
      <xdr:colOff>0</xdr:colOff>
      <xdr:row>47</xdr:row>
      <xdr:rowOff>0</xdr:rowOff>
    </xdr:from>
    <xdr:ext cx="200025" cy="200025"/>
    <xdr:pic>
      <xdr:nvPicPr>
        <xdr:cNvPr id="0" name="image77.png"/>
        <xdr:cNvPicPr preferRelativeResize="0"/>
      </xdr:nvPicPr>
      <xdr:blipFill>
        <a:blip cstate="print" r:embed="rId62"/>
        <a:stretch>
          <a:fillRect/>
        </a:stretch>
      </xdr:blipFill>
      <xdr:spPr>
        <a:prstGeom prst="rect">
          <a:avLst/>
        </a:prstGeom>
        <a:noFill/>
      </xdr:spPr>
    </xdr:pic>
    <xdr:clientData fLocksWithSheet="0"/>
  </xdr:oneCellAnchor>
  <xdr:oneCellAnchor>
    <xdr:from>
      <xdr:col>53</xdr:col>
      <xdr:colOff>0</xdr:colOff>
      <xdr:row>47</xdr:row>
      <xdr:rowOff>0</xdr:rowOff>
    </xdr:from>
    <xdr:ext cx="161925" cy="200025"/>
    <xdr:pic>
      <xdr:nvPicPr>
        <xdr:cNvPr id="0" name="image74.png"/>
        <xdr:cNvPicPr preferRelativeResize="0"/>
      </xdr:nvPicPr>
      <xdr:blipFill>
        <a:blip cstate="print" r:embed="rId51"/>
        <a:stretch>
          <a:fillRect/>
        </a:stretch>
      </xdr:blipFill>
      <xdr:spPr>
        <a:prstGeom prst="rect">
          <a:avLst/>
        </a:prstGeom>
        <a:noFill/>
      </xdr:spPr>
    </xdr:pic>
    <xdr:clientData fLocksWithSheet="0"/>
  </xdr:oneCellAnchor>
  <xdr:oneCellAnchor>
    <xdr:from>
      <xdr:col>58</xdr:col>
      <xdr:colOff>0</xdr:colOff>
      <xdr:row>47</xdr:row>
      <xdr:rowOff>0</xdr:rowOff>
    </xdr:from>
    <xdr:ext cx="285750" cy="152400"/>
    <xdr:pic>
      <xdr:nvPicPr>
        <xdr:cNvPr id="0" name="image45.png"/>
        <xdr:cNvPicPr preferRelativeResize="0"/>
      </xdr:nvPicPr>
      <xdr:blipFill>
        <a:blip cstate="print" r:embed="rId22"/>
        <a:stretch>
          <a:fillRect/>
        </a:stretch>
      </xdr:blipFill>
      <xdr:spPr>
        <a:prstGeom prst="rect">
          <a:avLst/>
        </a:prstGeom>
        <a:noFill/>
      </xdr:spPr>
    </xdr:pic>
    <xdr:clientData fLocksWithSheet="0"/>
  </xdr:oneCellAnchor>
  <xdr:oneCellAnchor>
    <xdr:from>
      <xdr:col>63</xdr:col>
      <xdr:colOff>0</xdr:colOff>
      <xdr:row>47</xdr:row>
      <xdr:rowOff>0</xdr:rowOff>
    </xdr:from>
    <xdr:ext cx="200025" cy="200025"/>
    <xdr:pic>
      <xdr:nvPicPr>
        <xdr:cNvPr id="0" name="image82.png"/>
        <xdr:cNvPicPr preferRelativeResize="0"/>
      </xdr:nvPicPr>
      <xdr:blipFill>
        <a:blip cstate="print" r:embed="rId70"/>
        <a:stretch>
          <a:fillRect/>
        </a:stretch>
      </xdr:blipFill>
      <xdr:spPr>
        <a:prstGeom prst="rect">
          <a:avLst/>
        </a:prstGeom>
        <a:noFill/>
      </xdr:spPr>
    </xdr:pic>
    <xdr:clientData fLocksWithSheet="0"/>
  </xdr:oneCellAnchor>
  <xdr:oneCellAnchor>
    <xdr:from>
      <xdr:col>38</xdr:col>
      <xdr:colOff>0</xdr:colOff>
      <xdr:row>48</xdr:row>
      <xdr:rowOff>0</xdr:rowOff>
    </xdr:from>
    <xdr:ext cx="285750" cy="152400"/>
    <xdr:pic>
      <xdr:nvPicPr>
        <xdr:cNvPr id="0" name="image45.png"/>
        <xdr:cNvPicPr preferRelativeResize="0"/>
      </xdr:nvPicPr>
      <xdr:blipFill>
        <a:blip cstate="print" r:embed="rId22"/>
        <a:stretch>
          <a:fillRect/>
        </a:stretch>
      </xdr:blipFill>
      <xdr:spPr>
        <a:prstGeom prst="rect">
          <a:avLst/>
        </a:prstGeom>
        <a:noFill/>
      </xdr:spPr>
    </xdr:pic>
    <xdr:clientData fLocksWithSheet="0"/>
  </xdr:oneCellAnchor>
  <xdr:oneCellAnchor>
    <xdr:from>
      <xdr:col>43</xdr:col>
      <xdr:colOff>0</xdr:colOff>
      <xdr:row>48</xdr:row>
      <xdr:rowOff>0</xdr:rowOff>
    </xdr:from>
    <xdr:ext cx="200025" cy="200025"/>
    <xdr:pic>
      <xdr:nvPicPr>
        <xdr:cNvPr id="0" name="image62.png"/>
        <xdr:cNvPicPr preferRelativeResize="0"/>
      </xdr:nvPicPr>
      <xdr:blipFill>
        <a:blip cstate="print" r:embed="rId32"/>
        <a:stretch>
          <a:fillRect/>
        </a:stretch>
      </xdr:blipFill>
      <xdr:spPr>
        <a:prstGeom prst="rect">
          <a:avLst/>
        </a:prstGeom>
        <a:noFill/>
      </xdr:spPr>
    </xdr:pic>
    <xdr:clientData fLocksWithSheet="0"/>
  </xdr:oneCellAnchor>
  <xdr:oneCellAnchor>
    <xdr:from>
      <xdr:col>48</xdr:col>
      <xdr:colOff>0</xdr:colOff>
      <xdr:row>48</xdr:row>
      <xdr:rowOff>0</xdr:rowOff>
    </xdr:from>
    <xdr:ext cx="200025" cy="200025"/>
    <xdr:pic>
      <xdr:nvPicPr>
        <xdr:cNvPr id="0" name="image62.png"/>
        <xdr:cNvPicPr preferRelativeResize="0"/>
      </xdr:nvPicPr>
      <xdr:blipFill>
        <a:blip cstate="print" r:embed="rId32"/>
        <a:stretch>
          <a:fillRect/>
        </a:stretch>
      </xdr:blipFill>
      <xdr:spPr>
        <a:prstGeom prst="rect">
          <a:avLst/>
        </a:prstGeom>
        <a:noFill/>
      </xdr:spPr>
    </xdr:pic>
    <xdr:clientData fLocksWithSheet="0"/>
  </xdr:oneCellAnchor>
  <xdr:oneCellAnchor>
    <xdr:from>
      <xdr:col>53</xdr:col>
      <xdr:colOff>0</xdr:colOff>
      <xdr:row>48</xdr:row>
      <xdr:rowOff>0</xdr:rowOff>
    </xdr:from>
    <xdr:ext cx="200025" cy="200025"/>
    <xdr:pic>
      <xdr:nvPicPr>
        <xdr:cNvPr id="0" name="image77.png"/>
        <xdr:cNvPicPr preferRelativeResize="0"/>
      </xdr:nvPicPr>
      <xdr:blipFill>
        <a:blip cstate="print" r:embed="rId62"/>
        <a:stretch>
          <a:fillRect/>
        </a:stretch>
      </xdr:blipFill>
      <xdr:spPr>
        <a:prstGeom prst="rect">
          <a:avLst/>
        </a:prstGeom>
        <a:noFill/>
      </xdr:spPr>
    </xdr:pic>
    <xdr:clientData fLocksWithSheet="0"/>
  </xdr:oneCellAnchor>
  <xdr:oneCellAnchor>
    <xdr:from>
      <xdr:col>58</xdr:col>
      <xdr:colOff>0</xdr:colOff>
      <xdr:row>48</xdr:row>
      <xdr:rowOff>0</xdr:rowOff>
    </xdr:from>
    <xdr:ext cx="161925" cy="200025"/>
    <xdr:pic>
      <xdr:nvPicPr>
        <xdr:cNvPr id="0" name="image74.png"/>
        <xdr:cNvPicPr preferRelativeResize="0"/>
      </xdr:nvPicPr>
      <xdr:blipFill>
        <a:blip cstate="print" r:embed="rId51"/>
        <a:stretch>
          <a:fillRect/>
        </a:stretch>
      </xdr:blipFill>
      <xdr:spPr>
        <a:prstGeom prst="rect">
          <a:avLst/>
        </a:prstGeom>
        <a:noFill/>
      </xdr:spPr>
    </xdr:pic>
    <xdr:clientData fLocksWithSheet="0"/>
  </xdr:oneCellAnchor>
  <xdr:oneCellAnchor>
    <xdr:from>
      <xdr:col>63</xdr:col>
      <xdr:colOff>0</xdr:colOff>
      <xdr:row>48</xdr:row>
      <xdr:rowOff>0</xdr:rowOff>
    </xdr:from>
    <xdr:ext cx="161925" cy="200025"/>
    <xdr:pic>
      <xdr:nvPicPr>
        <xdr:cNvPr id="0" name="image58.png"/>
        <xdr:cNvPicPr preferRelativeResize="0"/>
      </xdr:nvPicPr>
      <xdr:blipFill>
        <a:blip cstate="print" r:embed="rId38"/>
        <a:stretch>
          <a:fillRect/>
        </a:stretch>
      </xdr:blipFill>
      <xdr:spPr>
        <a:prstGeom prst="rect">
          <a:avLst/>
        </a:prstGeom>
        <a:noFill/>
      </xdr:spPr>
    </xdr:pic>
    <xdr:clientData fLocksWithSheet="0"/>
  </xdr:oneCellAnchor>
  <xdr:oneCellAnchor>
    <xdr:from>
      <xdr:col>38</xdr:col>
      <xdr:colOff>0</xdr:colOff>
      <xdr:row>49</xdr:row>
      <xdr:rowOff>0</xdr:rowOff>
    </xdr:from>
    <xdr:ext cx="161925" cy="200025"/>
    <xdr:pic>
      <xdr:nvPicPr>
        <xdr:cNvPr id="0" name="image74.png"/>
        <xdr:cNvPicPr preferRelativeResize="0"/>
      </xdr:nvPicPr>
      <xdr:blipFill>
        <a:blip cstate="print" r:embed="rId51"/>
        <a:stretch>
          <a:fillRect/>
        </a:stretch>
      </xdr:blipFill>
      <xdr:spPr>
        <a:prstGeom prst="rect">
          <a:avLst/>
        </a:prstGeom>
        <a:noFill/>
      </xdr:spPr>
    </xdr:pic>
    <xdr:clientData fLocksWithSheet="0"/>
  </xdr:oneCellAnchor>
  <xdr:oneCellAnchor>
    <xdr:from>
      <xdr:col>43</xdr:col>
      <xdr:colOff>0</xdr:colOff>
      <xdr:row>49</xdr:row>
      <xdr:rowOff>0</xdr:rowOff>
    </xdr:from>
    <xdr:ext cx="171450" cy="200025"/>
    <xdr:pic>
      <xdr:nvPicPr>
        <xdr:cNvPr id="0" name="image71.png"/>
        <xdr:cNvPicPr preferRelativeResize="0"/>
      </xdr:nvPicPr>
      <xdr:blipFill>
        <a:blip cstate="print" r:embed="rId60"/>
        <a:stretch>
          <a:fillRect/>
        </a:stretch>
      </xdr:blipFill>
      <xdr:spPr>
        <a:prstGeom prst="rect">
          <a:avLst/>
        </a:prstGeom>
        <a:noFill/>
      </xdr:spPr>
    </xdr:pic>
    <xdr:clientData fLocksWithSheet="0"/>
  </xdr:oneCellAnchor>
  <xdr:oneCellAnchor>
    <xdr:from>
      <xdr:col>48</xdr:col>
      <xdr:colOff>0</xdr:colOff>
      <xdr:row>49</xdr:row>
      <xdr:rowOff>0</xdr:rowOff>
    </xdr:from>
    <xdr:ext cx="171450" cy="200025"/>
    <xdr:pic>
      <xdr:nvPicPr>
        <xdr:cNvPr id="0" name="image71.png"/>
        <xdr:cNvPicPr preferRelativeResize="0"/>
      </xdr:nvPicPr>
      <xdr:blipFill>
        <a:blip cstate="print" r:embed="rId60"/>
        <a:stretch>
          <a:fillRect/>
        </a:stretch>
      </xdr:blipFill>
      <xdr:spPr>
        <a:prstGeom prst="rect">
          <a:avLst/>
        </a:prstGeom>
        <a:noFill/>
      </xdr:spPr>
    </xdr:pic>
    <xdr:clientData fLocksWithSheet="0"/>
  </xdr:oneCellAnchor>
  <xdr:oneCellAnchor>
    <xdr:from>
      <xdr:col>53</xdr:col>
      <xdr:colOff>0</xdr:colOff>
      <xdr:row>49</xdr:row>
      <xdr:rowOff>0</xdr:rowOff>
    </xdr:from>
    <xdr:ext cx="200025" cy="200025"/>
    <xdr:pic>
      <xdr:nvPicPr>
        <xdr:cNvPr id="0" name="image62.png"/>
        <xdr:cNvPicPr preferRelativeResize="0"/>
      </xdr:nvPicPr>
      <xdr:blipFill>
        <a:blip cstate="print" r:embed="rId32"/>
        <a:stretch>
          <a:fillRect/>
        </a:stretch>
      </xdr:blipFill>
      <xdr:spPr>
        <a:prstGeom prst="rect">
          <a:avLst/>
        </a:prstGeom>
        <a:noFill/>
      </xdr:spPr>
    </xdr:pic>
    <xdr:clientData fLocksWithSheet="0"/>
  </xdr:oneCellAnchor>
  <xdr:oneCellAnchor>
    <xdr:from>
      <xdr:col>58</xdr:col>
      <xdr:colOff>0</xdr:colOff>
      <xdr:row>49</xdr:row>
      <xdr:rowOff>0</xdr:rowOff>
    </xdr:from>
    <xdr:ext cx="200025" cy="200025"/>
    <xdr:pic>
      <xdr:nvPicPr>
        <xdr:cNvPr id="0" name="image77.png"/>
        <xdr:cNvPicPr preferRelativeResize="0"/>
      </xdr:nvPicPr>
      <xdr:blipFill>
        <a:blip cstate="print" r:embed="rId62"/>
        <a:stretch>
          <a:fillRect/>
        </a:stretch>
      </xdr:blipFill>
      <xdr:spPr>
        <a:prstGeom prst="rect">
          <a:avLst/>
        </a:prstGeom>
        <a:noFill/>
      </xdr:spPr>
    </xdr:pic>
    <xdr:clientData fLocksWithSheet="0"/>
  </xdr:oneCellAnchor>
  <xdr:oneCellAnchor>
    <xdr:from>
      <xdr:col>63</xdr:col>
      <xdr:colOff>0</xdr:colOff>
      <xdr:row>49</xdr:row>
      <xdr:rowOff>0</xdr:rowOff>
    </xdr:from>
    <xdr:ext cx="200025" cy="200025"/>
    <xdr:pic>
      <xdr:nvPicPr>
        <xdr:cNvPr id="0" name="image89.png"/>
        <xdr:cNvPicPr preferRelativeResize="0"/>
      </xdr:nvPicPr>
      <xdr:blipFill>
        <a:blip cstate="print" r:embed="rId76"/>
        <a:stretch>
          <a:fillRect/>
        </a:stretch>
      </xdr:blipFill>
      <xdr:spPr>
        <a:prstGeom prst="rect">
          <a:avLst/>
        </a:prstGeom>
        <a:noFill/>
      </xdr:spPr>
    </xdr:pic>
    <xdr:clientData fLocksWithSheet="0"/>
  </xdr:oneCellAnchor>
  <xdr:oneCellAnchor>
    <xdr:from>
      <xdr:col>38</xdr:col>
      <xdr:colOff>0</xdr:colOff>
      <xdr:row>50</xdr:row>
      <xdr:rowOff>0</xdr:rowOff>
    </xdr:from>
    <xdr:ext cx="200025" cy="200025"/>
    <xdr:pic>
      <xdr:nvPicPr>
        <xdr:cNvPr id="0" name="image77.png"/>
        <xdr:cNvPicPr preferRelativeResize="0"/>
      </xdr:nvPicPr>
      <xdr:blipFill>
        <a:blip cstate="print" r:embed="rId62"/>
        <a:stretch>
          <a:fillRect/>
        </a:stretch>
      </xdr:blipFill>
      <xdr:spPr>
        <a:prstGeom prst="rect">
          <a:avLst/>
        </a:prstGeom>
        <a:noFill/>
      </xdr:spPr>
    </xdr:pic>
    <xdr:clientData fLocksWithSheet="0"/>
  </xdr:oneCellAnchor>
  <xdr:oneCellAnchor>
    <xdr:from>
      <xdr:col>43</xdr:col>
      <xdr:colOff>0</xdr:colOff>
      <xdr:row>50</xdr:row>
      <xdr:rowOff>0</xdr:rowOff>
    </xdr:from>
    <xdr:ext cx="161925" cy="200025"/>
    <xdr:pic>
      <xdr:nvPicPr>
        <xdr:cNvPr id="0" name="image80.png"/>
        <xdr:cNvPicPr preferRelativeResize="0"/>
      </xdr:nvPicPr>
      <xdr:blipFill>
        <a:blip cstate="print" r:embed="rId54"/>
        <a:stretch>
          <a:fillRect/>
        </a:stretch>
      </xdr:blipFill>
      <xdr:spPr>
        <a:prstGeom prst="rect">
          <a:avLst/>
        </a:prstGeom>
        <a:noFill/>
      </xdr:spPr>
    </xdr:pic>
    <xdr:clientData fLocksWithSheet="0"/>
  </xdr:oneCellAnchor>
  <xdr:oneCellAnchor>
    <xdr:from>
      <xdr:col>48</xdr:col>
      <xdr:colOff>0</xdr:colOff>
      <xdr:row>50</xdr:row>
      <xdr:rowOff>0</xdr:rowOff>
    </xdr:from>
    <xdr:ext cx="161925" cy="200025"/>
    <xdr:pic>
      <xdr:nvPicPr>
        <xdr:cNvPr id="0" name="image80.png"/>
        <xdr:cNvPicPr preferRelativeResize="0"/>
      </xdr:nvPicPr>
      <xdr:blipFill>
        <a:blip cstate="print" r:embed="rId54"/>
        <a:stretch>
          <a:fillRect/>
        </a:stretch>
      </xdr:blipFill>
      <xdr:spPr>
        <a:prstGeom prst="rect">
          <a:avLst/>
        </a:prstGeom>
        <a:noFill/>
      </xdr:spPr>
    </xdr:pic>
    <xdr:clientData fLocksWithSheet="0"/>
  </xdr:oneCellAnchor>
  <xdr:oneCellAnchor>
    <xdr:from>
      <xdr:col>53</xdr:col>
      <xdr:colOff>0</xdr:colOff>
      <xdr:row>50</xdr:row>
      <xdr:rowOff>0</xdr:rowOff>
    </xdr:from>
    <xdr:ext cx="171450" cy="200025"/>
    <xdr:pic>
      <xdr:nvPicPr>
        <xdr:cNvPr id="0" name="image71.png"/>
        <xdr:cNvPicPr preferRelativeResize="0"/>
      </xdr:nvPicPr>
      <xdr:blipFill>
        <a:blip cstate="print" r:embed="rId60"/>
        <a:stretch>
          <a:fillRect/>
        </a:stretch>
      </xdr:blipFill>
      <xdr:spPr>
        <a:prstGeom prst="rect">
          <a:avLst/>
        </a:prstGeom>
        <a:noFill/>
      </xdr:spPr>
    </xdr:pic>
    <xdr:clientData fLocksWithSheet="0"/>
  </xdr:oneCellAnchor>
  <xdr:oneCellAnchor>
    <xdr:from>
      <xdr:col>58</xdr:col>
      <xdr:colOff>0</xdr:colOff>
      <xdr:row>50</xdr:row>
      <xdr:rowOff>0</xdr:rowOff>
    </xdr:from>
    <xdr:ext cx="200025" cy="200025"/>
    <xdr:pic>
      <xdr:nvPicPr>
        <xdr:cNvPr id="0" name="image62.png"/>
        <xdr:cNvPicPr preferRelativeResize="0"/>
      </xdr:nvPicPr>
      <xdr:blipFill>
        <a:blip cstate="print" r:embed="rId32"/>
        <a:stretch>
          <a:fillRect/>
        </a:stretch>
      </xdr:blipFill>
      <xdr:spPr>
        <a:prstGeom prst="rect">
          <a:avLst/>
        </a:prstGeom>
        <a:noFill/>
      </xdr:spPr>
    </xdr:pic>
    <xdr:clientData fLocksWithSheet="0"/>
  </xdr:oneCellAnchor>
  <xdr:oneCellAnchor>
    <xdr:from>
      <xdr:col>63</xdr:col>
      <xdr:colOff>0</xdr:colOff>
      <xdr:row>50</xdr:row>
      <xdr:rowOff>0</xdr:rowOff>
    </xdr:from>
    <xdr:ext cx="190500" cy="200025"/>
    <xdr:pic>
      <xdr:nvPicPr>
        <xdr:cNvPr id="0" name="image86.png"/>
        <xdr:cNvPicPr preferRelativeResize="0"/>
      </xdr:nvPicPr>
      <xdr:blipFill>
        <a:blip cstate="print" r:embed="rId77"/>
        <a:stretch>
          <a:fillRect/>
        </a:stretch>
      </xdr:blipFill>
      <xdr:spPr>
        <a:prstGeom prst="rect">
          <a:avLst/>
        </a:prstGeom>
        <a:noFill/>
      </xdr:spPr>
    </xdr:pic>
    <xdr:clientData fLocksWithSheet="0"/>
  </xdr:oneCellAnchor>
  <xdr:oneCellAnchor>
    <xdr:from>
      <xdr:col>38</xdr:col>
      <xdr:colOff>0</xdr:colOff>
      <xdr:row>51</xdr:row>
      <xdr:rowOff>0</xdr:rowOff>
    </xdr:from>
    <xdr:ext cx="200025" cy="200025"/>
    <xdr:pic>
      <xdr:nvPicPr>
        <xdr:cNvPr id="0" name="image62.png"/>
        <xdr:cNvPicPr preferRelativeResize="0"/>
      </xdr:nvPicPr>
      <xdr:blipFill>
        <a:blip cstate="print" r:embed="rId32"/>
        <a:stretch>
          <a:fillRect/>
        </a:stretch>
      </xdr:blipFill>
      <xdr:spPr>
        <a:prstGeom prst="rect">
          <a:avLst/>
        </a:prstGeom>
        <a:noFill/>
      </xdr:spPr>
    </xdr:pic>
    <xdr:clientData fLocksWithSheet="0"/>
  </xdr:oneCellAnchor>
  <xdr:oneCellAnchor>
    <xdr:from>
      <xdr:col>43</xdr:col>
      <xdr:colOff>0</xdr:colOff>
      <xdr:row>51</xdr:row>
      <xdr:rowOff>0</xdr:rowOff>
    </xdr:from>
    <xdr:ext cx="200025" cy="200025"/>
    <xdr:pic>
      <xdr:nvPicPr>
        <xdr:cNvPr id="0" name="image53.png"/>
        <xdr:cNvPicPr preferRelativeResize="0"/>
      </xdr:nvPicPr>
      <xdr:blipFill>
        <a:blip cstate="print" r:embed="rId37"/>
        <a:stretch>
          <a:fillRect/>
        </a:stretch>
      </xdr:blipFill>
      <xdr:spPr>
        <a:prstGeom prst="rect">
          <a:avLst/>
        </a:prstGeom>
        <a:noFill/>
      </xdr:spPr>
    </xdr:pic>
    <xdr:clientData fLocksWithSheet="0"/>
  </xdr:oneCellAnchor>
  <xdr:oneCellAnchor>
    <xdr:from>
      <xdr:col>48</xdr:col>
      <xdr:colOff>0</xdr:colOff>
      <xdr:row>51</xdr:row>
      <xdr:rowOff>0</xdr:rowOff>
    </xdr:from>
    <xdr:ext cx="200025" cy="200025"/>
    <xdr:pic>
      <xdr:nvPicPr>
        <xdr:cNvPr id="0" name="image53.png"/>
        <xdr:cNvPicPr preferRelativeResize="0"/>
      </xdr:nvPicPr>
      <xdr:blipFill>
        <a:blip cstate="print" r:embed="rId37"/>
        <a:stretch>
          <a:fillRect/>
        </a:stretch>
      </xdr:blipFill>
      <xdr:spPr>
        <a:prstGeom prst="rect">
          <a:avLst/>
        </a:prstGeom>
        <a:noFill/>
      </xdr:spPr>
    </xdr:pic>
    <xdr:clientData fLocksWithSheet="0"/>
  </xdr:oneCellAnchor>
  <xdr:oneCellAnchor>
    <xdr:from>
      <xdr:col>53</xdr:col>
      <xdr:colOff>0</xdr:colOff>
      <xdr:row>51</xdr:row>
      <xdr:rowOff>0</xdr:rowOff>
    </xdr:from>
    <xdr:ext cx="161925" cy="200025"/>
    <xdr:pic>
      <xdr:nvPicPr>
        <xdr:cNvPr id="0" name="image80.png"/>
        <xdr:cNvPicPr preferRelativeResize="0"/>
      </xdr:nvPicPr>
      <xdr:blipFill>
        <a:blip cstate="print" r:embed="rId54"/>
        <a:stretch>
          <a:fillRect/>
        </a:stretch>
      </xdr:blipFill>
      <xdr:spPr>
        <a:prstGeom prst="rect">
          <a:avLst/>
        </a:prstGeom>
        <a:noFill/>
      </xdr:spPr>
    </xdr:pic>
    <xdr:clientData fLocksWithSheet="0"/>
  </xdr:oneCellAnchor>
  <xdr:oneCellAnchor>
    <xdr:from>
      <xdr:col>58</xdr:col>
      <xdr:colOff>0</xdr:colOff>
      <xdr:row>51</xdr:row>
      <xdr:rowOff>0</xdr:rowOff>
    </xdr:from>
    <xdr:ext cx="171450" cy="200025"/>
    <xdr:pic>
      <xdr:nvPicPr>
        <xdr:cNvPr id="0" name="image71.png"/>
        <xdr:cNvPicPr preferRelativeResize="0"/>
      </xdr:nvPicPr>
      <xdr:blipFill>
        <a:blip cstate="print" r:embed="rId60"/>
        <a:stretch>
          <a:fillRect/>
        </a:stretch>
      </xdr:blipFill>
      <xdr:spPr>
        <a:prstGeom prst="rect">
          <a:avLst/>
        </a:prstGeom>
        <a:noFill/>
      </xdr:spPr>
    </xdr:pic>
    <xdr:clientData fLocksWithSheet="0"/>
  </xdr:oneCellAnchor>
  <xdr:oneCellAnchor>
    <xdr:from>
      <xdr:col>63</xdr:col>
      <xdr:colOff>0</xdr:colOff>
      <xdr:row>51</xdr:row>
      <xdr:rowOff>0</xdr:rowOff>
    </xdr:from>
    <xdr:ext cx="295275" cy="142875"/>
    <xdr:pic>
      <xdr:nvPicPr>
        <xdr:cNvPr id="0" name="image47.png"/>
        <xdr:cNvPicPr preferRelativeResize="0"/>
      </xdr:nvPicPr>
      <xdr:blipFill>
        <a:blip cstate="print" r:embed="rId41"/>
        <a:stretch>
          <a:fillRect/>
        </a:stretch>
      </xdr:blipFill>
      <xdr:spPr>
        <a:prstGeom prst="rect">
          <a:avLst/>
        </a:prstGeom>
        <a:noFill/>
      </xdr:spPr>
    </xdr:pic>
    <xdr:clientData fLocksWithSheet="0"/>
  </xdr:oneCellAnchor>
  <xdr:oneCellAnchor>
    <xdr:from>
      <xdr:col>38</xdr:col>
      <xdr:colOff>0</xdr:colOff>
      <xdr:row>52</xdr:row>
      <xdr:rowOff>0</xdr:rowOff>
    </xdr:from>
    <xdr:ext cx="171450" cy="200025"/>
    <xdr:pic>
      <xdr:nvPicPr>
        <xdr:cNvPr id="0" name="image71.png"/>
        <xdr:cNvPicPr preferRelativeResize="0"/>
      </xdr:nvPicPr>
      <xdr:blipFill>
        <a:blip cstate="print" r:embed="rId60"/>
        <a:stretch>
          <a:fillRect/>
        </a:stretch>
      </xdr:blipFill>
      <xdr:spPr>
        <a:prstGeom prst="rect">
          <a:avLst/>
        </a:prstGeom>
        <a:noFill/>
      </xdr:spPr>
    </xdr:pic>
    <xdr:clientData fLocksWithSheet="0"/>
  </xdr:oneCellAnchor>
  <xdr:oneCellAnchor>
    <xdr:from>
      <xdr:col>43</xdr:col>
      <xdr:colOff>0</xdr:colOff>
      <xdr:row>52</xdr:row>
      <xdr:rowOff>0</xdr:rowOff>
    </xdr:from>
    <xdr:ext cx="200025" cy="200025"/>
    <xdr:pic>
      <xdr:nvPicPr>
        <xdr:cNvPr id="0" name="image79.png"/>
        <xdr:cNvPicPr preferRelativeResize="0"/>
      </xdr:nvPicPr>
      <xdr:blipFill>
        <a:blip cstate="print" r:embed="rId61"/>
        <a:stretch>
          <a:fillRect/>
        </a:stretch>
      </xdr:blipFill>
      <xdr:spPr>
        <a:prstGeom prst="rect">
          <a:avLst/>
        </a:prstGeom>
        <a:noFill/>
      </xdr:spPr>
    </xdr:pic>
    <xdr:clientData fLocksWithSheet="0"/>
  </xdr:oneCellAnchor>
  <xdr:oneCellAnchor>
    <xdr:from>
      <xdr:col>48</xdr:col>
      <xdr:colOff>0</xdr:colOff>
      <xdr:row>52</xdr:row>
      <xdr:rowOff>0</xdr:rowOff>
    </xdr:from>
    <xdr:ext cx="200025" cy="200025"/>
    <xdr:pic>
      <xdr:nvPicPr>
        <xdr:cNvPr id="0" name="image79.png"/>
        <xdr:cNvPicPr preferRelativeResize="0"/>
      </xdr:nvPicPr>
      <xdr:blipFill>
        <a:blip cstate="print" r:embed="rId61"/>
        <a:stretch>
          <a:fillRect/>
        </a:stretch>
      </xdr:blipFill>
      <xdr:spPr>
        <a:prstGeom prst="rect">
          <a:avLst/>
        </a:prstGeom>
        <a:noFill/>
      </xdr:spPr>
    </xdr:pic>
    <xdr:clientData fLocksWithSheet="0"/>
  </xdr:oneCellAnchor>
  <xdr:oneCellAnchor>
    <xdr:from>
      <xdr:col>53</xdr:col>
      <xdr:colOff>0</xdr:colOff>
      <xdr:row>52</xdr:row>
      <xdr:rowOff>0</xdr:rowOff>
    </xdr:from>
    <xdr:ext cx="200025" cy="200025"/>
    <xdr:pic>
      <xdr:nvPicPr>
        <xdr:cNvPr id="0" name="image53.png"/>
        <xdr:cNvPicPr preferRelativeResize="0"/>
      </xdr:nvPicPr>
      <xdr:blipFill>
        <a:blip cstate="print" r:embed="rId37"/>
        <a:stretch>
          <a:fillRect/>
        </a:stretch>
      </xdr:blipFill>
      <xdr:spPr>
        <a:prstGeom prst="rect">
          <a:avLst/>
        </a:prstGeom>
        <a:noFill/>
      </xdr:spPr>
    </xdr:pic>
    <xdr:clientData fLocksWithSheet="0"/>
  </xdr:oneCellAnchor>
  <xdr:oneCellAnchor>
    <xdr:from>
      <xdr:col>58</xdr:col>
      <xdr:colOff>0</xdr:colOff>
      <xdr:row>52</xdr:row>
      <xdr:rowOff>0</xdr:rowOff>
    </xdr:from>
    <xdr:ext cx="161925" cy="200025"/>
    <xdr:pic>
      <xdr:nvPicPr>
        <xdr:cNvPr id="0" name="image80.png"/>
        <xdr:cNvPicPr preferRelativeResize="0"/>
      </xdr:nvPicPr>
      <xdr:blipFill>
        <a:blip cstate="print" r:embed="rId54"/>
        <a:stretch>
          <a:fillRect/>
        </a:stretch>
      </xdr:blipFill>
      <xdr:spPr>
        <a:prstGeom prst="rect">
          <a:avLst/>
        </a:prstGeom>
        <a:noFill/>
      </xdr:spPr>
    </xdr:pic>
    <xdr:clientData fLocksWithSheet="0"/>
  </xdr:oneCellAnchor>
  <xdr:oneCellAnchor>
    <xdr:from>
      <xdr:col>38</xdr:col>
      <xdr:colOff>0</xdr:colOff>
      <xdr:row>53</xdr:row>
      <xdr:rowOff>0</xdr:rowOff>
    </xdr:from>
    <xdr:ext cx="161925" cy="200025"/>
    <xdr:pic>
      <xdr:nvPicPr>
        <xdr:cNvPr id="0" name="image80.png"/>
        <xdr:cNvPicPr preferRelativeResize="0"/>
      </xdr:nvPicPr>
      <xdr:blipFill>
        <a:blip cstate="print" r:embed="rId54"/>
        <a:stretch>
          <a:fillRect/>
        </a:stretch>
      </xdr:blipFill>
      <xdr:spPr>
        <a:prstGeom prst="rect">
          <a:avLst/>
        </a:prstGeom>
        <a:noFill/>
      </xdr:spPr>
    </xdr:pic>
    <xdr:clientData fLocksWithSheet="0"/>
  </xdr:oneCellAnchor>
  <xdr:oneCellAnchor>
    <xdr:from>
      <xdr:col>43</xdr:col>
      <xdr:colOff>0</xdr:colOff>
      <xdr:row>53</xdr:row>
      <xdr:rowOff>0</xdr:rowOff>
    </xdr:from>
    <xdr:ext cx="200025" cy="200025"/>
    <xdr:pic>
      <xdr:nvPicPr>
        <xdr:cNvPr id="0" name="image69.png"/>
        <xdr:cNvPicPr preferRelativeResize="0"/>
      </xdr:nvPicPr>
      <xdr:blipFill>
        <a:blip cstate="print" r:embed="rId56"/>
        <a:stretch>
          <a:fillRect/>
        </a:stretch>
      </xdr:blipFill>
      <xdr:spPr>
        <a:prstGeom prst="rect">
          <a:avLst/>
        </a:prstGeom>
        <a:noFill/>
      </xdr:spPr>
    </xdr:pic>
    <xdr:clientData fLocksWithSheet="0"/>
  </xdr:oneCellAnchor>
  <xdr:oneCellAnchor>
    <xdr:from>
      <xdr:col>48</xdr:col>
      <xdr:colOff>0</xdr:colOff>
      <xdr:row>53</xdr:row>
      <xdr:rowOff>0</xdr:rowOff>
    </xdr:from>
    <xdr:ext cx="200025" cy="200025"/>
    <xdr:pic>
      <xdr:nvPicPr>
        <xdr:cNvPr id="0" name="image69.png"/>
        <xdr:cNvPicPr preferRelativeResize="0"/>
      </xdr:nvPicPr>
      <xdr:blipFill>
        <a:blip cstate="print" r:embed="rId56"/>
        <a:stretch>
          <a:fillRect/>
        </a:stretch>
      </xdr:blipFill>
      <xdr:spPr>
        <a:prstGeom prst="rect">
          <a:avLst/>
        </a:prstGeom>
        <a:noFill/>
      </xdr:spPr>
    </xdr:pic>
    <xdr:clientData fLocksWithSheet="0"/>
  </xdr:oneCellAnchor>
  <xdr:oneCellAnchor>
    <xdr:from>
      <xdr:col>53</xdr:col>
      <xdr:colOff>0</xdr:colOff>
      <xdr:row>53</xdr:row>
      <xdr:rowOff>0</xdr:rowOff>
    </xdr:from>
    <xdr:ext cx="200025" cy="200025"/>
    <xdr:pic>
      <xdr:nvPicPr>
        <xdr:cNvPr id="0" name="image79.png"/>
        <xdr:cNvPicPr preferRelativeResize="0"/>
      </xdr:nvPicPr>
      <xdr:blipFill>
        <a:blip cstate="print" r:embed="rId61"/>
        <a:stretch>
          <a:fillRect/>
        </a:stretch>
      </xdr:blipFill>
      <xdr:spPr>
        <a:prstGeom prst="rect">
          <a:avLst/>
        </a:prstGeom>
        <a:noFill/>
      </xdr:spPr>
    </xdr:pic>
    <xdr:clientData fLocksWithSheet="0"/>
  </xdr:oneCellAnchor>
  <xdr:oneCellAnchor>
    <xdr:from>
      <xdr:col>58</xdr:col>
      <xdr:colOff>0</xdr:colOff>
      <xdr:row>53</xdr:row>
      <xdr:rowOff>0</xdr:rowOff>
    </xdr:from>
    <xdr:ext cx="200025" cy="200025"/>
    <xdr:pic>
      <xdr:nvPicPr>
        <xdr:cNvPr id="0" name="image53.png"/>
        <xdr:cNvPicPr preferRelativeResize="0"/>
      </xdr:nvPicPr>
      <xdr:blipFill>
        <a:blip cstate="print" r:embed="rId37"/>
        <a:stretch>
          <a:fillRect/>
        </a:stretch>
      </xdr:blipFill>
      <xdr:spPr>
        <a:prstGeom prst="rect">
          <a:avLst/>
        </a:prstGeom>
        <a:noFill/>
      </xdr:spPr>
    </xdr:pic>
    <xdr:clientData fLocksWithSheet="0"/>
  </xdr:oneCellAnchor>
  <xdr:oneCellAnchor>
    <xdr:from>
      <xdr:col>38</xdr:col>
      <xdr:colOff>0</xdr:colOff>
      <xdr:row>54</xdr:row>
      <xdr:rowOff>0</xdr:rowOff>
    </xdr:from>
    <xdr:ext cx="200025" cy="200025"/>
    <xdr:pic>
      <xdr:nvPicPr>
        <xdr:cNvPr id="0" name="image53.png"/>
        <xdr:cNvPicPr preferRelativeResize="0"/>
      </xdr:nvPicPr>
      <xdr:blipFill>
        <a:blip cstate="print" r:embed="rId37"/>
        <a:stretch>
          <a:fillRect/>
        </a:stretch>
      </xdr:blipFill>
      <xdr:spPr>
        <a:prstGeom prst="rect">
          <a:avLst/>
        </a:prstGeom>
        <a:noFill/>
      </xdr:spPr>
    </xdr:pic>
    <xdr:clientData fLocksWithSheet="0"/>
  </xdr:oneCellAnchor>
  <xdr:oneCellAnchor>
    <xdr:from>
      <xdr:col>43</xdr:col>
      <xdr:colOff>0</xdr:colOff>
      <xdr:row>54</xdr:row>
      <xdr:rowOff>0</xdr:rowOff>
    </xdr:from>
    <xdr:ext cx="200025" cy="200025"/>
    <xdr:pic>
      <xdr:nvPicPr>
        <xdr:cNvPr id="0" name="image73.png"/>
        <xdr:cNvPicPr preferRelativeResize="0"/>
      </xdr:nvPicPr>
      <xdr:blipFill>
        <a:blip cstate="print" r:embed="rId59"/>
        <a:stretch>
          <a:fillRect/>
        </a:stretch>
      </xdr:blipFill>
      <xdr:spPr>
        <a:prstGeom prst="rect">
          <a:avLst/>
        </a:prstGeom>
        <a:noFill/>
      </xdr:spPr>
    </xdr:pic>
    <xdr:clientData fLocksWithSheet="0"/>
  </xdr:oneCellAnchor>
  <xdr:oneCellAnchor>
    <xdr:from>
      <xdr:col>48</xdr:col>
      <xdr:colOff>0</xdr:colOff>
      <xdr:row>54</xdr:row>
      <xdr:rowOff>0</xdr:rowOff>
    </xdr:from>
    <xdr:ext cx="200025" cy="200025"/>
    <xdr:pic>
      <xdr:nvPicPr>
        <xdr:cNvPr id="0" name="image73.png"/>
        <xdr:cNvPicPr preferRelativeResize="0"/>
      </xdr:nvPicPr>
      <xdr:blipFill>
        <a:blip cstate="print" r:embed="rId59"/>
        <a:stretch>
          <a:fillRect/>
        </a:stretch>
      </xdr:blipFill>
      <xdr:spPr>
        <a:prstGeom prst="rect">
          <a:avLst/>
        </a:prstGeom>
        <a:noFill/>
      </xdr:spPr>
    </xdr:pic>
    <xdr:clientData fLocksWithSheet="0"/>
  </xdr:oneCellAnchor>
  <xdr:oneCellAnchor>
    <xdr:from>
      <xdr:col>53</xdr:col>
      <xdr:colOff>0</xdr:colOff>
      <xdr:row>54</xdr:row>
      <xdr:rowOff>0</xdr:rowOff>
    </xdr:from>
    <xdr:ext cx="200025" cy="200025"/>
    <xdr:pic>
      <xdr:nvPicPr>
        <xdr:cNvPr id="0" name="image69.png"/>
        <xdr:cNvPicPr preferRelativeResize="0"/>
      </xdr:nvPicPr>
      <xdr:blipFill>
        <a:blip cstate="print" r:embed="rId56"/>
        <a:stretch>
          <a:fillRect/>
        </a:stretch>
      </xdr:blipFill>
      <xdr:spPr>
        <a:prstGeom prst="rect">
          <a:avLst/>
        </a:prstGeom>
        <a:noFill/>
      </xdr:spPr>
    </xdr:pic>
    <xdr:clientData fLocksWithSheet="0"/>
  </xdr:oneCellAnchor>
  <xdr:oneCellAnchor>
    <xdr:from>
      <xdr:col>58</xdr:col>
      <xdr:colOff>0</xdr:colOff>
      <xdr:row>54</xdr:row>
      <xdr:rowOff>0</xdr:rowOff>
    </xdr:from>
    <xdr:ext cx="200025" cy="200025"/>
    <xdr:pic>
      <xdr:nvPicPr>
        <xdr:cNvPr id="0" name="image79.png"/>
        <xdr:cNvPicPr preferRelativeResize="0"/>
      </xdr:nvPicPr>
      <xdr:blipFill>
        <a:blip cstate="print" r:embed="rId61"/>
        <a:stretch>
          <a:fillRect/>
        </a:stretch>
      </xdr:blipFill>
      <xdr:spPr>
        <a:prstGeom prst="rect">
          <a:avLst/>
        </a:prstGeom>
        <a:noFill/>
      </xdr:spPr>
    </xdr:pic>
    <xdr:clientData fLocksWithSheet="0"/>
  </xdr:oneCellAnchor>
  <xdr:oneCellAnchor>
    <xdr:from>
      <xdr:col>38</xdr:col>
      <xdr:colOff>0</xdr:colOff>
      <xdr:row>55</xdr:row>
      <xdr:rowOff>0</xdr:rowOff>
    </xdr:from>
    <xdr:ext cx="200025" cy="200025"/>
    <xdr:pic>
      <xdr:nvPicPr>
        <xdr:cNvPr id="0" name="image79.png"/>
        <xdr:cNvPicPr preferRelativeResize="0"/>
      </xdr:nvPicPr>
      <xdr:blipFill>
        <a:blip cstate="print" r:embed="rId61"/>
        <a:stretch>
          <a:fillRect/>
        </a:stretch>
      </xdr:blipFill>
      <xdr:spPr>
        <a:prstGeom prst="rect">
          <a:avLst/>
        </a:prstGeom>
        <a:noFill/>
      </xdr:spPr>
    </xdr:pic>
    <xdr:clientData fLocksWithSheet="0"/>
  </xdr:oneCellAnchor>
  <xdr:oneCellAnchor>
    <xdr:from>
      <xdr:col>43</xdr:col>
      <xdr:colOff>0</xdr:colOff>
      <xdr:row>55</xdr:row>
      <xdr:rowOff>0</xdr:rowOff>
    </xdr:from>
    <xdr:ext cx="200025" cy="200025"/>
    <xdr:pic>
      <xdr:nvPicPr>
        <xdr:cNvPr id="0" name="image40.png"/>
        <xdr:cNvPicPr preferRelativeResize="0"/>
      </xdr:nvPicPr>
      <xdr:blipFill>
        <a:blip cstate="print" r:embed="rId27"/>
        <a:stretch>
          <a:fillRect/>
        </a:stretch>
      </xdr:blipFill>
      <xdr:spPr>
        <a:prstGeom prst="rect">
          <a:avLst/>
        </a:prstGeom>
        <a:noFill/>
      </xdr:spPr>
    </xdr:pic>
    <xdr:clientData fLocksWithSheet="0"/>
  </xdr:oneCellAnchor>
  <xdr:oneCellAnchor>
    <xdr:from>
      <xdr:col>48</xdr:col>
      <xdr:colOff>0</xdr:colOff>
      <xdr:row>55</xdr:row>
      <xdr:rowOff>0</xdr:rowOff>
    </xdr:from>
    <xdr:ext cx="200025" cy="200025"/>
    <xdr:pic>
      <xdr:nvPicPr>
        <xdr:cNvPr id="0" name="image40.png"/>
        <xdr:cNvPicPr preferRelativeResize="0"/>
      </xdr:nvPicPr>
      <xdr:blipFill>
        <a:blip cstate="print" r:embed="rId27"/>
        <a:stretch>
          <a:fillRect/>
        </a:stretch>
      </xdr:blipFill>
      <xdr:spPr>
        <a:prstGeom prst="rect">
          <a:avLst/>
        </a:prstGeom>
        <a:noFill/>
      </xdr:spPr>
    </xdr:pic>
    <xdr:clientData fLocksWithSheet="0"/>
  </xdr:oneCellAnchor>
  <xdr:oneCellAnchor>
    <xdr:from>
      <xdr:col>53</xdr:col>
      <xdr:colOff>0</xdr:colOff>
      <xdr:row>55</xdr:row>
      <xdr:rowOff>0</xdr:rowOff>
    </xdr:from>
    <xdr:ext cx="200025" cy="200025"/>
    <xdr:pic>
      <xdr:nvPicPr>
        <xdr:cNvPr id="0" name="image73.png"/>
        <xdr:cNvPicPr preferRelativeResize="0"/>
      </xdr:nvPicPr>
      <xdr:blipFill>
        <a:blip cstate="print" r:embed="rId59"/>
        <a:stretch>
          <a:fillRect/>
        </a:stretch>
      </xdr:blipFill>
      <xdr:spPr>
        <a:prstGeom prst="rect">
          <a:avLst/>
        </a:prstGeom>
        <a:noFill/>
      </xdr:spPr>
    </xdr:pic>
    <xdr:clientData fLocksWithSheet="0"/>
  </xdr:oneCellAnchor>
  <xdr:oneCellAnchor>
    <xdr:from>
      <xdr:col>58</xdr:col>
      <xdr:colOff>0</xdr:colOff>
      <xdr:row>55</xdr:row>
      <xdr:rowOff>0</xdr:rowOff>
    </xdr:from>
    <xdr:ext cx="200025" cy="200025"/>
    <xdr:pic>
      <xdr:nvPicPr>
        <xdr:cNvPr id="0" name="image69.png"/>
        <xdr:cNvPicPr preferRelativeResize="0"/>
      </xdr:nvPicPr>
      <xdr:blipFill>
        <a:blip cstate="print" r:embed="rId56"/>
        <a:stretch>
          <a:fillRect/>
        </a:stretch>
      </xdr:blipFill>
      <xdr:spPr>
        <a:prstGeom prst="rect">
          <a:avLst/>
        </a:prstGeom>
        <a:noFill/>
      </xdr:spPr>
    </xdr:pic>
    <xdr:clientData fLocksWithSheet="0"/>
  </xdr:oneCellAnchor>
  <xdr:oneCellAnchor>
    <xdr:from>
      <xdr:col>38</xdr:col>
      <xdr:colOff>0</xdr:colOff>
      <xdr:row>56</xdr:row>
      <xdr:rowOff>0</xdr:rowOff>
    </xdr:from>
    <xdr:ext cx="200025" cy="200025"/>
    <xdr:pic>
      <xdr:nvPicPr>
        <xdr:cNvPr id="0" name="image69.png"/>
        <xdr:cNvPicPr preferRelativeResize="0"/>
      </xdr:nvPicPr>
      <xdr:blipFill>
        <a:blip cstate="print" r:embed="rId56"/>
        <a:stretch>
          <a:fillRect/>
        </a:stretch>
      </xdr:blipFill>
      <xdr:spPr>
        <a:prstGeom prst="rect">
          <a:avLst/>
        </a:prstGeom>
        <a:noFill/>
      </xdr:spPr>
    </xdr:pic>
    <xdr:clientData fLocksWithSheet="0"/>
  </xdr:oneCellAnchor>
  <xdr:oneCellAnchor>
    <xdr:from>
      <xdr:col>43</xdr:col>
      <xdr:colOff>0</xdr:colOff>
      <xdr:row>56</xdr:row>
      <xdr:rowOff>0</xdr:rowOff>
    </xdr:from>
    <xdr:ext cx="200025" cy="200025"/>
    <xdr:pic>
      <xdr:nvPicPr>
        <xdr:cNvPr id="0" name="image2.png"/>
        <xdr:cNvPicPr preferRelativeResize="0"/>
      </xdr:nvPicPr>
      <xdr:blipFill>
        <a:blip cstate="print" r:embed="rId72"/>
        <a:stretch>
          <a:fillRect/>
        </a:stretch>
      </xdr:blipFill>
      <xdr:spPr>
        <a:prstGeom prst="rect">
          <a:avLst/>
        </a:prstGeom>
        <a:noFill/>
      </xdr:spPr>
    </xdr:pic>
    <xdr:clientData fLocksWithSheet="0"/>
  </xdr:oneCellAnchor>
  <xdr:oneCellAnchor>
    <xdr:from>
      <xdr:col>48</xdr:col>
      <xdr:colOff>0</xdr:colOff>
      <xdr:row>56</xdr:row>
      <xdr:rowOff>0</xdr:rowOff>
    </xdr:from>
    <xdr:ext cx="200025" cy="200025"/>
    <xdr:pic>
      <xdr:nvPicPr>
        <xdr:cNvPr id="0" name="image2.png"/>
        <xdr:cNvPicPr preferRelativeResize="0"/>
      </xdr:nvPicPr>
      <xdr:blipFill>
        <a:blip cstate="print" r:embed="rId72"/>
        <a:stretch>
          <a:fillRect/>
        </a:stretch>
      </xdr:blipFill>
      <xdr:spPr>
        <a:prstGeom prst="rect">
          <a:avLst/>
        </a:prstGeom>
        <a:noFill/>
      </xdr:spPr>
    </xdr:pic>
    <xdr:clientData fLocksWithSheet="0"/>
  </xdr:oneCellAnchor>
  <xdr:oneCellAnchor>
    <xdr:from>
      <xdr:col>53</xdr:col>
      <xdr:colOff>0</xdr:colOff>
      <xdr:row>56</xdr:row>
      <xdr:rowOff>0</xdr:rowOff>
    </xdr:from>
    <xdr:ext cx="200025" cy="200025"/>
    <xdr:pic>
      <xdr:nvPicPr>
        <xdr:cNvPr id="0" name="image40.png"/>
        <xdr:cNvPicPr preferRelativeResize="0"/>
      </xdr:nvPicPr>
      <xdr:blipFill>
        <a:blip cstate="print" r:embed="rId27"/>
        <a:stretch>
          <a:fillRect/>
        </a:stretch>
      </xdr:blipFill>
      <xdr:spPr>
        <a:prstGeom prst="rect">
          <a:avLst/>
        </a:prstGeom>
        <a:noFill/>
      </xdr:spPr>
    </xdr:pic>
    <xdr:clientData fLocksWithSheet="0"/>
  </xdr:oneCellAnchor>
  <xdr:oneCellAnchor>
    <xdr:from>
      <xdr:col>58</xdr:col>
      <xdr:colOff>0</xdr:colOff>
      <xdr:row>56</xdr:row>
      <xdr:rowOff>0</xdr:rowOff>
    </xdr:from>
    <xdr:ext cx="200025" cy="200025"/>
    <xdr:pic>
      <xdr:nvPicPr>
        <xdr:cNvPr id="0" name="image73.png"/>
        <xdr:cNvPicPr preferRelativeResize="0"/>
      </xdr:nvPicPr>
      <xdr:blipFill>
        <a:blip cstate="print" r:embed="rId59"/>
        <a:stretch>
          <a:fillRect/>
        </a:stretch>
      </xdr:blipFill>
      <xdr:spPr>
        <a:prstGeom prst="rect">
          <a:avLst/>
        </a:prstGeom>
        <a:noFill/>
      </xdr:spPr>
    </xdr:pic>
    <xdr:clientData fLocksWithSheet="0"/>
  </xdr:oneCellAnchor>
  <xdr:oneCellAnchor>
    <xdr:from>
      <xdr:col>38</xdr:col>
      <xdr:colOff>0</xdr:colOff>
      <xdr:row>57</xdr:row>
      <xdr:rowOff>0</xdr:rowOff>
    </xdr:from>
    <xdr:ext cx="200025" cy="200025"/>
    <xdr:pic>
      <xdr:nvPicPr>
        <xdr:cNvPr id="0" name="image73.png"/>
        <xdr:cNvPicPr preferRelativeResize="0"/>
      </xdr:nvPicPr>
      <xdr:blipFill>
        <a:blip cstate="print" r:embed="rId59"/>
        <a:stretch>
          <a:fillRect/>
        </a:stretch>
      </xdr:blipFill>
      <xdr:spPr>
        <a:prstGeom prst="rect">
          <a:avLst/>
        </a:prstGeom>
        <a:noFill/>
      </xdr:spPr>
    </xdr:pic>
    <xdr:clientData fLocksWithSheet="0"/>
  </xdr:oneCellAnchor>
  <xdr:oneCellAnchor>
    <xdr:from>
      <xdr:col>43</xdr:col>
      <xdr:colOff>0</xdr:colOff>
      <xdr:row>57</xdr:row>
      <xdr:rowOff>0</xdr:rowOff>
    </xdr:from>
    <xdr:ext cx="200025" cy="200025"/>
    <xdr:pic>
      <xdr:nvPicPr>
        <xdr:cNvPr id="0" name="image70.png"/>
        <xdr:cNvPicPr preferRelativeResize="0"/>
      </xdr:nvPicPr>
      <xdr:blipFill>
        <a:blip cstate="print" r:embed="rId63"/>
        <a:stretch>
          <a:fillRect/>
        </a:stretch>
      </xdr:blipFill>
      <xdr:spPr>
        <a:prstGeom prst="rect">
          <a:avLst/>
        </a:prstGeom>
        <a:noFill/>
      </xdr:spPr>
    </xdr:pic>
    <xdr:clientData fLocksWithSheet="0"/>
  </xdr:oneCellAnchor>
  <xdr:oneCellAnchor>
    <xdr:from>
      <xdr:col>48</xdr:col>
      <xdr:colOff>0</xdr:colOff>
      <xdr:row>57</xdr:row>
      <xdr:rowOff>0</xdr:rowOff>
    </xdr:from>
    <xdr:ext cx="200025" cy="200025"/>
    <xdr:pic>
      <xdr:nvPicPr>
        <xdr:cNvPr id="0" name="image70.png"/>
        <xdr:cNvPicPr preferRelativeResize="0"/>
      </xdr:nvPicPr>
      <xdr:blipFill>
        <a:blip cstate="print" r:embed="rId63"/>
        <a:stretch>
          <a:fillRect/>
        </a:stretch>
      </xdr:blipFill>
      <xdr:spPr>
        <a:prstGeom prst="rect">
          <a:avLst/>
        </a:prstGeom>
        <a:noFill/>
      </xdr:spPr>
    </xdr:pic>
    <xdr:clientData fLocksWithSheet="0"/>
  </xdr:oneCellAnchor>
  <xdr:oneCellAnchor>
    <xdr:from>
      <xdr:col>53</xdr:col>
      <xdr:colOff>0</xdr:colOff>
      <xdr:row>57</xdr:row>
      <xdr:rowOff>0</xdr:rowOff>
    </xdr:from>
    <xdr:ext cx="200025" cy="200025"/>
    <xdr:pic>
      <xdr:nvPicPr>
        <xdr:cNvPr id="0" name="image2.png"/>
        <xdr:cNvPicPr preferRelativeResize="0"/>
      </xdr:nvPicPr>
      <xdr:blipFill>
        <a:blip cstate="print" r:embed="rId72"/>
        <a:stretch>
          <a:fillRect/>
        </a:stretch>
      </xdr:blipFill>
      <xdr:spPr>
        <a:prstGeom prst="rect">
          <a:avLst/>
        </a:prstGeom>
        <a:noFill/>
      </xdr:spPr>
    </xdr:pic>
    <xdr:clientData fLocksWithSheet="0"/>
  </xdr:oneCellAnchor>
  <xdr:oneCellAnchor>
    <xdr:from>
      <xdr:col>58</xdr:col>
      <xdr:colOff>0</xdr:colOff>
      <xdr:row>57</xdr:row>
      <xdr:rowOff>0</xdr:rowOff>
    </xdr:from>
    <xdr:ext cx="200025" cy="200025"/>
    <xdr:pic>
      <xdr:nvPicPr>
        <xdr:cNvPr id="0" name="image40.png"/>
        <xdr:cNvPicPr preferRelativeResize="0"/>
      </xdr:nvPicPr>
      <xdr:blipFill>
        <a:blip cstate="print" r:embed="rId27"/>
        <a:stretch>
          <a:fillRect/>
        </a:stretch>
      </xdr:blipFill>
      <xdr:spPr>
        <a:prstGeom prst="rect">
          <a:avLst/>
        </a:prstGeom>
        <a:noFill/>
      </xdr:spPr>
    </xdr:pic>
    <xdr:clientData fLocksWithSheet="0"/>
  </xdr:oneCellAnchor>
  <xdr:oneCellAnchor>
    <xdr:from>
      <xdr:col>38</xdr:col>
      <xdr:colOff>0</xdr:colOff>
      <xdr:row>58</xdr:row>
      <xdr:rowOff>0</xdr:rowOff>
    </xdr:from>
    <xdr:ext cx="200025" cy="200025"/>
    <xdr:pic>
      <xdr:nvPicPr>
        <xdr:cNvPr id="0" name="image40.png"/>
        <xdr:cNvPicPr preferRelativeResize="0"/>
      </xdr:nvPicPr>
      <xdr:blipFill>
        <a:blip cstate="print" r:embed="rId27"/>
        <a:stretch>
          <a:fillRect/>
        </a:stretch>
      </xdr:blipFill>
      <xdr:spPr>
        <a:prstGeom prst="rect">
          <a:avLst/>
        </a:prstGeom>
        <a:noFill/>
      </xdr:spPr>
    </xdr:pic>
    <xdr:clientData fLocksWithSheet="0"/>
  </xdr:oneCellAnchor>
  <xdr:oneCellAnchor>
    <xdr:from>
      <xdr:col>43</xdr:col>
      <xdr:colOff>0</xdr:colOff>
      <xdr:row>58</xdr:row>
      <xdr:rowOff>0</xdr:rowOff>
    </xdr:from>
    <xdr:ext cx="200025" cy="200025"/>
    <xdr:pic>
      <xdr:nvPicPr>
        <xdr:cNvPr id="0" name="image83.png"/>
        <xdr:cNvPicPr preferRelativeResize="0"/>
      </xdr:nvPicPr>
      <xdr:blipFill>
        <a:blip cstate="print" r:embed="rId64"/>
        <a:stretch>
          <a:fillRect/>
        </a:stretch>
      </xdr:blipFill>
      <xdr:spPr>
        <a:prstGeom prst="rect">
          <a:avLst/>
        </a:prstGeom>
        <a:noFill/>
      </xdr:spPr>
    </xdr:pic>
    <xdr:clientData fLocksWithSheet="0"/>
  </xdr:oneCellAnchor>
  <xdr:oneCellAnchor>
    <xdr:from>
      <xdr:col>48</xdr:col>
      <xdr:colOff>0</xdr:colOff>
      <xdr:row>58</xdr:row>
      <xdr:rowOff>0</xdr:rowOff>
    </xdr:from>
    <xdr:ext cx="200025" cy="200025"/>
    <xdr:pic>
      <xdr:nvPicPr>
        <xdr:cNvPr id="0" name="image83.png"/>
        <xdr:cNvPicPr preferRelativeResize="0"/>
      </xdr:nvPicPr>
      <xdr:blipFill>
        <a:blip cstate="print" r:embed="rId64"/>
        <a:stretch>
          <a:fillRect/>
        </a:stretch>
      </xdr:blipFill>
      <xdr:spPr>
        <a:prstGeom prst="rect">
          <a:avLst/>
        </a:prstGeom>
        <a:noFill/>
      </xdr:spPr>
    </xdr:pic>
    <xdr:clientData fLocksWithSheet="0"/>
  </xdr:oneCellAnchor>
  <xdr:oneCellAnchor>
    <xdr:from>
      <xdr:col>53</xdr:col>
      <xdr:colOff>0</xdr:colOff>
      <xdr:row>58</xdr:row>
      <xdr:rowOff>0</xdr:rowOff>
    </xdr:from>
    <xdr:ext cx="200025" cy="200025"/>
    <xdr:pic>
      <xdr:nvPicPr>
        <xdr:cNvPr id="0" name="image70.png"/>
        <xdr:cNvPicPr preferRelativeResize="0"/>
      </xdr:nvPicPr>
      <xdr:blipFill>
        <a:blip cstate="print" r:embed="rId63"/>
        <a:stretch>
          <a:fillRect/>
        </a:stretch>
      </xdr:blipFill>
      <xdr:spPr>
        <a:prstGeom prst="rect">
          <a:avLst/>
        </a:prstGeom>
        <a:noFill/>
      </xdr:spPr>
    </xdr:pic>
    <xdr:clientData fLocksWithSheet="0"/>
  </xdr:oneCellAnchor>
  <xdr:oneCellAnchor>
    <xdr:from>
      <xdr:col>58</xdr:col>
      <xdr:colOff>0</xdr:colOff>
      <xdr:row>58</xdr:row>
      <xdr:rowOff>0</xdr:rowOff>
    </xdr:from>
    <xdr:ext cx="200025" cy="200025"/>
    <xdr:pic>
      <xdr:nvPicPr>
        <xdr:cNvPr id="0" name="image2.png"/>
        <xdr:cNvPicPr preferRelativeResize="0"/>
      </xdr:nvPicPr>
      <xdr:blipFill>
        <a:blip cstate="print" r:embed="rId72"/>
        <a:stretch>
          <a:fillRect/>
        </a:stretch>
      </xdr:blipFill>
      <xdr:spPr>
        <a:prstGeom prst="rect">
          <a:avLst/>
        </a:prstGeom>
        <a:noFill/>
      </xdr:spPr>
    </xdr:pic>
    <xdr:clientData fLocksWithSheet="0"/>
  </xdr:oneCellAnchor>
  <xdr:oneCellAnchor>
    <xdr:from>
      <xdr:col>38</xdr:col>
      <xdr:colOff>0</xdr:colOff>
      <xdr:row>59</xdr:row>
      <xdr:rowOff>0</xdr:rowOff>
    </xdr:from>
    <xdr:ext cx="200025" cy="200025"/>
    <xdr:pic>
      <xdr:nvPicPr>
        <xdr:cNvPr id="0" name="image2.png"/>
        <xdr:cNvPicPr preferRelativeResize="0"/>
      </xdr:nvPicPr>
      <xdr:blipFill>
        <a:blip cstate="print" r:embed="rId72"/>
        <a:stretch>
          <a:fillRect/>
        </a:stretch>
      </xdr:blipFill>
      <xdr:spPr>
        <a:prstGeom prst="rect">
          <a:avLst/>
        </a:prstGeom>
        <a:noFill/>
      </xdr:spPr>
    </xdr:pic>
    <xdr:clientData fLocksWithSheet="0"/>
  </xdr:oneCellAnchor>
  <xdr:oneCellAnchor>
    <xdr:from>
      <xdr:col>43</xdr:col>
      <xdr:colOff>0</xdr:colOff>
      <xdr:row>59</xdr:row>
      <xdr:rowOff>0</xdr:rowOff>
    </xdr:from>
    <xdr:ext cx="200025" cy="200025"/>
    <xdr:pic>
      <xdr:nvPicPr>
        <xdr:cNvPr id="0" name="image87.png"/>
        <xdr:cNvPicPr preferRelativeResize="0"/>
      </xdr:nvPicPr>
      <xdr:blipFill>
        <a:blip cstate="print" r:embed="rId74"/>
        <a:stretch>
          <a:fillRect/>
        </a:stretch>
      </xdr:blipFill>
      <xdr:spPr>
        <a:prstGeom prst="rect">
          <a:avLst/>
        </a:prstGeom>
        <a:noFill/>
      </xdr:spPr>
    </xdr:pic>
    <xdr:clientData fLocksWithSheet="0"/>
  </xdr:oneCellAnchor>
  <xdr:oneCellAnchor>
    <xdr:from>
      <xdr:col>48</xdr:col>
      <xdr:colOff>0</xdr:colOff>
      <xdr:row>59</xdr:row>
      <xdr:rowOff>0</xdr:rowOff>
    </xdr:from>
    <xdr:ext cx="200025" cy="200025"/>
    <xdr:pic>
      <xdr:nvPicPr>
        <xdr:cNvPr id="0" name="image87.png"/>
        <xdr:cNvPicPr preferRelativeResize="0"/>
      </xdr:nvPicPr>
      <xdr:blipFill>
        <a:blip cstate="print" r:embed="rId74"/>
        <a:stretch>
          <a:fillRect/>
        </a:stretch>
      </xdr:blipFill>
      <xdr:spPr>
        <a:prstGeom prst="rect">
          <a:avLst/>
        </a:prstGeom>
        <a:noFill/>
      </xdr:spPr>
    </xdr:pic>
    <xdr:clientData fLocksWithSheet="0"/>
  </xdr:oneCellAnchor>
  <xdr:oneCellAnchor>
    <xdr:from>
      <xdr:col>53</xdr:col>
      <xdr:colOff>0</xdr:colOff>
      <xdr:row>59</xdr:row>
      <xdr:rowOff>0</xdr:rowOff>
    </xdr:from>
    <xdr:ext cx="200025" cy="200025"/>
    <xdr:pic>
      <xdr:nvPicPr>
        <xdr:cNvPr id="0" name="image83.png"/>
        <xdr:cNvPicPr preferRelativeResize="0"/>
      </xdr:nvPicPr>
      <xdr:blipFill>
        <a:blip cstate="print" r:embed="rId64"/>
        <a:stretch>
          <a:fillRect/>
        </a:stretch>
      </xdr:blipFill>
      <xdr:spPr>
        <a:prstGeom prst="rect">
          <a:avLst/>
        </a:prstGeom>
        <a:noFill/>
      </xdr:spPr>
    </xdr:pic>
    <xdr:clientData fLocksWithSheet="0"/>
  </xdr:oneCellAnchor>
  <xdr:oneCellAnchor>
    <xdr:from>
      <xdr:col>58</xdr:col>
      <xdr:colOff>0</xdr:colOff>
      <xdr:row>59</xdr:row>
      <xdr:rowOff>0</xdr:rowOff>
    </xdr:from>
    <xdr:ext cx="200025" cy="200025"/>
    <xdr:pic>
      <xdr:nvPicPr>
        <xdr:cNvPr id="0" name="image70.png"/>
        <xdr:cNvPicPr preferRelativeResize="0"/>
      </xdr:nvPicPr>
      <xdr:blipFill>
        <a:blip cstate="print" r:embed="rId63"/>
        <a:stretch>
          <a:fillRect/>
        </a:stretch>
      </xdr:blipFill>
      <xdr:spPr>
        <a:prstGeom prst="rect">
          <a:avLst/>
        </a:prstGeom>
        <a:noFill/>
      </xdr:spPr>
    </xdr:pic>
    <xdr:clientData fLocksWithSheet="0"/>
  </xdr:oneCellAnchor>
  <xdr:oneCellAnchor>
    <xdr:from>
      <xdr:col>38</xdr:col>
      <xdr:colOff>0</xdr:colOff>
      <xdr:row>60</xdr:row>
      <xdr:rowOff>0</xdr:rowOff>
    </xdr:from>
    <xdr:ext cx="200025" cy="200025"/>
    <xdr:pic>
      <xdr:nvPicPr>
        <xdr:cNvPr id="0" name="image70.png"/>
        <xdr:cNvPicPr preferRelativeResize="0"/>
      </xdr:nvPicPr>
      <xdr:blipFill>
        <a:blip cstate="print" r:embed="rId63"/>
        <a:stretch>
          <a:fillRect/>
        </a:stretch>
      </xdr:blipFill>
      <xdr:spPr>
        <a:prstGeom prst="rect">
          <a:avLst/>
        </a:prstGeom>
        <a:noFill/>
      </xdr:spPr>
    </xdr:pic>
    <xdr:clientData fLocksWithSheet="0"/>
  </xdr:oneCellAnchor>
  <xdr:oneCellAnchor>
    <xdr:from>
      <xdr:col>43</xdr:col>
      <xdr:colOff>0</xdr:colOff>
      <xdr:row>60</xdr:row>
      <xdr:rowOff>0</xdr:rowOff>
    </xdr:from>
    <xdr:ext cx="200025" cy="200025"/>
    <xdr:pic>
      <xdr:nvPicPr>
        <xdr:cNvPr id="0" name="image75.png"/>
        <xdr:cNvPicPr preferRelativeResize="0"/>
      </xdr:nvPicPr>
      <xdr:blipFill>
        <a:blip cstate="print" r:embed="rId65"/>
        <a:stretch>
          <a:fillRect/>
        </a:stretch>
      </xdr:blipFill>
      <xdr:spPr>
        <a:prstGeom prst="rect">
          <a:avLst/>
        </a:prstGeom>
        <a:noFill/>
      </xdr:spPr>
    </xdr:pic>
    <xdr:clientData fLocksWithSheet="0"/>
  </xdr:oneCellAnchor>
  <xdr:oneCellAnchor>
    <xdr:from>
      <xdr:col>48</xdr:col>
      <xdr:colOff>0</xdr:colOff>
      <xdr:row>60</xdr:row>
      <xdr:rowOff>0</xdr:rowOff>
    </xdr:from>
    <xdr:ext cx="200025" cy="200025"/>
    <xdr:pic>
      <xdr:nvPicPr>
        <xdr:cNvPr id="0" name="image75.png"/>
        <xdr:cNvPicPr preferRelativeResize="0"/>
      </xdr:nvPicPr>
      <xdr:blipFill>
        <a:blip cstate="print" r:embed="rId65"/>
        <a:stretch>
          <a:fillRect/>
        </a:stretch>
      </xdr:blipFill>
      <xdr:spPr>
        <a:prstGeom prst="rect">
          <a:avLst/>
        </a:prstGeom>
        <a:noFill/>
      </xdr:spPr>
    </xdr:pic>
    <xdr:clientData fLocksWithSheet="0"/>
  </xdr:oneCellAnchor>
  <xdr:oneCellAnchor>
    <xdr:from>
      <xdr:col>53</xdr:col>
      <xdr:colOff>0</xdr:colOff>
      <xdr:row>60</xdr:row>
      <xdr:rowOff>0</xdr:rowOff>
    </xdr:from>
    <xdr:ext cx="200025" cy="200025"/>
    <xdr:pic>
      <xdr:nvPicPr>
        <xdr:cNvPr id="0" name="image87.png"/>
        <xdr:cNvPicPr preferRelativeResize="0"/>
      </xdr:nvPicPr>
      <xdr:blipFill>
        <a:blip cstate="print" r:embed="rId74"/>
        <a:stretch>
          <a:fillRect/>
        </a:stretch>
      </xdr:blipFill>
      <xdr:spPr>
        <a:prstGeom prst="rect">
          <a:avLst/>
        </a:prstGeom>
        <a:noFill/>
      </xdr:spPr>
    </xdr:pic>
    <xdr:clientData fLocksWithSheet="0"/>
  </xdr:oneCellAnchor>
  <xdr:oneCellAnchor>
    <xdr:from>
      <xdr:col>58</xdr:col>
      <xdr:colOff>0</xdr:colOff>
      <xdr:row>60</xdr:row>
      <xdr:rowOff>0</xdr:rowOff>
    </xdr:from>
    <xdr:ext cx="200025" cy="200025"/>
    <xdr:pic>
      <xdr:nvPicPr>
        <xdr:cNvPr id="0" name="image83.png"/>
        <xdr:cNvPicPr preferRelativeResize="0"/>
      </xdr:nvPicPr>
      <xdr:blipFill>
        <a:blip cstate="print" r:embed="rId64"/>
        <a:stretch>
          <a:fillRect/>
        </a:stretch>
      </xdr:blipFill>
      <xdr:spPr>
        <a:prstGeom prst="rect">
          <a:avLst/>
        </a:prstGeom>
        <a:noFill/>
      </xdr:spPr>
    </xdr:pic>
    <xdr:clientData fLocksWithSheet="0"/>
  </xdr:oneCellAnchor>
  <xdr:oneCellAnchor>
    <xdr:from>
      <xdr:col>38</xdr:col>
      <xdr:colOff>0</xdr:colOff>
      <xdr:row>61</xdr:row>
      <xdr:rowOff>0</xdr:rowOff>
    </xdr:from>
    <xdr:ext cx="200025" cy="200025"/>
    <xdr:pic>
      <xdr:nvPicPr>
        <xdr:cNvPr id="0" name="image83.png"/>
        <xdr:cNvPicPr preferRelativeResize="0"/>
      </xdr:nvPicPr>
      <xdr:blipFill>
        <a:blip cstate="print" r:embed="rId64"/>
        <a:stretch>
          <a:fillRect/>
        </a:stretch>
      </xdr:blipFill>
      <xdr:spPr>
        <a:prstGeom prst="rect">
          <a:avLst/>
        </a:prstGeom>
        <a:noFill/>
      </xdr:spPr>
    </xdr:pic>
    <xdr:clientData fLocksWithSheet="0"/>
  </xdr:oneCellAnchor>
  <xdr:oneCellAnchor>
    <xdr:from>
      <xdr:col>43</xdr:col>
      <xdr:colOff>0</xdr:colOff>
      <xdr:row>61</xdr:row>
      <xdr:rowOff>0</xdr:rowOff>
    </xdr:from>
    <xdr:ext cx="200025" cy="200025"/>
    <xdr:pic>
      <xdr:nvPicPr>
        <xdr:cNvPr id="0" name="image54.png"/>
        <xdr:cNvPicPr preferRelativeResize="0"/>
      </xdr:nvPicPr>
      <xdr:blipFill>
        <a:blip cstate="print" r:embed="rId39"/>
        <a:stretch>
          <a:fillRect/>
        </a:stretch>
      </xdr:blipFill>
      <xdr:spPr>
        <a:prstGeom prst="rect">
          <a:avLst/>
        </a:prstGeom>
        <a:noFill/>
      </xdr:spPr>
    </xdr:pic>
    <xdr:clientData fLocksWithSheet="0"/>
  </xdr:oneCellAnchor>
  <xdr:oneCellAnchor>
    <xdr:from>
      <xdr:col>48</xdr:col>
      <xdr:colOff>0</xdr:colOff>
      <xdr:row>61</xdr:row>
      <xdr:rowOff>0</xdr:rowOff>
    </xdr:from>
    <xdr:ext cx="200025" cy="200025"/>
    <xdr:pic>
      <xdr:nvPicPr>
        <xdr:cNvPr id="0" name="image54.png"/>
        <xdr:cNvPicPr preferRelativeResize="0"/>
      </xdr:nvPicPr>
      <xdr:blipFill>
        <a:blip cstate="print" r:embed="rId39"/>
        <a:stretch>
          <a:fillRect/>
        </a:stretch>
      </xdr:blipFill>
      <xdr:spPr>
        <a:prstGeom prst="rect">
          <a:avLst/>
        </a:prstGeom>
        <a:noFill/>
      </xdr:spPr>
    </xdr:pic>
    <xdr:clientData fLocksWithSheet="0"/>
  </xdr:oneCellAnchor>
  <xdr:oneCellAnchor>
    <xdr:from>
      <xdr:col>53</xdr:col>
      <xdr:colOff>0</xdr:colOff>
      <xdr:row>61</xdr:row>
      <xdr:rowOff>0</xdr:rowOff>
    </xdr:from>
    <xdr:ext cx="200025" cy="200025"/>
    <xdr:pic>
      <xdr:nvPicPr>
        <xdr:cNvPr id="0" name="image75.png"/>
        <xdr:cNvPicPr preferRelativeResize="0"/>
      </xdr:nvPicPr>
      <xdr:blipFill>
        <a:blip cstate="print" r:embed="rId65"/>
        <a:stretch>
          <a:fillRect/>
        </a:stretch>
      </xdr:blipFill>
      <xdr:spPr>
        <a:prstGeom prst="rect">
          <a:avLst/>
        </a:prstGeom>
        <a:noFill/>
      </xdr:spPr>
    </xdr:pic>
    <xdr:clientData fLocksWithSheet="0"/>
  </xdr:oneCellAnchor>
  <xdr:oneCellAnchor>
    <xdr:from>
      <xdr:col>58</xdr:col>
      <xdr:colOff>0</xdr:colOff>
      <xdr:row>61</xdr:row>
      <xdr:rowOff>0</xdr:rowOff>
    </xdr:from>
    <xdr:ext cx="200025" cy="200025"/>
    <xdr:pic>
      <xdr:nvPicPr>
        <xdr:cNvPr id="0" name="image87.png"/>
        <xdr:cNvPicPr preferRelativeResize="0"/>
      </xdr:nvPicPr>
      <xdr:blipFill>
        <a:blip cstate="print" r:embed="rId74"/>
        <a:stretch>
          <a:fillRect/>
        </a:stretch>
      </xdr:blipFill>
      <xdr:spPr>
        <a:prstGeom prst="rect">
          <a:avLst/>
        </a:prstGeom>
        <a:noFill/>
      </xdr:spPr>
    </xdr:pic>
    <xdr:clientData fLocksWithSheet="0"/>
  </xdr:oneCellAnchor>
  <xdr:oneCellAnchor>
    <xdr:from>
      <xdr:col>38</xdr:col>
      <xdr:colOff>0</xdr:colOff>
      <xdr:row>62</xdr:row>
      <xdr:rowOff>0</xdr:rowOff>
    </xdr:from>
    <xdr:ext cx="200025" cy="200025"/>
    <xdr:pic>
      <xdr:nvPicPr>
        <xdr:cNvPr id="0" name="image87.png"/>
        <xdr:cNvPicPr preferRelativeResize="0"/>
      </xdr:nvPicPr>
      <xdr:blipFill>
        <a:blip cstate="print" r:embed="rId74"/>
        <a:stretch>
          <a:fillRect/>
        </a:stretch>
      </xdr:blipFill>
      <xdr:spPr>
        <a:prstGeom prst="rect">
          <a:avLst/>
        </a:prstGeom>
        <a:noFill/>
      </xdr:spPr>
    </xdr:pic>
    <xdr:clientData fLocksWithSheet="0"/>
  </xdr:oneCellAnchor>
  <xdr:oneCellAnchor>
    <xdr:from>
      <xdr:col>43</xdr:col>
      <xdr:colOff>0</xdr:colOff>
      <xdr:row>62</xdr:row>
      <xdr:rowOff>0</xdr:rowOff>
    </xdr:from>
    <xdr:ext cx="200025" cy="200025"/>
    <xdr:pic>
      <xdr:nvPicPr>
        <xdr:cNvPr id="0" name="image78.png"/>
        <xdr:cNvPicPr preferRelativeResize="0"/>
      </xdr:nvPicPr>
      <xdr:blipFill>
        <a:blip cstate="print" r:embed="rId66"/>
        <a:stretch>
          <a:fillRect/>
        </a:stretch>
      </xdr:blipFill>
      <xdr:spPr>
        <a:prstGeom prst="rect">
          <a:avLst/>
        </a:prstGeom>
        <a:noFill/>
      </xdr:spPr>
    </xdr:pic>
    <xdr:clientData fLocksWithSheet="0"/>
  </xdr:oneCellAnchor>
  <xdr:oneCellAnchor>
    <xdr:from>
      <xdr:col>48</xdr:col>
      <xdr:colOff>0</xdr:colOff>
      <xdr:row>62</xdr:row>
      <xdr:rowOff>0</xdr:rowOff>
    </xdr:from>
    <xdr:ext cx="200025" cy="200025"/>
    <xdr:pic>
      <xdr:nvPicPr>
        <xdr:cNvPr id="0" name="image78.png"/>
        <xdr:cNvPicPr preferRelativeResize="0"/>
      </xdr:nvPicPr>
      <xdr:blipFill>
        <a:blip cstate="print" r:embed="rId66"/>
        <a:stretch>
          <a:fillRect/>
        </a:stretch>
      </xdr:blipFill>
      <xdr:spPr>
        <a:prstGeom prst="rect">
          <a:avLst/>
        </a:prstGeom>
        <a:noFill/>
      </xdr:spPr>
    </xdr:pic>
    <xdr:clientData fLocksWithSheet="0"/>
  </xdr:oneCellAnchor>
  <xdr:oneCellAnchor>
    <xdr:from>
      <xdr:col>53</xdr:col>
      <xdr:colOff>0</xdr:colOff>
      <xdr:row>62</xdr:row>
      <xdr:rowOff>0</xdr:rowOff>
    </xdr:from>
    <xdr:ext cx="200025" cy="200025"/>
    <xdr:pic>
      <xdr:nvPicPr>
        <xdr:cNvPr id="0" name="image54.png"/>
        <xdr:cNvPicPr preferRelativeResize="0"/>
      </xdr:nvPicPr>
      <xdr:blipFill>
        <a:blip cstate="print" r:embed="rId39"/>
        <a:stretch>
          <a:fillRect/>
        </a:stretch>
      </xdr:blipFill>
      <xdr:spPr>
        <a:prstGeom prst="rect">
          <a:avLst/>
        </a:prstGeom>
        <a:noFill/>
      </xdr:spPr>
    </xdr:pic>
    <xdr:clientData fLocksWithSheet="0"/>
  </xdr:oneCellAnchor>
  <xdr:oneCellAnchor>
    <xdr:from>
      <xdr:col>58</xdr:col>
      <xdr:colOff>0</xdr:colOff>
      <xdr:row>62</xdr:row>
      <xdr:rowOff>0</xdr:rowOff>
    </xdr:from>
    <xdr:ext cx="200025" cy="200025"/>
    <xdr:pic>
      <xdr:nvPicPr>
        <xdr:cNvPr id="0" name="image75.png"/>
        <xdr:cNvPicPr preferRelativeResize="0"/>
      </xdr:nvPicPr>
      <xdr:blipFill>
        <a:blip cstate="print" r:embed="rId65"/>
        <a:stretch>
          <a:fillRect/>
        </a:stretch>
      </xdr:blipFill>
      <xdr:spPr>
        <a:prstGeom prst="rect">
          <a:avLst/>
        </a:prstGeom>
        <a:noFill/>
      </xdr:spPr>
    </xdr:pic>
    <xdr:clientData fLocksWithSheet="0"/>
  </xdr:oneCellAnchor>
  <xdr:oneCellAnchor>
    <xdr:from>
      <xdr:col>38</xdr:col>
      <xdr:colOff>0</xdr:colOff>
      <xdr:row>63</xdr:row>
      <xdr:rowOff>0</xdr:rowOff>
    </xdr:from>
    <xdr:ext cx="200025" cy="200025"/>
    <xdr:pic>
      <xdr:nvPicPr>
        <xdr:cNvPr id="0" name="image75.png"/>
        <xdr:cNvPicPr preferRelativeResize="0"/>
      </xdr:nvPicPr>
      <xdr:blipFill>
        <a:blip cstate="print" r:embed="rId65"/>
        <a:stretch>
          <a:fillRect/>
        </a:stretch>
      </xdr:blipFill>
      <xdr:spPr>
        <a:prstGeom prst="rect">
          <a:avLst/>
        </a:prstGeom>
        <a:noFill/>
      </xdr:spPr>
    </xdr:pic>
    <xdr:clientData fLocksWithSheet="0"/>
  </xdr:oneCellAnchor>
  <xdr:oneCellAnchor>
    <xdr:from>
      <xdr:col>43</xdr:col>
      <xdr:colOff>0</xdr:colOff>
      <xdr:row>63</xdr:row>
      <xdr:rowOff>0</xdr:rowOff>
    </xdr:from>
    <xdr:ext cx="200025" cy="200025"/>
    <xdr:pic>
      <xdr:nvPicPr>
        <xdr:cNvPr id="0" name="image51.png"/>
        <xdr:cNvPicPr preferRelativeResize="0"/>
      </xdr:nvPicPr>
      <xdr:blipFill>
        <a:blip cstate="print" r:embed="rId31"/>
        <a:stretch>
          <a:fillRect/>
        </a:stretch>
      </xdr:blipFill>
      <xdr:spPr>
        <a:prstGeom prst="rect">
          <a:avLst/>
        </a:prstGeom>
        <a:noFill/>
      </xdr:spPr>
    </xdr:pic>
    <xdr:clientData fLocksWithSheet="0"/>
  </xdr:oneCellAnchor>
  <xdr:oneCellAnchor>
    <xdr:from>
      <xdr:col>48</xdr:col>
      <xdr:colOff>0</xdr:colOff>
      <xdr:row>63</xdr:row>
      <xdr:rowOff>0</xdr:rowOff>
    </xdr:from>
    <xdr:ext cx="200025" cy="200025"/>
    <xdr:pic>
      <xdr:nvPicPr>
        <xdr:cNvPr id="0" name="image51.png"/>
        <xdr:cNvPicPr preferRelativeResize="0"/>
      </xdr:nvPicPr>
      <xdr:blipFill>
        <a:blip cstate="print" r:embed="rId31"/>
        <a:stretch>
          <a:fillRect/>
        </a:stretch>
      </xdr:blipFill>
      <xdr:spPr>
        <a:prstGeom prst="rect">
          <a:avLst/>
        </a:prstGeom>
        <a:noFill/>
      </xdr:spPr>
    </xdr:pic>
    <xdr:clientData fLocksWithSheet="0"/>
  </xdr:oneCellAnchor>
  <xdr:oneCellAnchor>
    <xdr:from>
      <xdr:col>53</xdr:col>
      <xdr:colOff>0</xdr:colOff>
      <xdr:row>63</xdr:row>
      <xdr:rowOff>0</xdr:rowOff>
    </xdr:from>
    <xdr:ext cx="200025" cy="200025"/>
    <xdr:pic>
      <xdr:nvPicPr>
        <xdr:cNvPr id="0" name="image78.png"/>
        <xdr:cNvPicPr preferRelativeResize="0"/>
      </xdr:nvPicPr>
      <xdr:blipFill>
        <a:blip cstate="print" r:embed="rId66"/>
        <a:stretch>
          <a:fillRect/>
        </a:stretch>
      </xdr:blipFill>
      <xdr:spPr>
        <a:prstGeom prst="rect">
          <a:avLst/>
        </a:prstGeom>
        <a:noFill/>
      </xdr:spPr>
    </xdr:pic>
    <xdr:clientData fLocksWithSheet="0"/>
  </xdr:oneCellAnchor>
  <xdr:oneCellAnchor>
    <xdr:from>
      <xdr:col>58</xdr:col>
      <xdr:colOff>0</xdr:colOff>
      <xdr:row>63</xdr:row>
      <xdr:rowOff>0</xdr:rowOff>
    </xdr:from>
    <xdr:ext cx="200025" cy="200025"/>
    <xdr:pic>
      <xdr:nvPicPr>
        <xdr:cNvPr id="0" name="image54.png"/>
        <xdr:cNvPicPr preferRelativeResize="0"/>
      </xdr:nvPicPr>
      <xdr:blipFill>
        <a:blip cstate="print" r:embed="rId39"/>
        <a:stretch>
          <a:fillRect/>
        </a:stretch>
      </xdr:blipFill>
      <xdr:spPr>
        <a:prstGeom prst="rect">
          <a:avLst/>
        </a:prstGeom>
        <a:noFill/>
      </xdr:spPr>
    </xdr:pic>
    <xdr:clientData fLocksWithSheet="0"/>
  </xdr:oneCellAnchor>
  <xdr:oneCellAnchor>
    <xdr:from>
      <xdr:col>38</xdr:col>
      <xdr:colOff>0</xdr:colOff>
      <xdr:row>64</xdr:row>
      <xdr:rowOff>0</xdr:rowOff>
    </xdr:from>
    <xdr:ext cx="200025" cy="200025"/>
    <xdr:pic>
      <xdr:nvPicPr>
        <xdr:cNvPr id="0" name="image54.png"/>
        <xdr:cNvPicPr preferRelativeResize="0"/>
      </xdr:nvPicPr>
      <xdr:blipFill>
        <a:blip cstate="print" r:embed="rId39"/>
        <a:stretch>
          <a:fillRect/>
        </a:stretch>
      </xdr:blipFill>
      <xdr:spPr>
        <a:prstGeom prst="rect">
          <a:avLst/>
        </a:prstGeom>
        <a:noFill/>
      </xdr:spPr>
    </xdr:pic>
    <xdr:clientData fLocksWithSheet="0"/>
  </xdr:oneCellAnchor>
  <xdr:oneCellAnchor>
    <xdr:from>
      <xdr:col>43</xdr:col>
      <xdr:colOff>0</xdr:colOff>
      <xdr:row>64</xdr:row>
      <xdr:rowOff>0</xdr:rowOff>
    </xdr:from>
    <xdr:ext cx="200025" cy="200025"/>
    <xdr:pic>
      <xdr:nvPicPr>
        <xdr:cNvPr id="0" name="image52.png"/>
        <xdr:cNvPicPr preferRelativeResize="0"/>
      </xdr:nvPicPr>
      <xdr:blipFill>
        <a:blip cstate="print" r:embed="rId42"/>
        <a:stretch>
          <a:fillRect/>
        </a:stretch>
      </xdr:blipFill>
      <xdr:spPr>
        <a:prstGeom prst="rect">
          <a:avLst/>
        </a:prstGeom>
        <a:noFill/>
      </xdr:spPr>
    </xdr:pic>
    <xdr:clientData fLocksWithSheet="0"/>
  </xdr:oneCellAnchor>
  <xdr:oneCellAnchor>
    <xdr:from>
      <xdr:col>48</xdr:col>
      <xdr:colOff>0</xdr:colOff>
      <xdr:row>64</xdr:row>
      <xdr:rowOff>0</xdr:rowOff>
    </xdr:from>
    <xdr:ext cx="200025" cy="200025"/>
    <xdr:pic>
      <xdr:nvPicPr>
        <xdr:cNvPr id="0" name="image52.png"/>
        <xdr:cNvPicPr preferRelativeResize="0"/>
      </xdr:nvPicPr>
      <xdr:blipFill>
        <a:blip cstate="print" r:embed="rId42"/>
        <a:stretch>
          <a:fillRect/>
        </a:stretch>
      </xdr:blipFill>
      <xdr:spPr>
        <a:prstGeom prst="rect">
          <a:avLst/>
        </a:prstGeom>
        <a:noFill/>
      </xdr:spPr>
    </xdr:pic>
    <xdr:clientData fLocksWithSheet="0"/>
  </xdr:oneCellAnchor>
  <xdr:oneCellAnchor>
    <xdr:from>
      <xdr:col>53</xdr:col>
      <xdr:colOff>0</xdr:colOff>
      <xdr:row>64</xdr:row>
      <xdr:rowOff>0</xdr:rowOff>
    </xdr:from>
    <xdr:ext cx="200025" cy="200025"/>
    <xdr:pic>
      <xdr:nvPicPr>
        <xdr:cNvPr id="0" name="image51.png"/>
        <xdr:cNvPicPr preferRelativeResize="0"/>
      </xdr:nvPicPr>
      <xdr:blipFill>
        <a:blip cstate="print" r:embed="rId31"/>
        <a:stretch>
          <a:fillRect/>
        </a:stretch>
      </xdr:blipFill>
      <xdr:spPr>
        <a:prstGeom prst="rect">
          <a:avLst/>
        </a:prstGeom>
        <a:noFill/>
      </xdr:spPr>
    </xdr:pic>
    <xdr:clientData fLocksWithSheet="0"/>
  </xdr:oneCellAnchor>
  <xdr:oneCellAnchor>
    <xdr:from>
      <xdr:col>58</xdr:col>
      <xdr:colOff>0</xdr:colOff>
      <xdr:row>64</xdr:row>
      <xdr:rowOff>0</xdr:rowOff>
    </xdr:from>
    <xdr:ext cx="200025" cy="200025"/>
    <xdr:pic>
      <xdr:nvPicPr>
        <xdr:cNvPr id="0" name="image78.png"/>
        <xdr:cNvPicPr preferRelativeResize="0"/>
      </xdr:nvPicPr>
      <xdr:blipFill>
        <a:blip cstate="print" r:embed="rId66"/>
        <a:stretch>
          <a:fillRect/>
        </a:stretch>
      </xdr:blipFill>
      <xdr:spPr>
        <a:prstGeom prst="rect">
          <a:avLst/>
        </a:prstGeom>
        <a:noFill/>
      </xdr:spPr>
    </xdr:pic>
    <xdr:clientData fLocksWithSheet="0"/>
  </xdr:oneCellAnchor>
  <xdr:oneCellAnchor>
    <xdr:from>
      <xdr:col>38</xdr:col>
      <xdr:colOff>0</xdr:colOff>
      <xdr:row>65</xdr:row>
      <xdr:rowOff>0</xdr:rowOff>
    </xdr:from>
    <xdr:ext cx="200025" cy="200025"/>
    <xdr:pic>
      <xdr:nvPicPr>
        <xdr:cNvPr id="0" name="image78.png"/>
        <xdr:cNvPicPr preferRelativeResize="0"/>
      </xdr:nvPicPr>
      <xdr:blipFill>
        <a:blip cstate="print" r:embed="rId66"/>
        <a:stretch>
          <a:fillRect/>
        </a:stretch>
      </xdr:blipFill>
      <xdr:spPr>
        <a:prstGeom prst="rect">
          <a:avLst/>
        </a:prstGeom>
        <a:noFill/>
      </xdr:spPr>
    </xdr:pic>
    <xdr:clientData fLocksWithSheet="0"/>
  </xdr:oneCellAnchor>
  <xdr:oneCellAnchor>
    <xdr:from>
      <xdr:col>43</xdr:col>
      <xdr:colOff>0</xdr:colOff>
      <xdr:row>65</xdr:row>
      <xdr:rowOff>0</xdr:rowOff>
    </xdr:from>
    <xdr:ext cx="200025" cy="200025"/>
    <xdr:pic>
      <xdr:nvPicPr>
        <xdr:cNvPr id="0" name="image6.png"/>
        <xdr:cNvPicPr preferRelativeResize="0"/>
      </xdr:nvPicPr>
      <xdr:blipFill>
        <a:blip cstate="print" r:embed="rId67"/>
        <a:stretch>
          <a:fillRect/>
        </a:stretch>
      </xdr:blipFill>
      <xdr:spPr>
        <a:prstGeom prst="rect">
          <a:avLst/>
        </a:prstGeom>
        <a:noFill/>
      </xdr:spPr>
    </xdr:pic>
    <xdr:clientData fLocksWithSheet="0"/>
  </xdr:oneCellAnchor>
  <xdr:oneCellAnchor>
    <xdr:from>
      <xdr:col>48</xdr:col>
      <xdr:colOff>0</xdr:colOff>
      <xdr:row>65</xdr:row>
      <xdr:rowOff>0</xdr:rowOff>
    </xdr:from>
    <xdr:ext cx="200025" cy="200025"/>
    <xdr:pic>
      <xdr:nvPicPr>
        <xdr:cNvPr id="0" name="image6.png"/>
        <xdr:cNvPicPr preferRelativeResize="0"/>
      </xdr:nvPicPr>
      <xdr:blipFill>
        <a:blip cstate="print" r:embed="rId67"/>
        <a:stretch>
          <a:fillRect/>
        </a:stretch>
      </xdr:blipFill>
      <xdr:spPr>
        <a:prstGeom prst="rect">
          <a:avLst/>
        </a:prstGeom>
        <a:noFill/>
      </xdr:spPr>
    </xdr:pic>
    <xdr:clientData fLocksWithSheet="0"/>
  </xdr:oneCellAnchor>
  <xdr:oneCellAnchor>
    <xdr:from>
      <xdr:col>53</xdr:col>
      <xdr:colOff>0</xdr:colOff>
      <xdr:row>65</xdr:row>
      <xdr:rowOff>0</xdr:rowOff>
    </xdr:from>
    <xdr:ext cx="200025" cy="200025"/>
    <xdr:pic>
      <xdr:nvPicPr>
        <xdr:cNvPr id="0" name="image52.png"/>
        <xdr:cNvPicPr preferRelativeResize="0"/>
      </xdr:nvPicPr>
      <xdr:blipFill>
        <a:blip cstate="print" r:embed="rId42"/>
        <a:stretch>
          <a:fillRect/>
        </a:stretch>
      </xdr:blipFill>
      <xdr:spPr>
        <a:prstGeom prst="rect">
          <a:avLst/>
        </a:prstGeom>
        <a:noFill/>
      </xdr:spPr>
    </xdr:pic>
    <xdr:clientData fLocksWithSheet="0"/>
  </xdr:oneCellAnchor>
  <xdr:oneCellAnchor>
    <xdr:from>
      <xdr:col>58</xdr:col>
      <xdr:colOff>0</xdr:colOff>
      <xdr:row>65</xdr:row>
      <xdr:rowOff>0</xdr:rowOff>
    </xdr:from>
    <xdr:ext cx="200025" cy="200025"/>
    <xdr:pic>
      <xdr:nvPicPr>
        <xdr:cNvPr id="0" name="image51.png"/>
        <xdr:cNvPicPr preferRelativeResize="0"/>
      </xdr:nvPicPr>
      <xdr:blipFill>
        <a:blip cstate="print" r:embed="rId31"/>
        <a:stretch>
          <a:fillRect/>
        </a:stretch>
      </xdr:blipFill>
      <xdr:spPr>
        <a:prstGeom prst="rect">
          <a:avLst/>
        </a:prstGeom>
        <a:noFill/>
      </xdr:spPr>
    </xdr:pic>
    <xdr:clientData fLocksWithSheet="0"/>
  </xdr:oneCellAnchor>
  <xdr:oneCellAnchor>
    <xdr:from>
      <xdr:col>38</xdr:col>
      <xdr:colOff>0</xdr:colOff>
      <xdr:row>66</xdr:row>
      <xdr:rowOff>0</xdr:rowOff>
    </xdr:from>
    <xdr:ext cx="200025" cy="200025"/>
    <xdr:pic>
      <xdr:nvPicPr>
        <xdr:cNvPr id="0" name="image51.png"/>
        <xdr:cNvPicPr preferRelativeResize="0"/>
      </xdr:nvPicPr>
      <xdr:blipFill>
        <a:blip cstate="print" r:embed="rId31"/>
        <a:stretch>
          <a:fillRect/>
        </a:stretch>
      </xdr:blipFill>
      <xdr:spPr>
        <a:prstGeom prst="rect">
          <a:avLst/>
        </a:prstGeom>
        <a:noFill/>
      </xdr:spPr>
    </xdr:pic>
    <xdr:clientData fLocksWithSheet="0"/>
  </xdr:oneCellAnchor>
  <xdr:oneCellAnchor>
    <xdr:from>
      <xdr:col>43</xdr:col>
      <xdr:colOff>0</xdr:colOff>
      <xdr:row>66</xdr:row>
      <xdr:rowOff>0</xdr:rowOff>
    </xdr:from>
    <xdr:ext cx="200025" cy="200025"/>
    <xdr:pic>
      <xdr:nvPicPr>
        <xdr:cNvPr id="0" name="image64.png"/>
        <xdr:cNvPicPr preferRelativeResize="0"/>
      </xdr:nvPicPr>
      <xdr:blipFill>
        <a:blip cstate="print" r:embed="rId44"/>
        <a:stretch>
          <a:fillRect/>
        </a:stretch>
      </xdr:blipFill>
      <xdr:spPr>
        <a:prstGeom prst="rect">
          <a:avLst/>
        </a:prstGeom>
        <a:noFill/>
      </xdr:spPr>
    </xdr:pic>
    <xdr:clientData fLocksWithSheet="0"/>
  </xdr:oneCellAnchor>
  <xdr:oneCellAnchor>
    <xdr:from>
      <xdr:col>48</xdr:col>
      <xdr:colOff>0</xdr:colOff>
      <xdr:row>66</xdr:row>
      <xdr:rowOff>0</xdr:rowOff>
    </xdr:from>
    <xdr:ext cx="200025" cy="200025"/>
    <xdr:pic>
      <xdr:nvPicPr>
        <xdr:cNvPr id="0" name="image64.png"/>
        <xdr:cNvPicPr preferRelativeResize="0"/>
      </xdr:nvPicPr>
      <xdr:blipFill>
        <a:blip cstate="print" r:embed="rId44"/>
        <a:stretch>
          <a:fillRect/>
        </a:stretch>
      </xdr:blipFill>
      <xdr:spPr>
        <a:prstGeom prst="rect">
          <a:avLst/>
        </a:prstGeom>
        <a:noFill/>
      </xdr:spPr>
    </xdr:pic>
    <xdr:clientData fLocksWithSheet="0"/>
  </xdr:oneCellAnchor>
  <xdr:oneCellAnchor>
    <xdr:from>
      <xdr:col>53</xdr:col>
      <xdr:colOff>0</xdr:colOff>
      <xdr:row>66</xdr:row>
      <xdr:rowOff>0</xdr:rowOff>
    </xdr:from>
    <xdr:ext cx="200025" cy="200025"/>
    <xdr:pic>
      <xdr:nvPicPr>
        <xdr:cNvPr id="0" name="image6.png"/>
        <xdr:cNvPicPr preferRelativeResize="0"/>
      </xdr:nvPicPr>
      <xdr:blipFill>
        <a:blip cstate="print" r:embed="rId67"/>
        <a:stretch>
          <a:fillRect/>
        </a:stretch>
      </xdr:blipFill>
      <xdr:spPr>
        <a:prstGeom prst="rect">
          <a:avLst/>
        </a:prstGeom>
        <a:noFill/>
      </xdr:spPr>
    </xdr:pic>
    <xdr:clientData fLocksWithSheet="0"/>
  </xdr:oneCellAnchor>
  <xdr:oneCellAnchor>
    <xdr:from>
      <xdr:col>58</xdr:col>
      <xdr:colOff>0</xdr:colOff>
      <xdr:row>66</xdr:row>
      <xdr:rowOff>0</xdr:rowOff>
    </xdr:from>
    <xdr:ext cx="200025" cy="200025"/>
    <xdr:pic>
      <xdr:nvPicPr>
        <xdr:cNvPr id="0" name="image52.png"/>
        <xdr:cNvPicPr preferRelativeResize="0"/>
      </xdr:nvPicPr>
      <xdr:blipFill>
        <a:blip cstate="print" r:embed="rId42"/>
        <a:stretch>
          <a:fillRect/>
        </a:stretch>
      </xdr:blipFill>
      <xdr:spPr>
        <a:prstGeom prst="rect">
          <a:avLst/>
        </a:prstGeom>
        <a:noFill/>
      </xdr:spPr>
    </xdr:pic>
    <xdr:clientData fLocksWithSheet="0"/>
  </xdr:oneCellAnchor>
  <xdr:oneCellAnchor>
    <xdr:from>
      <xdr:col>38</xdr:col>
      <xdr:colOff>0</xdr:colOff>
      <xdr:row>67</xdr:row>
      <xdr:rowOff>0</xdr:rowOff>
    </xdr:from>
    <xdr:ext cx="200025" cy="200025"/>
    <xdr:pic>
      <xdr:nvPicPr>
        <xdr:cNvPr id="0" name="image52.png"/>
        <xdr:cNvPicPr preferRelativeResize="0"/>
      </xdr:nvPicPr>
      <xdr:blipFill>
        <a:blip cstate="print" r:embed="rId42"/>
        <a:stretch>
          <a:fillRect/>
        </a:stretch>
      </xdr:blipFill>
      <xdr:spPr>
        <a:prstGeom prst="rect">
          <a:avLst/>
        </a:prstGeom>
        <a:noFill/>
      </xdr:spPr>
    </xdr:pic>
    <xdr:clientData fLocksWithSheet="0"/>
  </xdr:oneCellAnchor>
  <xdr:oneCellAnchor>
    <xdr:from>
      <xdr:col>43</xdr:col>
      <xdr:colOff>0</xdr:colOff>
      <xdr:row>67</xdr:row>
      <xdr:rowOff>0</xdr:rowOff>
    </xdr:from>
    <xdr:ext cx="200025" cy="200025"/>
    <xdr:pic>
      <xdr:nvPicPr>
        <xdr:cNvPr id="0" name="image57.png"/>
        <xdr:cNvPicPr preferRelativeResize="0"/>
      </xdr:nvPicPr>
      <xdr:blipFill>
        <a:blip cstate="print" r:embed="rId46"/>
        <a:stretch>
          <a:fillRect/>
        </a:stretch>
      </xdr:blipFill>
      <xdr:spPr>
        <a:prstGeom prst="rect">
          <a:avLst/>
        </a:prstGeom>
        <a:noFill/>
      </xdr:spPr>
    </xdr:pic>
    <xdr:clientData fLocksWithSheet="0"/>
  </xdr:oneCellAnchor>
  <xdr:oneCellAnchor>
    <xdr:from>
      <xdr:col>48</xdr:col>
      <xdr:colOff>0</xdr:colOff>
      <xdr:row>67</xdr:row>
      <xdr:rowOff>0</xdr:rowOff>
    </xdr:from>
    <xdr:ext cx="200025" cy="200025"/>
    <xdr:pic>
      <xdr:nvPicPr>
        <xdr:cNvPr id="0" name="image57.png"/>
        <xdr:cNvPicPr preferRelativeResize="0"/>
      </xdr:nvPicPr>
      <xdr:blipFill>
        <a:blip cstate="print" r:embed="rId46"/>
        <a:stretch>
          <a:fillRect/>
        </a:stretch>
      </xdr:blipFill>
      <xdr:spPr>
        <a:prstGeom prst="rect">
          <a:avLst/>
        </a:prstGeom>
        <a:noFill/>
      </xdr:spPr>
    </xdr:pic>
    <xdr:clientData fLocksWithSheet="0"/>
  </xdr:oneCellAnchor>
  <xdr:oneCellAnchor>
    <xdr:from>
      <xdr:col>53</xdr:col>
      <xdr:colOff>0</xdr:colOff>
      <xdr:row>67</xdr:row>
      <xdr:rowOff>0</xdr:rowOff>
    </xdr:from>
    <xdr:ext cx="200025" cy="200025"/>
    <xdr:pic>
      <xdr:nvPicPr>
        <xdr:cNvPr id="0" name="image64.png"/>
        <xdr:cNvPicPr preferRelativeResize="0"/>
      </xdr:nvPicPr>
      <xdr:blipFill>
        <a:blip cstate="print" r:embed="rId44"/>
        <a:stretch>
          <a:fillRect/>
        </a:stretch>
      </xdr:blipFill>
      <xdr:spPr>
        <a:prstGeom prst="rect">
          <a:avLst/>
        </a:prstGeom>
        <a:noFill/>
      </xdr:spPr>
    </xdr:pic>
    <xdr:clientData fLocksWithSheet="0"/>
  </xdr:oneCellAnchor>
  <xdr:oneCellAnchor>
    <xdr:from>
      <xdr:col>58</xdr:col>
      <xdr:colOff>0</xdr:colOff>
      <xdr:row>67</xdr:row>
      <xdr:rowOff>0</xdr:rowOff>
    </xdr:from>
    <xdr:ext cx="200025" cy="200025"/>
    <xdr:pic>
      <xdr:nvPicPr>
        <xdr:cNvPr id="0" name="image6.png"/>
        <xdr:cNvPicPr preferRelativeResize="0"/>
      </xdr:nvPicPr>
      <xdr:blipFill>
        <a:blip cstate="print" r:embed="rId67"/>
        <a:stretch>
          <a:fillRect/>
        </a:stretch>
      </xdr:blipFill>
      <xdr:spPr>
        <a:prstGeom prst="rect">
          <a:avLst/>
        </a:prstGeom>
        <a:noFill/>
      </xdr:spPr>
    </xdr:pic>
    <xdr:clientData fLocksWithSheet="0"/>
  </xdr:oneCellAnchor>
  <xdr:oneCellAnchor>
    <xdr:from>
      <xdr:col>38</xdr:col>
      <xdr:colOff>0</xdr:colOff>
      <xdr:row>68</xdr:row>
      <xdr:rowOff>0</xdr:rowOff>
    </xdr:from>
    <xdr:ext cx="200025" cy="200025"/>
    <xdr:pic>
      <xdr:nvPicPr>
        <xdr:cNvPr id="0" name="image6.png"/>
        <xdr:cNvPicPr preferRelativeResize="0"/>
      </xdr:nvPicPr>
      <xdr:blipFill>
        <a:blip cstate="print" r:embed="rId67"/>
        <a:stretch>
          <a:fillRect/>
        </a:stretch>
      </xdr:blipFill>
      <xdr:spPr>
        <a:prstGeom prst="rect">
          <a:avLst/>
        </a:prstGeom>
        <a:noFill/>
      </xdr:spPr>
    </xdr:pic>
    <xdr:clientData fLocksWithSheet="0"/>
  </xdr:oneCellAnchor>
  <xdr:oneCellAnchor>
    <xdr:from>
      <xdr:col>43</xdr:col>
      <xdr:colOff>0</xdr:colOff>
      <xdr:row>68</xdr:row>
      <xdr:rowOff>0</xdr:rowOff>
    </xdr:from>
    <xdr:ext cx="200025" cy="200025"/>
    <xdr:pic>
      <xdr:nvPicPr>
        <xdr:cNvPr id="0" name="image88.png"/>
        <xdr:cNvPicPr preferRelativeResize="0"/>
      </xdr:nvPicPr>
      <xdr:blipFill>
        <a:blip cstate="print" r:embed="rId68"/>
        <a:stretch>
          <a:fillRect/>
        </a:stretch>
      </xdr:blipFill>
      <xdr:spPr>
        <a:prstGeom prst="rect">
          <a:avLst/>
        </a:prstGeom>
        <a:noFill/>
      </xdr:spPr>
    </xdr:pic>
    <xdr:clientData fLocksWithSheet="0"/>
  </xdr:oneCellAnchor>
  <xdr:oneCellAnchor>
    <xdr:from>
      <xdr:col>48</xdr:col>
      <xdr:colOff>0</xdr:colOff>
      <xdr:row>68</xdr:row>
      <xdr:rowOff>0</xdr:rowOff>
    </xdr:from>
    <xdr:ext cx="200025" cy="200025"/>
    <xdr:pic>
      <xdr:nvPicPr>
        <xdr:cNvPr id="0" name="image88.png"/>
        <xdr:cNvPicPr preferRelativeResize="0"/>
      </xdr:nvPicPr>
      <xdr:blipFill>
        <a:blip cstate="print" r:embed="rId68"/>
        <a:stretch>
          <a:fillRect/>
        </a:stretch>
      </xdr:blipFill>
      <xdr:spPr>
        <a:prstGeom prst="rect">
          <a:avLst/>
        </a:prstGeom>
        <a:noFill/>
      </xdr:spPr>
    </xdr:pic>
    <xdr:clientData fLocksWithSheet="0"/>
  </xdr:oneCellAnchor>
  <xdr:oneCellAnchor>
    <xdr:from>
      <xdr:col>53</xdr:col>
      <xdr:colOff>0</xdr:colOff>
      <xdr:row>68</xdr:row>
      <xdr:rowOff>0</xdr:rowOff>
    </xdr:from>
    <xdr:ext cx="200025" cy="200025"/>
    <xdr:pic>
      <xdr:nvPicPr>
        <xdr:cNvPr id="0" name="image57.png"/>
        <xdr:cNvPicPr preferRelativeResize="0"/>
      </xdr:nvPicPr>
      <xdr:blipFill>
        <a:blip cstate="print" r:embed="rId46"/>
        <a:stretch>
          <a:fillRect/>
        </a:stretch>
      </xdr:blipFill>
      <xdr:spPr>
        <a:prstGeom prst="rect">
          <a:avLst/>
        </a:prstGeom>
        <a:noFill/>
      </xdr:spPr>
    </xdr:pic>
    <xdr:clientData fLocksWithSheet="0"/>
  </xdr:oneCellAnchor>
  <xdr:oneCellAnchor>
    <xdr:from>
      <xdr:col>58</xdr:col>
      <xdr:colOff>0</xdr:colOff>
      <xdr:row>68</xdr:row>
      <xdr:rowOff>0</xdr:rowOff>
    </xdr:from>
    <xdr:ext cx="200025" cy="200025"/>
    <xdr:pic>
      <xdr:nvPicPr>
        <xdr:cNvPr id="0" name="image64.png"/>
        <xdr:cNvPicPr preferRelativeResize="0"/>
      </xdr:nvPicPr>
      <xdr:blipFill>
        <a:blip cstate="print" r:embed="rId44"/>
        <a:stretch>
          <a:fillRect/>
        </a:stretch>
      </xdr:blipFill>
      <xdr:spPr>
        <a:prstGeom prst="rect">
          <a:avLst/>
        </a:prstGeom>
        <a:noFill/>
      </xdr:spPr>
    </xdr:pic>
    <xdr:clientData fLocksWithSheet="0"/>
  </xdr:oneCellAnchor>
  <xdr:oneCellAnchor>
    <xdr:from>
      <xdr:col>38</xdr:col>
      <xdr:colOff>0</xdr:colOff>
      <xdr:row>69</xdr:row>
      <xdr:rowOff>0</xdr:rowOff>
    </xdr:from>
    <xdr:ext cx="200025" cy="200025"/>
    <xdr:pic>
      <xdr:nvPicPr>
        <xdr:cNvPr id="0" name="image64.png"/>
        <xdr:cNvPicPr preferRelativeResize="0"/>
      </xdr:nvPicPr>
      <xdr:blipFill>
        <a:blip cstate="print" r:embed="rId44"/>
        <a:stretch>
          <a:fillRect/>
        </a:stretch>
      </xdr:blipFill>
      <xdr:spPr>
        <a:prstGeom prst="rect">
          <a:avLst/>
        </a:prstGeom>
        <a:noFill/>
      </xdr:spPr>
    </xdr:pic>
    <xdr:clientData fLocksWithSheet="0"/>
  </xdr:oneCellAnchor>
  <xdr:oneCellAnchor>
    <xdr:from>
      <xdr:col>43</xdr:col>
      <xdr:colOff>0</xdr:colOff>
      <xdr:row>69</xdr:row>
      <xdr:rowOff>0</xdr:rowOff>
    </xdr:from>
    <xdr:ext cx="190500" cy="200025"/>
    <xdr:pic>
      <xdr:nvPicPr>
        <xdr:cNvPr id="0" name="image91.png"/>
        <xdr:cNvPicPr preferRelativeResize="0"/>
      </xdr:nvPicPr>
      <xdr:blipFill>
        <a:blip cstate="print" r:embed="rId78"/>
        <a:stretch>
          <a:fillRect/>
        </a:stretch>
      </xdr:blipFill>
      <xdr:spPr>
        <a:prstGeom prst="rect">
          <a:avLst/>
        </a:prstGeom>
        <a:noFill/>
      </xdr:spPr>
    </xdr:pic>
    <xdr:clientData fLocksWithSheet="0"/>
  </xdr:oneCellAnchor>
  <xdr:oneCellAnchor>
    <xdr:from>
      <xdr:col>48</xdr:col>
      <xdr:colOff>0</xdr:colOff>
      <xdr:row>69</xdr:row>
      <xdr:rowOff>0</xdr:rowOff>
    </xdr:from>
    <xdr:ext cx="190500" cy="200025"/>
    <xdr:pic>
      <xdr:nvPicPr>
        <xdr:cNvPr id="0" name="image91.png"/>
        <xdr:cNvPicPr preferRelativeResize="0"/>
      </xdr:nvPicPr>
      <xdr:blipFill>
        <a:blip cstate="print" r:embed="rId78"/>
        <a:stretch>
          <a:fillRect/>
        </a:stretch>
      </xdr:blipFill>
      <xdr:spPr>
        <a:prstGeom prst="rect">
          <a:avLst/>
        </a:prstGeom>
        <a:noFill/>
      </xdr:spPr>
    </xdr:pic>
    <xdr:clientData fLocksWithSheet="0"/>
  </xdr:oneCellAnchor>
  <xdr:oneCellAnchor>
    <xdr:from>
      <xdr:col>53</xdr:col>
      <xdr:colOff>0</xdr:colOff>
      <xdr:row>69</xdr:row>
      <xdr:rowOff>0</xdr:rowOff>
    </xdr:from>
    <xdr:ext cx="200025" cy="200025"/>
    <xdr:pic>
      <xdr:nvPicPr>
        <xdr:cNvPr id="0" name="image88.png"/>
        <xdr:cNvPicPr preferRelativeResize="0"/>
      </xdr:nvPicPr>
      <xdr:blipFill>
        <a:blip cstate="print" r:embed="rId68"/>
        <a:stretch>
          <a:fillRect/>
        </a:stretch>
      </xdr:blipFill>
      <xdr:spPr>
        <a:prstGeom prst="rect">
          <a:avLst/>
        </a:prstGeom>
        <a:noFill/>
      </xdr:spPr>
    </xdr:pic>
    <xdr:clientData fLocksWithSheet="0"/>
  </xdr:oneCellAnchor>
  <xdr:oneCellAnchor>
    <xdr:from>
      <xdr:col>58</xdr:col>
      <xdr:colOff>0</xdr:colOff>
      <xdr:row>69</xdr:row>
      <xdr:rowOff>0</xdr:rowOff>
    </xdr:from>
    <xdr:ext cx="200025" cy="200025"/>
    <xdr:pic>
      <xdr:nvPicPr>
        <xdr:cNvPr id="0" name="image57.png"/>
        <xdr:cNvPicPr preferRelativeResize="0"/>
      </xdr:nvPicPr>
      <xdr:blipFill>
        <a:blip cstate="print" r:embed="rId46"/>
        <a:stretch>
          <a:fillRect/>
        </a:stretch>
      </xdr:blipFill>
      <xdr:spPr>
        <a:prstGeom prst="rect">
          <a:avLst/>
        </a:prstGeom>
        <a:noFill/>
      </xdr:spPr>
    </xdr:pic>
    <xdr:clientData fLocksWithSheet="0"/>
  </xdr:oneCellAnchor>
  <xdr:oneCellAnchor>
    <xdr:from>
      <xdr:col>38</xdr:col>
      <xdr:colOff>0</xdr:colOff>
      <xdr:row>70</xdr:row>
      <xdr:rowOff>0</xdr:rowOff>
    </xdr:from>
    <xdr:ext cx="200025" cy="200025"/>
    <xdr:pic>
      <xdr:nvPicPr>
        <xdr:cNvPr id="0" name="image57.png"/>
        <xdr:cNvPicPr preferRelativeResize="0"/>
      </xdr:nvPicPr>
      <xdr:blipFill>
        <a:blip cstate="print" r:embed="rId46"/>
        <a:stretch>
          <a:fillRect/>
        </a:stretch>
      </xdr:blipFill>
      <xdr:spPr>
        <a:prstGeom prst="rect">
          <a:avLst/>
        </a:prstGeom>
        <a:noFill/>
      </xdr:spPr>
    </xdr:pic>
    <xdr:clientData fLocksWithSheet="0"/>
  </xdr:oneCellAnchor>
  <xdr:oneCellAnchor>
    <xdr:from>
      <xdr:col>43</xdr:col>
      <xdr:colOff>0</xdr:colOff>
      <xdr:row>70</xdr:row>
      <xdr:rowOff>0</xdr:rowOff>
    </xdr:from>
    <xdr:ext cx="161925" cy="200025"/>
    <xdr:pic>
      <xdr:nvPicPr>
        <xdr:cNvPr id="0" name="image81.png"/>
        <xdr:cNvPicPr preferRelativeResize="0"/>
      </xdr:nvPicPr>
      <xdr:blipFill>
        <a:blip cstate="print" r:embed="rId69"/>
        <a:stretch>
          <a:fillRect/>
        </a:stretch>
      </xdr:blipFill>
      <xdr:spPr>
        <a:prstGeom prst="rect">
          <a:avLst/>
        </a:prstGeom>
        <a:noFill/>
      </xdr:spPr>
    </xdr:pic>
    <xdr:clientData fLocksWithSheet="0"/>
  </xdr:oneCellAnchor>
  <xdr:oneCellAnchor>
    <xdr:from>
      <xdr:col>48</xdr:col>
      <xdr:colOff>0</xdr:colOff>
      <xdr:row>70</xdr:row>
      <xdr:rowOff>0</xdr:rowOff>
    </xdr:from>
    <xdr:ext cx="161925" cy="200025"/>
    <xdr:pic>
      <xdr:nvPicPr>
        <xdr:cNvPr id="0" name="image81.png"/>
        <xdr:cNvPicPr preferRelativeResize="0"/>
      </xdr:nvPicPr>
      <xdr:blipFill>
        <a:blip cstate="print" r:embed="rId69"/>
        <a:stretch>
          <a:fillRect/>
        </a:stretch>
      </xdr:blipFill>
      <xdr:spPr>
        <a:prstGeom prst="rect">
          <a:avLst/>
        </a:prstGeom>
        <a:noFill/>
      </xdr:spPr>
    </xdr:pic>
    <xdr:clientData fLocksWithSheet="0"/>
  </xdr:oneCellAnchor>
  <xdr:oneCellAnchor>
    <xdr:from>
      <xdr:col>53</xdr:col>
      <xdr:colOff>0</xdr:colOff>
      <xdr:row>70</xdr:row>
      <xdr:rowOff>0</xdr:rowOff>
    </xdr:from>
    <xdr:ext cx="190500" cy="200025"/>
    <xdr:pic>
      <xdr:nvPicPr>
        <xdr:cNvPr id="0" name="image91.png"/>
        <xdr:cNvPicPr preferRelativeResize="0"/>
      </xdr:nvPicPr>
      <xdr:blipFill>
        <a:blip cstate="print" r:embed="rId78"/>
        <a:stretch>
          <a:fillRect/>
        </a:stretch>
      </xdr:blipFill>
      <xdr:spPr>
        <a:prstGeom prst="rect">
          <a:avLst/>
        </a:prstGeom>
        <a:noFill/>
      </xdr:spPr>
    </xdr:pic>
    <xdr:clientData fLocksWithSheet="0"/>
  </xdr:oneCellAnchor>
  <xdr:oneCellAnchor>
    <xdr:from>
      <xdr:col>58</xdr:col>
      <xdr:colOff>0</xdr:colOff>
      <xdr:row>70</xdr:row>
      <xdr:rowOff>0</xdr:rowOff>
    </xdr:from>
    <xdr:ext cx="200025" cy="200025"/>
    <xdr:pic>
      <xdr:nvPicPr>
        <xdr:cNvPr id="0" name="image88.png"/>
        <xdr:cNvPicPr preferRelativeResize="0"/>
      </xdr:nvPicPr>
      <xdr:blipFill>
        <a:blip cstate="print" r:embed="rId68"/>
        <a:stretch>
          <a:fillRect/>
        </a:stretch>
      </xdr:blipFill>
      <xdr:spPr>
        <a:prstGeom prst="rect">
          <a:avLst/>
        </a:prstGeom>
        <a:noFill/>
      </xdr:spPr>
    </xdr:pic>
    <xdr:clientData fLocksWithSheet="0"/>
  </xdr:oneCellAnchor>
  <xdr:oneCellAnchor>
    <xdr:from>
      <xdr:col>38</xdr:col>
      <xdr:colOff>0</xdr:colOff>
      <xdr:row>71</xdr:row>
      <xdr:rowOff>0</xdr:rowOff>
    </xdr:from>
    <xdr:ext cx="200025" cy="200025"/>
    <xdr:pic>
      <xdr:nvPicPr>
        <xdr:cNvPr id="0" name="image88.png"/>
        <xdr:cNvPicPr preferRelativeResize="0"/>
      </xdr:nvPicPr>
      <xdr:blipFill>
        <a:blip cstate="print" r:embed="rId68"/>
        <a:stretch>
          <a:fillRect/>
        </a:stretch>
      </xdr:blipFill>
      <xdr:spPr>
        <a:prstGeom prst="rect">
          <a:avLst/>
        </a:prstGeom>
        <a:noFill/>
      </xdr:spPr>
    </xdr:pic>
    <xdr:clientData fLocksWithSheet="0"/>
  </xdr:oneCellAnchor>
  <xdr:oneCellAnchor>
    <xdr:from>
      <xdr:col>43</xdr:col>
      <xdr:colOff>0</xdr:colOff>
      <xdr:row>71</xdr:row>
      <xdr:rowOff>0</xdr:rowOff>
    </xdr:from>
    <xdr:ext cx="190500" cy="200025"/>
    <xdr:pic>
      <xdr:nvPicPr>
        <xdr:cNvPr id="0" name="image1.png"/>
        <xdr:cNvPicPr preferRelativeResize="0"/>
      </xdr:nvPicPr>
      <xdr:blipFill>
        <a:blip cstate="print" r:embed="rId79"/>
        <a:stretch>
          <a:fillRect/>
        </a:stretch>
      </xdr:blipFill>
      <xdr:spPr>
        <a:prstGeom prst="rect">
          <a:avLst/>
        </a:prstGeom>
        <a:noFill/>
      </xdr:spPr>
    </xdr:pic>
    <xdr:clientData fLocksWithSheet="0"/>
  </xdr:oneCellAnchor>
  <xdr:oneCellAnchor>
    <xdr:from>
      <xdr:col>48</xdr:col>
      <xdr:colOff>0</xdr:colOff>
      <xdr:row>71</xdr:row>
      <xdr:rowOff>0</xdr:rowOff>
    </xdr:from>
    <xdr:ext cx="190500" cy="200025"/>
    <xdr:pic>
      <xdr:nvPicPr>
        <xdr:cNvPr id="0" name="image1.png"/>
        <xdr:cNvPicPr preferRelativeResize="0"/>
      </xdr:nvPicPr>
      <xdr:blipFill>
        <a:blip cstate="print" r:embed="rId79"/>
        <a:stretch>
          <a:fillRect/>
        </a:stretch>
      </xdr:blipFill>
      <xdr:spPr>
        <a:prstGeom prst="rect">
          <a:avLst/>
        </a:prstGeom>
        <a:noFill/>
      </xdr:spPr>
    </xdr:pic>
    <xdr:clientData fLocksWithSheet="0"/>
  </xdr:oneCellAnchor>
  <xdr:oneCellAnchor>
    <xdr:from>
      <xdr:col>53</xdr:col>
      <xdr:colOff>0</xdr:colOff>
      <xdr:row>71</xdr:row>
      <xdr:rowOff>0</xdr:rowOff>
    </xdr:from>
    <xdr:ext cx="161925" cy="200025"/>
    <xdr:pic>
      <xdr:nvPicPr>
        <xdr:cNvPr id="0" name="image81.png"/>
        <xdr:cNvPicPr preferRelativeResize="0"/>
      </xdr:nvPicPr>
      <xdr:blipFill>
        <a:blip cstate="print" r:embed="rId69"/>
        <a:stretch>
          <a:fillRect/>
        </a:stretch>
      </xdr:blipFill>
      <xdr:spPr>
        <a:prstGeom prst="rect">
          <a:avLst/>
        </a:prstGeom>
        <a:noFill/>
      </xdr:spPr>
    </xdr:pic>
    <xdr:clientData fLocksWithSheet="0"/>
  </xdr:oneCellAnchor>
  <xdr:oneCellAnchor>
    <xdr:from>
      <xdr:col>58</xdr:col>
      <xdr:colOff>0</xdr:colOff>
      <xdr:row>71</xdr:row>
      <xdr:rowOff>0</xdr:rowOff>
    </xdr:from>
    <xdr:ext cx="190500" cy="200025"/>
    <xdr:pic>
      <xdr:nvPicPr>
        <xdr:cNvPr id="0" name="image91.png"/>
        <xdr:cNvPicPr preferRelativeResize="0"/>
      </xdr:nvPicPr>
      <xdr:blipFill>
        <a:blip cstate="print" r:embed="rId78"/>
        <a:stretch>
          <a:fillRect/>
        </a:stretch>
      </xdr:blipFill>
      <xdr:spPr>
        <a:prstGeom prst="rect">
          <a:avLst/>
        </a:prstGeom>
        <a:noFill/>
      </xdr:spPr>
    </xdr:pic>
    <xdr:clientData fLocksWithSheet="0"/>
  </xdr:oneCellAnchor>
  <xdr:oneCellAnchor>
    <xdr:from>
      <xdr:col>38</xdr:col>
      <xdr:colOff>0</xdr:colOff>
      <xdr:row>72</xdr:row>
      <xdr:rowOff>0</xdr:rowOff>
    </xdr:from>
    <xdr:ext cx="190500" cy="200025"/>
    <xdr:pic>
      <xdr:nvPicPr>
        <xdr:cNvPr id="0" name="image91.png"/>
        <xdr:cNvPicPr preferRelativeResize="0"/>
      </xdr:nvPicPr>
      <xdr:blipFill>
        <a:blip cstate="print" r:embed="rId78"/>
        <a:stretch>
          <a:fillRect/>
        </a:stretch>
      </xdr:blipFill>
      <xdr:spPr>
        <a:prstGeom prst="rect">
          <a:avLst/>
        </a:prstGeom>
        <a:noFill/>
      </xdr:spPr>
    </xdr:pic>
    <xdr:clientData fLocksWithSheet="0"/>
  </xdr:oneCellAnchor>
  <xdr:oneCellAnchor>
    <xdr:from>
      <xdr:col>43</xdr:col>
      <xdr:colOff>0</xdr:colOff>
      <xdr:row>72</xdr:row>
      <xdr:rowOff>0</xdr:rowOff>
    </xdr:from>
    <xdr:ext cx="295275" cy="142875"/>
    <xdr:pic>
      <xdr:nvPicPr>
        <xdr:cNvPr id="0" name="image84.png"/>
        <xdr:cNvPicPr preferRelativeResize="0"/>
      </xdr:nvPicPr>
      <xdr:blipFill>
        <a:blip cstate="print" r:embed="rId71"/>
        <a:stretch>
          <a:fillRect/>
        </a:stretch>
      </xdr:blipFill>
      <xdr:spPr>
        <a:prstGeom prst="rect">
          <a:avLst/>
        </a:prstGeom>
        <a:noFill/>
      </xdr:spPr>
    </xdr:pic>
    <xdr:clientData fLocksWithSheet="0"/>
  </xdr:oneCellAnchor>
  <xdr:oneCellAnchor>
    <xdr:from>
      <xdr:col>48</xdr:col>
      <xdr:colOff>0</xdr:colOff>
      <xdr:row>72</xdr:row>
      <xdr:rowOff>0</xdr:rowOff>
    </xdr:from>
    <xdr:ext cx="295275" cy="142875"/>
    <xdr:pic>
      <xdr:nvPicPr>
        <xdr:cNvPr id="0" name="image84.png"/>
        <xdr:cNvPicPr preferRelativeResize="0"/>
      </xdr:nvPicPr>
      <xdr:blipFill>
        <a:blip cstate="print" r:embed="rId71"/>
        <a:stretch>
          <a:fillRect/>
        </a:stretch>
      </xdr:blipFill>
      <xdr:spPr>
        <a:prstGeom prst="rect">
          <a:avLst/>
        </a:prstGeom>
        <a:noFill/>
      </xdr:spPr>
    </xdr:pic>
    <xdr:clientData fLocksWithSheet="0"/>
  </xdr:oneCellAnchor>
  <xdr:oneCellAnchor>
    <xdr:from>
      <xdr:col>53</xdr:col>
      <xdr:colOff>0</xdr:colOff>
      <xdr:row>72</xdr:row>
      <xdr:rowOff>0</xdr:rowOff>
    </xdr:from>
    <xdr:ext cx="190500" cy="200025"/>
    <xdr:pic>
      <xdr:nvPicPr>
        <xdr:cNvPr id="0" name="image1.png"/>
        <xdr:cNvPicPr preferRelativeResize="0"/>
      </xdr:nvPicPr>
      <xdr:blipFill>
        <a:blip cstate="print" r:embed="rId79"/>
        <a:stretch>
          <a:fillRect/>
        </a:stretch>
      </xdr:blipFill>
      <xdr:spPr>
        <a:prstGeom prst="rect">
          <a:avLst/>
        </a:prstGeom>
        <a:noFill/>
      </xdr:spPr>
    </xdr:pic>
    <xdr:clientData fLocksWithSheet="0"/>
  </xdr:oneCellAnchor>
  <xdr:oneCellAnchor>
    <xdr:from>
      <xdr:col>58</xdr:col>
      <xdr:colOff>0</xdr:colOff>
      <xdr:row>72</xdr:row>
      <xdr:rowOff>0</xdr:rowOff>
    </xdr:from>
    <xdr:ext cx="161925" cy="200025"/>
    <xdr:pic>
      <xdr:nvPicPr>
        <xdr:cNvPr id="0" name="image81.png"/>
        <xdr:cNvPicPr preferRelativeResize="0"/>
      </xdr:nvPicPr>
      <xdr:blipFill>
        <a:blip cstate="print" r:embed="rId69"/>
        <a:stretch>
          <a:fillRect/>
        </a:stretch>
      </xdr:blipFill>
      <xdr:spPr>
        <a:prstGeom prst="rect">
          <a:avLst/>
        </a:prstGeom>
        <a:noFill/>
      </xdr:spPr>
    </xdr:pic>
    <xdr:clientData fLocksWithSheet="0"/>
  </xdr:oneCellAnchor>
  <xdr:oneCellAnchor>
    <xdr:from>
      <xdr:col>38</xdr:col>
      <xdr:colOff>0</xdr:colOff>
      <xdr:row>73</xdr:row>
      <xdr:rowOff>0</xdr:rowOff>
    </xdr:from>
    <xdr:ext cx="161925" cy="200025"/>
    <xdr:pic>
      <xdr:nvPicPr>
        <xdr:cNvPr id="0" name="image81.png"/>
        <xdr:cNvPicPr preferRelativeResize="0"/>
      </xdr:nvPicPr>
      <xdr:blipFill>
        <a:blip cstate="print" r:embed="rId69"/>
        <a:stretch>
          <a:fillRect/>
        </a:stretch>
      </xdr:blipFill>
      <xdr:spPr>
        <a:prstGeom prst="rect">
          <a:avLst/>
        </a:prstGeom>
        <a:noFill/>
      </xdr:spPr>
    </xdr:pic>
    <xdr:clientData fLocksWithSheet="0"/>
  </xdr:oneCellAnchor>
  <xdr:oneCellAnchor>
    <xdr:from>
      <xdr:col>43</xdr:col>
      <xdr:colOff>0</xdr:colOff>
      <xdr:row>73</xdr:row>
      <xdr:rowOff>0</xdr:rowOff>
    </xdr:from>
    <xdr:ext cx="190500" cy="200025"/>
    <xdr:pic>
      <xdr:nvPicPr>
        <xdr:cNvPr id="0" name="image85.png"/>
        <xdr:cNvPicPr preferRelativeResize="0"/>
      </xdr:nvPicPr>
      <xdr:blipFill>
        <a:blip cstate="print" r:embed="rId73"/>
        <a:stretch>
          <a:fillRect/>
        </a:stretch>
      </xdr:blipFill>
      <xdr:spPr>
        <a:prstGeom prst="rect">
          <a:avLst/>
        </a:prstGeom>
        <a:noFill/>
      </xdr:spPr>
    </xdr:pic>
    <xdr:clientData fLocksWithSheet="0"/>
  </xdr:oneCellAnchor>
  <xdr:oneCellAnchor>
    <xdr:from>
      <xdr:col>48</xdr:col>
      <xdr:colOff>0</xdr:colOff>
      <xdr:row>73</xdr:row>
      <xdr:rowOff>0</xdr:rowOff>
    </xdr:from>
    <xdr:ext cx="190500" cy="200025"/>
    <xdr:pic>
      <xdr:nvPicPr>
        <xdr:cNvPr id="0" name="image85.png"/>
        <xdr:cNvPicPr preferRelativeResize="0"/>
      </xdr:nvPicPr>
      <xdr:blipFill>
        <a:blip cstate="print" r:embed="rId73"/>
        <a:stretch>
          <a:fillRect/>
        </a:stretch>
      </xdr:blipFill>
      <xdr:spPr>
        <a:prstGeom prst="rect">
          <a:avLst/>
        </a:prstGeom>
        <a:noFill/>
      </xdr:spPr>
    </xdr:pic>
    <xdr:clientData fLocksWithSheet="0"/>
  </xdr:oneCellAnchor>
  <xdr:oneCellAnchor>
    <xdr:from>
      <xdr:col>53</xdr:col>
      <xdr:colOff>0</xdr:colOff>
      <xdr:row>73</xdr:row>
      <xdr:rowOff>0</xdr:rowOff>
    </xdr:from>
    <xdr:ext cx="295275" cy="142875"/>
    <xdr:pic>
      <xdr:nvPicPr>
        <xdr:cNvPr id="0" name="image84.png"/>
        <xdr:cNvPicPr preferRelativeResize="0"/>
      </xdr:nvPicPr>
      <xdr:blipFill>
        <a:blip cstate="print" r:embed="rId71"/>
        <a:stretch>
          <a:fillRect/>
        </a:stretch>
      </xdr:blipFill>
      <xdr:spPr>
        <a:prstGeom prst="rect">
          <a:avLst/>
        </a:prstGeom>
        <a:noFill/>
      </xdr:spPr>
    </xdr:pic>
    <xdr:clientData fLocksWithSheet="0"/>
  </xdr:oneCellAnchor>
  <xdr:oneCellAnchor>
    <xdr:from>
      <xdr:col>58</xdr:col>
      <xdr:colOff>0</xdr:colOff>
      <xdr:row>73</xdr:row>
      <xdr:rowOff>0</xdr:rowOff>
    </xdr:from>
    <xdr:ext cx="190500" cy="200025"/>
    <xdr:pic>
      <xdr:nvPicPr>
        <xdr:cNvPr id="0" name="image1.png"/>
        <xdr:cNvPicPr preferRelativeResize="0"/>
      </xdr:nvPicPr>
      <xdr:blipFill>
        <a:blip cstate="print" r:embed="rId79"/>
        <a:stretch>
          <a:fillRect/>
        </a:stretch>
      </xdr:blipFill>
      <xdr:spPr>
        <a:prstGeom prst="rect">
          <a:avLst/>
        </a:prstGeom>
        <a:noFill/>
      </xdr:spPr>
    </xdr:pic>
    <xdr:clientData fLocksWithSheet="0"/>
  </xdr:oneCellAnchor>
  <xdr:oneCellAnchor>
    <xdr:from>
      <xdr:col>38</xdr:col>
      <xdr:colOff>0</xdr:colOff>
      <xdr:row>74</xdr:row>
      <xdr:rowOff>0</xdr:rowOff>
    </xdr:from>
    <xdr:ext cx="190500" cy="200025"/>
    <xdr:pic>
      <xdr:nvPicPr>
        <xdr:cNvPr id="0" name="image1.png"/>
        <xdr:cNvPicPr preferRelativeResize="0"/>
      </xdr:nvPicPr>
      <xdr:blipFill>
        <a:blip cstate="print" r:embed="rId79"/>
        <a:stretch>
          <a:fillRect/>
        </a:stretch>
      </xdr:blipFill>
      <xdr:spPr>
        <a:prstGeom prst="rect">
          <a:avLst/>
        </a:prstGeom>
        <a:noFill/>
      </xdr:spPr>
    </xdr:pic>
    <xdr:clientData fLocksWithSheet="0"/>
  </xdr:oneCellAnchor>
  <xdr:oneCellAnchor>
    <xdr:from>
      <xdr:col>43</xdr:col>
      <xdr:colOff>0</xdr:colOff>
      <xdr:row>74</xdr:row>
      <xdr:rowOff>0</xdr:rowOff>
    </xdr:from>
    <xdr:ext cx="200025" cy="200025"/>
    <xdr:pic>
      <xdr:nvPicPr>
        <xdr:cNvPr id="0" name="image90.png"/>
        <xdr:cNvPicPr preferRelativeResize="0"/>
      </xdr:nvPicPr>
      <xdr:blipFill>
        <a:blip cstate="print" r:embed="rId75"/>
        <a:stretch>
          <a:fillRect/>
        </a:stretch>
      </xdr:blipFill>
      <xdr:spPr>
        <a:prstGeom prst="rect">
          <a:avLst/>
        </a:prstGeom>
        <a:noFill/>
      </xdr:spPr>
    </xdr:pic>
    <xdr:clientData fLocksWithSheet="0"/>
  </xdr:oneCellAnchor>
  <xdr:oneCellAnchor>
    <xdr:from>
      <xdr:col>48</xdr:col>
      <xdr:colOff>0</xdr:colOff>
      <xdr:row>74</xdr:row>
      <xdr:rowOff>0</xdr:rowOff>
    </xdr:from>
    <xdr:ext cx="200025" cy="200025"/>
    <xdr:pic>
      <xdr:nvPicPr>
        <xdr:cNvPr id="0" name="image90.png"/>
        <xdr:cNvPicPr preferRelativeResize="0"/>
      </xdr:nvPicPr>
      <xdr:blipFill>
        <a:blip cstate="print" r:embed="rId75"/>
        <a:stretch>
          <a:fillRect/>
        </a:stretch>
      </xdr:blipFill>
      <xdr:spPr>
        <a:prstGeom prst="rect">
          <a:avLst/>
        </a:prstGeom>
        <a:noFill/>
      </xdr:spPr>
    </xdr:pic>
    <xdr:clientData fLocksWithSheet="0"/>
  </xdr:oneCellAnchor>
  <xdr:oneCellAnchor>
    <xdr:from>
      <xdr:col>53</xdr:col>
      <xdr:colOff>0</xdr:colOff>
      <xdr:row>74</xdr:row>
      <xdr:rowOff>0</xdr:rowOff>
    </xdr:from>
    <xdr:ext cx="190500" cy="200025"/>
    <xdr:pic>
      <xdr:nvPicPr>
        <xdr:cNvPr id="0" name="image85.png"/>
        <xdr:cNvPicPr preferRelativeResize="0"/>
      </xdr:nvPicPr>
      <xdr:blipFill>
        <a:blip cstate="print" r:embed="rId73"/>
        <a:stretch>
          <a:fillRect/>
        </a:stretch>
      </xdr:blipFill>
      <xdr:spPr>
        <a:prstGeom prst="rect">
          <a:avLst/>
        </a:prstGeom>
        <a:noFill/>
      </xdr:spPr>
    </xdr:pic>
    <xdr:clientData fLocksWithSheet="0"/>
  </xdr:oneCellAnchor>
  <xdr:oneCellAnchor>
    <xdr:from>
      <xdr:col>58</xdr:col>
      <xdr:colOff>0</xdr:colOff>
      <xdr:row>74</xdr:row>
      <xdr:rowOff>0</xdr:rowOff>
    </xdr:from>
    <xdr:ext cx="295275" cy="142875"/>
    <xdr:pic>
      <xdr:nvPicPr>
        <xdr:cNvPr id="0" name="image84.png"/>
        <xdr:cNvPicPr preferRelativeResize="0"/>
      </xdr:nvPicPr>
      <xdr:blipFill>
        <a:blip cstate="print" r:embed="rId71"/>
        <a:stretch>
          <a:fillRect/>
        </a:stretch>
      </xdr:blipFill>
      <xdr:spPr>
        <a:prstGeom prst="rect">
          <a:avLst/>
        </a:prstGeom>
        <a:noFill/>
      </xdr:spPr>
    </xdr:pic>
    <xdr:clientData fLocksWithSheet="0"/>
  </xdr:oneCellAnchor>
  <xdr:oneCellAnchor>
    <xdr:from>
      <xdr:col>38</xdr:col>
      <xdr:colOff>0</xdr:colOff>
      <xdr:row>75</xdr:row>
      <xdr:rowOff>0</xdr:rowOff>
    </xdr:from>
    <xdr:ext cx="295275" cy="142875"/>
    <xdr:pic>
      <xdr:nvPicPr>
        <xdr:cNvPr id="0" name="image84.png"/>
        <xdr:cNvPicPr preferRelativeResize="0"/>
      </xdr:nvPicPr>
      <xdr:blipFill>
        <a:blip cstate="print" r:embed="rId71"/>
        <a:stretch>
          <a:fillRect/>
        </a:stretch>
      </xdr:blipFill>
      <xdr:spPr>
        <a:prstGeom prst="rect">
          <a:avLst/>
        </a:prstGeom>
        <a:noFill/>
      </xdr:spPr>
    </xdr:pic>
    <xdr:clientData fLocksWithSheet="0"/>
  </xdr:oneCellAnchor>
  <xdr:oneCellAnchor>
    <xdr:from>
      <xdr:col>43</xdr:col>
      <xdr:colOff>0</xdr:colOff>
      <xdr:row>75</xdr:row>
      <xdr:rowOff>0</xdr:rowOff>
    </xdr:from>
    <xdr:ext cx="200025" cy="200025"/>
    <xdr:pic>
      <xdr:nvPicPr>
        <xdr:cNvPr id="0" name="image56.png"/>
        <xdr:cNvPicPr preferRelativeResize="0"/>
      </xdr:nvPicPr>
      <xdr:blipFill>
        <a:blip cstate="print" r:embed="rId36"/>
        <a:stretch>
          <a:fillRect/>
        </a:stretch>
      </xdr:blipFill>
      <xdr:spPr>
        <a:prstGeom prst="rect">
          <a:avLst/>
        </a:prstGeom>
        <a:noFill/>
      </xdr:spPr>
    </xdr:pic>
    <xdr:clientData fLocksWithSheet="0"/>
  </xdr:oneCellAnchor>
  <xdr:oneCellAnchor>
    <xdr:from>
      <xdr:col>48</xdr:col>
      <xdr:colOff>0</xdr:colOff>
      <xdr:row>75</xdr:row>
      <xdr:rowOff>0</xdr:rowOff>
    </xdr:from>
    <xdr:ext cx="200025" cy="200025"/>
    <xdr:pic>
      <xdr:nvPicPr>
        <xdr:cNvPr id="0" name="image56.png"/>
        <xdr:cNvPicPr preferRelativeResize="0"/>
      </xdr:nvPicPr>
      <xdr:blipFill>
        <a:blip cstate="print" r:embed="rId36"/>
        <a:stretch>
          <a:fillRect/>
        </a:stretch>
      </xdr:blipFill>
      <xdr:spPr>
        <a:prstGeom prst="rect">
          <a:avLst/>
        </a:prstGeom>
        <a:noFill/>
      </xdr:spPr>
    </xdr:pic>
    <xdr:clientData fLocksWithSheet="0"/>
  </xdr:oneCellAnchor>
  <xdr:oneCellAnchor>
    <xdr:from>
      <xdr:col>53</xdr:col>
      <xdr:colOff>0</xdr:colOff>
      <xdr:row>75</xdr:row>
      <xdr:rowOff>0</xdr:rowOff>
    </xdr:from>
    <xdr:ext cx="200025" cy="200025"/>
    <xdr:pic>
      <xdr:nvPicPr>
        <xdr:cNvPr id="0" name="image90.png"/>
        <xdr:cNvPicPr preferRelativeResize="0"/>
      </xdr:nvPicPr>
      <xdr:blipFill>
        <a:blip cstate="print" r:embed="rId75"/>
        <a:stretch>
          <a:fillRect/>
        </a:stretch>
      </xdr:blipFill>
      <xdr:spPr>
        <a:prstGeom prst="rect">
          <a:avLst/>
        </a:prstGeom>
        <a:noFill/>
      </xdr:spPr>
    </xdr:pic>
    <xdr:clientData fLocksWithSheet="0"/>
  </xdr:oneCellAnchor>
  <xdr:oneCellAnchor>
    <xdr:from>
      <xdr:col>58</xdr:col>
      <xdr:colOff>0</xdr:colOff>
      <xdr:row>75</xdr:row>
      <xdr:rowOff>0</xdr:rowOff>
    </xdr:from>
    <xdr:ext cx="190500" cy="200025"/>
    <xdr:pic>
      <xdr:nvPicPr>
        <xdr:cNvPr id="0" name="image85.png"/>
        <xdr:cNvPicPr preferRelativeResize="0"/>
      </xdr:nvPicPr>
      <xdr:blipFill>
        <a:blip cstate="print" r:embed="rId73"/>
        <a:stretch>
          <a:fillRect/>
        </a:stretch>
      </xdr:blipFill>
      <xdr:spPr>
        <a:prstGeom prst="rect">
          <a:avLst/>
        </a:prstGeom>
        <a:noFill/>
      </xdr:spPr>
    </xdr:pic>
    <xdr:clientData fLocksWithSheet="0"/>
  </xdr:oneCellAnchor>
  <xdr:oneCellAnchor>
    <xdr:from>
      <xdr:col>38</xdr:col>
      <xdr:colOff>0</xdr:colOff>
      <xdr:row>76</xdr:row>
      <xdr:rowOff>0</xdr:rowOff>
    </xdr:from>
    <xdr:ext cx="190500" cy="200025"/>
    <xdr:pic>
      <xdr:nvPicPr>
        <xdr:cNvPr id="0" name="image85.png"/>
        <xdr:cNvPicPr preferRelativeResize="0"/>
      </xdr:nvPicPr>
      <xdr:blipFill>
        <a:blip cstate="print" r:embed="rId73"/>
        <a:stretch>
          <a:fillRect/>
        </a:stretch>
      </xdr:blipFill>
      <xdr:spPr>
        <a:prstGeom prst="rect">
          <a:avLst/>
        </a:prstGeom>
        <a:noFill/>
      </xdr:spPr>
    </xdr:pic>
    <xdr:clientData fLocksWithSheet="0"/>
  </xdr:oneCellAnchor>
  <xdr:oneCellAnchor>
    <xdr:from>
      <xdr:col>43</xdr:col>
      <xdr:colOff>0</xdr:colOff>
      <xdr:row>76</xdr:row>
      <xdr:rowOff>0</xdr:rowOff>
    </xdr:from>
    <xdr:ext cx="200025" cy="200025"/>
    <xdr:pic>
      <xdr:nvPicPr>
        <xdr:cNvPr id="0" name="image82.png"/>
        <xdr:cNvPicPr preferRelativeResize="0"/>
      </xdr:nvPicPr>
      <xdr:blipFill>
        <a:blip cstate="print" r:embed="rId70"/>
        <a:stretch>
          <a:fillRect/>
        </a:stretch>
      </xdr:blipFill>
      <xdr:spPr>
        <a:prstGeom prst="rect">
          <a:avLst/>
        </a:prstGeom>
        <a:noFill/>
      </xdr:spPr>
    </xdr:pic>
    <xdr:clientData fLocksWithSheet="0"/>
  </xdr:oneCellAnchor>
  <xdr:oneCellAnchor>
    <xdr:from>
      <xdr:col>48</xdr:col>
      <xdr:colOff>0</xdr:colOff>
      <xdr:row>76</xdr:row>
      <xdr:rowOff>0</xdr:rowOff>
    </xdr:from>
    <xdr:ext cx="200025" cy="200025"/>
    <xdr:pic>
      <xdr:nvPicPr>
        <xdr:cNvPr id="0" name="image82.png"/>
        <xdr:cNvPicPr preferRelativeResize="0"/>
      </xdr:nvPicPr>
      <xdr:blipFill>
        <a:blip cstate="print" r:embed="rId70"/>
        <a:stretch>
          <a:fillRect/>
        </a:stretch>
      </xdr:blipFill>
      <xdr:spPr>
        <a:prstGeom prst="rect">
          <a:avLst/>
        </a:prstGeom>
        <a:noFill/>
      </xdr:spPr>
    </xdr:pic>
    <xdr:clientData fLocksWithSheet="0"/>
  </xdr:oneCellAnchor>
  <xdr:oneCellAnchor>
    <xdr:from>
      <xdr:col>53</xdr:col>
      <xdr:colOff>0</xdr:colOff>
      <xdr:row>76</xdr:row>
      <xdr:rowOff>0</xdr:rowOff>
    </xdr:from>
    <xdr:ext cx="200025" cy="200025"/>
    <xdr:pic>
      <xdr:nvPicPr>
        <xdr:cNvPr id="0" name="image56.png"/>
        <xdr:cNvPicPr preferRelativeResize="0"/>
      </xdr:nvPicPr>
      <xdr:blipFill>
        <a:blip cstate="print" r:embed="rId36"/>
        <a:stretch>
          <a:fillRect/>
        </a:stretch>
      </xdr:blipFill>
      <xdr:spPr>
        <a:prstGeom prst="rect">
          <a:avLst/>
        </a:prstGeom>
        <a:noFill/>
      </xdr:spPr>
    </xdr:pic>
    <xdr:clientData fLocksWithSheet="0"/>
  </xdr:oneCellAnchor>
  <xdr:oneCellAnchor>
    <xdr:from>
      <xdr:col>58</xdr:col>
      <xdr:colOff>0</xdr:colOff>
      <xdr:row>76</xdr:row>
      <xdr:rowOff>0</xdr:rowOff>
    </xdr:from>
    <xdr:ext cx="200025" cy="200025"/>
    <xdr:pic>
      <xdr:nvPicPr>
        <xdr:cNvPr id="0" name="image90.png"/>
        <xdr:cNvPicPr preferRelativeResize="0"/>
      </xdr:nvPicPr>
      <xdr:blipFill>
        <a:blip cstate="print" r:embed="rId75"/>
        <a:stretch>
          <a:fillRect/>
        </a:stretch>
      </xdr:blipFill>
      <xdr:spPr>
        <a:prstGeom prst="rect">
          <a:avLst/>
        </a:prstGeom>
        <a:noFill/>
      </xdr:spPr>
    </xdr:pic>
    <xdr:clientData fLocksWithSheet="0"/>
  </xdr:oneCellAnchor>
  <xdr:oneCellAnchor>
    <xdr:from>
      <xdr:col>38</xdr:col>
      <xdr:colOff>0</xdr:colOff>
      <xdr:row>77</xdr:row>
      <xdr:rowOff>0</xdr:rowOff>
    </xdr:from>
    <xdr:ext cx="200025" cy="200025"/>
    <xdr:pic>
      <xdr:nvPicPr>
        <xdr:cNvPr id="0" name="image90.png"/>
        <xdr:cNvPicPr preferRelativeResize="0"/>
      </xdr:nvPicPr>
      <xdr:blipFill>
        <a:blip cstate="print" r:embed="rId75"/>
        <a:stretch>
          <a:fillRect/>
        </a:stretch>
      </xdr:blipFill>
      <xdr:spPr>
        <a:prstGeom prst="rect">
          <a:avLst/>
        </a:prstGeom>
        <a:noFill/>
      </xdr:spPr>
    </xdr:pic>
    <xdr:clientData fLocksWithSheet="0"/>
  </xdr:oneCellAnchor>
  <xdr:oneCellAnchor>
    <xdr:from>
      <xdr:col>43</xdr:col>
      <xdr:colOff>0</xdr:colOff>
      <xdr:row>77</xdr:row>
      <xdr:rowOff>0</xdr:rowOff>
    </xdr:from>
    <xdr:ext cx="161925" cy="200025"/>
    <xdr:pic>
      <xdr:nvPicPr>
        <xdr:cNvPr id="0" name="image58.png"/>
        <xdr:cNvPicPr preferRelativeResize="0"/>
      </xdr:nvPicPr>
      <xdr:blipFill>
        <a:blip cstate="print" r:embed="rId38"/>
        <a:stretch>
          <a:fillRect/>
        </a:stretch>
      </xdr:blipFill>
      <xdr:spPr>
        <a:prstGeom prst="rect">
          <a:avLst/>
        </a:prstGeom>
        <a:noFill/>
      </xdr:spPr>
    </xdr:pic>
    <xdr:clientData fLocksWithSheet="0"/>
  </xdr:oneCellAnchor>
  <xdr:oneCellAnchor>
    <xdr:from>
      <xdr:col>48</xdr:col>
      <xdr:colOff>0</xdr:colOff>
      <xdr:row>77</xdr:row>
      <xdr:rowOff>0</xdr:rowOff>
    </xdr:from>
    <xdr:ext cx="161925" cy="200025"/>
    <xdr:pic>
      <xdr:nvPicPr>
        <xdr:cNvPr id="0" name="image58.png"/>
        <xdr:cNvPicPr preferRelativeResize="0"/>
      </xdr:nvPicPr>
      <xdr:blipFill>
        <a:blip cstate="print" r:embed="rId38"/>
        <a:stretch>
          <a:fillRect/>
        </a:stretch>
      </xdr:blipFill>
      <xdr:spPr>
        <a:prstGeom prst="rect">
          <a:avLst/>
        </a:prstGeom>
        <a:noFill/>
      </xdr:spPr>
    </xdr:pic>
    <xdr:clientData fLocksWithSheet="0"/>
  </xdr:oneCellAnchor>
  <xdr:oneCellAnchor>
    <xdr:from>
      <xdr:col>53</xdr:col>
      <xdr:colOff>0</xdr:colOff>
      <xdr:row>77</xdr:row>
      <xdr:rowOff>0</xdr:rowOff>
    </xdr:from>
    <xdr:ext cx="200025" cy="200025"/>
    <xdr:pic>
      <xdr:nvPicPr>
        <xdr:cNvPr id="0" name="image82.png"/>
        <xdr:cNvPicPr preferRelativeResize="0"/>
      </xdr:nvPicPr>
      <xdr:blipFill>
        <a:blip cstate="print" r:embed="rId70"/>
        <a:stretch>
          <a:fillRect/>
        </a:stretch>
      </xdr:blipFill>
      <xdr:spPr>
        <a:prstGeom prst="rect">
          <a:avLst/>
        </a:prstGeom>
        <a:noFill/>
      </xdr:spPr>
    </xdr:pic>
    <xdr:clientData fLocksWithSheet="0"/>
  </xdr:oneCellAnchor>
  <xdr:oneCellAnchor>
    <xdr:from>
      <xdr:col>58</xdr:col>
      <xdr:colOff>0</xdr:colOff>
      <xdr:row>77</xdr:row>
      <xdr:rowOff>0</xdr:rowOff>
    </xdr:from>
    <xdr:ext cx="200025" cy="200025"/>
    <xdr:pic>
      <xdr:nvPicPr>
        <xdr:cNvPr id="0" name="image56.png"/>
        <xdr:cNvPicPr preferRelativeResize="0"/>
      </xdr:nvPicPr>
      <xdr:blipFill>
        <a:blip cstate="print" r:embed="rId36"/>
        <a:stretch>
          <a:fillRect/>
        </a:stretch>
      </xdr:blipFill>
      <xdr:spPr>
        <a:prstGeom prst="rect">
          <a:avLst/>
        </a:prstGeom>
        <a:noFill/>
      </xdr:spPr>
    </xdr:pic>
    <xdr:clientData fLocksWithSheet="0"/>
  </xdr:oneCellAnchor>
  <xdr:oneCellAnchor>
    <xdr:from>
      <xdr:col>38</xdr:col>
      <xdr:colOff>0</xdr:colOff>
      <xdr:row>78</xdr:row>
      <xdr:rowOff>0</xdr:rowOff>
    </xdr:from>
    <xdr:ext cx="200025" cy="200025"/>
    <xdr:pic>
      <xdr:nvPicPr>
        <xdr:cNvPr id="0" name="image56.png"/>
        <xdr:cNvPicPr preferRelativeResize="0"/>
      </xdr:nvPicPr>
      <xdr:blipFill>
        <a:blip cstate="print" r:embed="rId36"/>
        <a:stretch>
          <a:fillRect/>
        </a:stretch>
      </xdr:blipFill>
      <xdr:spPr>
        <a:prstGeom prst="rect">
          <a:avLst/>
        </a:prstGeom>
        <a:noFill/>
      </xdr:spPr>
    </xdr:pic>
    <xdr:clientData fLocksWithSheet="0"/>
  </xdr:oneCellAnchor>
  <xdr:oneCellAnchor>
    <xdr:from>
      <xdr:col>43</xdr:col>
      <xdr:colOff>0</xdr:colOff>
      <xdr:row>78</xdr:row>
      <xdr:rowOff>0</xdr:rowOff>
    </xdr:from>
    <xdr:ext cx="200025" cy="200025"/>
    <xdr:pic>
      <xdr:nvPicPr>
        <xdr:cNvPr id="0" name="image89.png"/>
        <xdr:cNvPicPr preferRelativeResize="0"/>
      </xdr:nvPicPr>
      <xdr:blipFill>
        <a:blip cstate="print" r:embed="rId76"/>
        <a:stretch>
          <a:fillRect/>
        </a:stretch>
      </xdr:blipFill>
      <xdr:spPr>
        <a:prstGeom prst="rect">
          <a:avLst/>
        </a:prstGeom>
        <a:noFill/>
      </xdr:spPr>
    </xdr:pic>
    <xdr:clientData fLocksWithSheet="0"/>
  </xdr:oneCellAnchor>
  <xdr:oneCellAnchor>
    <xdr:from>
      <xdr:col>48</xdr:col>
      <xdr:colOff>0</xdr:colOff>
      <xdr:row>78</xdr:row>
      <xdr:rowOff>0</xdr:rowOff>
    </xdr:from>
    <xdr:ext cx="200025" cy="200025"/>
    <xdr:pic>
      <xdr:nvPicPr>
        <xdr:cNvPr id="0" name="image89.png"/>
        <xdr:cNvPicPr preferRelativeResize="0"/>
      </xdr:nvPicPr>
      <xdr:blipFill>
        <a:blip cstate="print" r:embed="rId76"/>
        <a:stretch>
          <a:fillRect/>
        </a:stretch>
      </xdr:blipFill>
      <xdr:spPr>
        <a:prstGeom prst="rect">
          <a:avLst/>
        </a:prstGeom>
        <a:noFill/>
      </xdr:spPr>
    </xdr:pic>
    <xdr:clientData fLocksWithSheet="0"/>
  </xdr:oneCellAnchor>
  <xdr:oneCellAnchor>
    <xdr:from>
      <xdr:col>53</xdr:col>
      <xdr:colOff>0</xdr:colOff>
      <xdr:row>78</xdr:row>
      <xdr:rowOff>0</xdr:rowOff>
    </xdr:from>
    <xdr:ext cx="161925" cy="200025"/>
    <xdr:pic>
      <xdr:nvPicPr>
        <xdr:cNvPr id="0" name="image58.png"/>
        <xdr:cNvPicPr preferRelativeResize="0"/>
      </xdr:nvPicPr>
      <xdr:blipFill>
        <a:blip cstate="print" r:embed="rId38"/>
        <a:stretch>
          <a:fillRect/>
        </a:stretch>
      </xdr:blipFill>
      <xdr:spPr>
        <a:prstGeom prst="rect">
          <a:avLst/>
        </a:prstGeom>
        <a:noFill/>
      </xdr:spPr>
    </xdr:pic>
    <xdr:clientData fLocksWithSheet="0"/>
  </xdr:oneCellAnchor>
  <xdr:oneCellAnchor>
    <xdr:from>
      <xdr:col>58</xdr:col>
      <xdr:colOff>0</xdr:colOff>
      <xdr:row>78</xdr:row>
      <xdr:rowOff>0</xdr:rowOff>
    </xdr:from>
    <xdr:ext cx="200025" cy="200025"/>
    <xdr:pic>
      <xdr:nvPicPr>
        <xdr:cNvPr id="0" name="image82.png"/>
        <xdr:cNvPicPr preferRelativeResize="0"/>
      </xdr:nvPicPr>
      <xdr:blipFill>
        <a:blip cstate="print" r:embed="rId70"/>
        <a:stretch>
          <a:fillRect/>
        </a:stretch>
      </xdr:blipFill>
      <xdr:spPr>
        <a:prstGeom prst="rect">
          <a:avLst/>
        </a:prstGeom>
        <a:noFill/>
      </xdr:spPr>
    </xdr:pic>
    <xdr:clientData fLocksWithSheet="0"/>
  </xdr:oneCellAnchor>
  <xdr:oneCellAnchor>
    <xdr:from>
      <xdr:col>38</xdr:col>
      <xdr:colOff>0</xdr:colOff>
      <xdr:row>79</xdr:row>
      <xdr:rowOff>0</xdr:rowOff>
    </xdr:from>
    <xdr:ext cx="200025" cy="200025"/>
    <xdr:pic>
      <xdr:nvPicPr>
        <xdr:cNvPr id="0" name="image82.png"/>
        <xdr:cNvPicPr preferRelativeResize="0"/>
      </xdr:nvPicPr>
      <xdr:blipFill>
        <a:blip cstate="print" r:embed="rId70"/>
        <a:stretch>
          <a:fillRect/>
        </a:stretch>
      </xdr:blipFill>
      <xdr:spPr>
        <a:prstGeom prst="rect">
          <a:avLst/>
        </a:prstGeom>
        <a:noFill/>
      </xdr:spPr>
    </xdr:pic>
    <xdr:clientData fLocksWithSheet="0"/>
  </xdr:oneCellAnchor>
  <xdr:oneCellAnchor>
    <xdr:from>
      <xdr:col>43</xdr:col>
      <xdr:colOff>0</xdr:colOff>
      <xdr:row>79</xdr:row>
      <xdr:rowOff>0</xdr:rowOff>
    </xdr:from>
    <xdr:ext cx="190500" cy="200025"/>
    <xdr:pic>
      <xdr:nvPicPr>
        <xdr:cNvPr id="0" name="image86.png"/>
        <xdr:cNvPicPr preferRelativeResize="0"/>
      </xdr:nvPicPr>
      <xdr:blipFill>
        <a:blip cstate="print" r:embed="rId77"/>
        <a:stretch>
          <a:fillRect/>
        </a:stretch>
      </xdr:blipFill>
      <xdr:spPr>
        <a:prstGeom prst="rect">
          <a:avLst/>
        </a:prstGeom>
        <a:noFill/>
      </xdr:spPr>
    </xdr:pic>
    <xdr:clientData fLocksWithSheet="0"/>
  </xdr:oneCellAnchor>
  <xdr:oneCellAnchor>
    <xdr:from>
      <xdr:col>48</xdr:col>
      <xdr:colOff>0</xdr:colOff>
      <xdr:row>79</xdr:row>
      <xdr:rowOff>0</xdr:rowOff>
    </xdr:from>
    <xdr:ext cx="190500" cy="200025"/>
    <xdr:pic>
      <xdr:nvPicPr>
        <xdr:cNvPr id="0" name="image86.png"/>
        <xdr:cNvPicPr preferRelativeResize="0"/>
      </xdr:nvPicPr>
      <xdr:blipFill>
        <a:blip cstate="print" r:embed="rId77"/>
        <a:stretch>
          <a:fillRect/>
        </a:stretch>
      </xdr:blipFill>
      <xdr:spPr>
        <a:prstGeom prst="rect">
          <a:avLst/>
        </a:prstGeom>
        <a:noFill/>
      </xdr:spPr>
    </xdr:pic>
    <xdr:clientData fLocksWithSheet="0"/>
  </xdr:oneCellAnchor>
  <xdr:oneCellAnchor>
    <xdr:from>
      <xdr:col>53</xdr:col>
      <xdr:colOff>0</xdr:colOff>
      <xdr:row>79</xdr:row>
      <xdr:rowOff>0</xdr:rowOff>
    </xdr:from>
    <xdr:ext cx="200025" cy="200025"/>
    <xdr:pic>
      <xdr:nvPicPr>
        <xdr:cNvPr id="0" name="image89.png"/>
        <xdr:cNvPicPr preferRelativeResize="0"/>
      </xdr:nvPicPr>
      <xdr:blipFill>
        <a:blip cstate="print" r:embed="rId76"/>
        <a:stretch>
          <a:fillRect/>
        </a:stretch>
      </xdr:blipFill>
      <xdr:spPr>
        <a:prstGeom prst="rect">
          <a:avLst/>
        </a:prstGeom>
        <a:noFill/>
      </xdr:spPr>
    </xdr:pic>
    <xdr:clientData fLocksWithSheet="0"/>
  </xdr:oneCellAnchor>
  <xdr:oneCellAnchor>
    <xdr:from>
      <xdr:col>58</xdr:col>
      <xdr:colOff>0</xdr:colOff>
      <xdr:row>79</xdr:row>
      <xdr:rowOff>0</xdr:rowOff>
    </xdr:from>
    <xdr:ext cx="161925" cy="200025"/>
    <xdr:pic>
      <xdr:nvPicPr>
        <xdr:cNvPr id="0" name="image58.png"/>
        <xdr:cNvPicPr preferRelativeResize="0"/>
      </xdr:nvPicPr>
      <xdr:blipFill>
        <a:blip cstate="print" r:embed="rId38"/>
        <a:stretch>
          <a:fillRect/>
        </a:stretch>
      </xdr:blipFill>
      <xdr:spPr>
        <a:prstGeom prst="rect">
          <a:avLst/>
        </a:prstGeom>
        <a:noFill/>
      </xdr:spPr>
    </xdr:pic>
    <xdr:clientData fLocksWithSheet="0"/>
  </xdr:oneCellAnchor>
  <xdr:oneCellAnchor>
    <xdr:from>
      <xdr:col>38</xdr:col>
      <xdr:colOff>0</xdr:colOff>
      <xdr:row>80</xdr:row>
      <xdr:rowOff>0</xdr:rowOff>
    </xdr:from>
    <xdr:ext cx="161925" cy="200025"/>
    <xdr:pic>
      <xdr:nvPicPr>
        <xdr:cNvPr id="0" name="image58.png"/>
        <xdr:cNvPicPr preferRelativeResize="0"/>
      </xdr:nvPicPr>
      <xdr:blipFill>
        <a:blip cstate="print" r:embed="rId38"/>
        <a:stretch>
          <a:fillRect/>
        </a:stretch>
      </xdr:blipFill>
      <xdr:spPr>
        <a:prstGeom prst="rect">
          <a:avLst/>
        </a:prstGeom>
        <a:noFill/>
      </xdr:spPr>
    </xdr:pic>
    <xdr:clientData fLocksWithSheet="0"/>
  </xdr:oneCellAnchor>
  <xdr:oneCellAnchor>
    <xdr:from>
      <xdr:col>43</xdr:col>
      <xdr:colOff>0</xdr:colOff>
      <xdr:row>80</xdr:row>
      <xdr:rowOff>0</xdr:rowOff>
    </xdr:from>
    <xdr:ext cx="295275" cy="142875"/>
    <xdr:pic>
      <xdr:nvPicPr>
        <xdr:cNvPr id="0" name="image47.png"/>
        <xdr:cNvPicPr preferRelativeResize="0"/>
      </xdr:nvPicPr>
      <xdr:blipFill>
        <a:blip cstate="print" r:embed="rId41"/>
        <a:stretch>
          <a:fillRect/>
        </a:stretch>
      </xdr:blipFill>
      <xdr:spPr>
        <a:prstGeom prst="rect">
          <a:avLst/>
        </a:prstGeom>
        <a:noFill/>
      </xdr:spPr>
    </xdr:pic>
    <xdr:clientData fLocksWithSheet="0"/>
  </xdr:oneCellAnchor>
  <xdr:oneCellAnchor>
    <xdr:from>
      <xdr:col>48</xdr:col>
      <xdr:colOff>0</xdr:colOff>
      <xdr:row>80</xdr:row>
      <xdr:rowOff>0</xdr:rowOff>
    </xdr:from>
    <xdr:ext cx="295275" cy="142875"/>
    <xdr:pic>
      <xdr:nvPicPr>
        <xdr:cNvPr id="0" name="image47.png"/>
        <xdr:cNvPicPr preferRelativeResize="0"/>
      </xdr:nvPicPr>
      <xdr:blipFill>
        <a:blip cstate="print" r:embed="rId41"/>
        <a:stretch>
          <a:fillRect/>
        </a:stretch>
      </xdr:blipFill>
      <xdr:spPr>
        <a:prstGeom prst="rect">
          <a:avLst/>
        </a:prstGeom>
        <a:noFill/>
      </xdr:spPr>
    </xdr:pic>
    <xdr:clientData fLocksWithSheet="0"/>
  </xdr:oneCellAnchor>
  <xdr:oneCellAnchor>
    <xdr:from>
      <xdr:col>53</xdr:col>
      <xdr:colOff>0</xdr:colOff>
      <xdr:row>80</xdr:row>
      <xdr:rowOff>0</xdr:rowOff>
    </xdr:from>
    <xdr:ext cx="190500" cy="200025"/>
    <xdr:pic>
      <xdr:nvPicPr>
        <xdr:cNvPr id="0" name="image86.png"/>
        <xdr:cNvPicPr preferRelativeResize="0"/>
      </xdr:nvPicPr>
      <xdr:blipFill>
        <a:blip cstate="print" r:embed="rId77"/>
        <a:stretch>
          <a:fillRect/>
        </a:stretch>
      </xdr:blipFill>
      <xdr:spPr>
        <a:prstGeom prst="rect">
          <a:avLst/>
        </a:prstGeom>
        <a:noFill/>
      </xdr:spPr>
    </xdr:pic>
    <xdr:clientData fLocksWithSheet="0"/>
  </xdr:oneCellAnchor>
  <xdr:oneCellAnchor>
    <xdr:from>
      <xdr:col>58</xdr:col>
      <xdr:colOff>0</xdr:colOff>
      <xdr:row>80</xdr:row>
      <xdr:rowOff>0</xdr:rowOff>
    </xdr:from>
    <xdr:ext cx="200025" cy="200025"/>
    <xdr:pic>
      <xdr:nvPicPr>
        <xdr:cNvPr id="0" name="image89.png"/>
        <xdr:cNvPicPr preferRelativeResize="0"/>
      </xdr:nvPicPr>
      <xdr:blipFill>
        <a:blip cstate="print" r:embed="rId76"/>
        <a:stretch>
          <a:fillRect/>
        </a:stretch>
      </xdr:blipFill>
      <xdr:spPr>
        <a:prstGeom prst="rect">
          <a:avLst/>
        </a:prstGeom>
        <a:noFill/>
      </xdr:spPr>
    </xdr:pic>
    <xdr:clientData fLocksWithSheet="0"/>
  </xdr:oneCellAnchor>
  <xdr:oneCellAnchor>
    <xdr:from>
      <xdr:col>38</xdr:col>
      <xdr:colOff>0</xdr:colOff>
      <xdr:row>81</xdr:row>
      <xdr:rowOff>0</xdr:rowOff>
    </xdr:from>
    <xdr:ext cx="200025" cy="200025"/>
    <xdr:pic>
      <xdr:nvPicPr>
        <xdr:cNvPr id="0" name="image89.png"/>
        <xdr:cNvPicPr preferRelativeResize="0"/>
      </xdr:nvPicPr>
      <xdr:blipFill>
        <a:blip cstate="print" r:embed="rId76"/>
        <a:stretch>
          <a:fillRect/>
        </a:stretch>
      </xdr:blipFill>
      <xdr:spPr>
        <a:prstGeom prst="rect">
          <a:avLst/>
        </a:prstGeom>
        <a:noFill/>
      </xdr:spPr>
    </xdr:pic>
    <xdr:clientData fLocksWithSheet="0"/>
  </xdr:oneCellAnchor>
  <xdr:oneCellAnchor>
    <xdr:from>
      <xdr:col>53</xdr:col>
      <xdr:colOff>0</xdr:colOff>
      <xdr:row>81</xdr:row>
      <xdr:rowOff>0</xdr:rowOff>
    </xdr:from>
    <xdr:ext cx="295275" cy="142875"/>
    <xdr:pic>
      <xdr:nvPicPr>
        <xdr:cNvPr id="0" name="image47.png"/>
        <xdr:cNvPicPr preferRelativeResize="0"/>
      </xdr:nvPicPr>
      <xdr:blipFill>
        <a:blip cstate="print" r:embed="rId41"/>
        <a:stretch>
          <a:fillRect/>
        </a:stretch>
      </xdr:blipFill>
      <xdr:spPr>
        <a:prstGeom prst="rect">
          <a:avLst/>
        </a:prstGeom>
        <a:noFill/>
      </xdr:spPr>
    </xdr:pic>
    <xdr:clientData fLocksWithSheet="0"/>
  </xdr:oneCellAnchor>
  <xdr:oneCellAnchor>
    <xdr:from>
      <xdr:col>58</xdr:col>
      <xdr:colOff>0</xdr:colOff>
      <xdr:row>81</xdr:row>
      <xdr:rowOff>0</xdr:rowOff>
    </xdr:from>
    <xdr:ext cx="190500" cy="200025"/>
    <xdr:pic>
      <xdr:nvPicPr>
        <xdr:cNvPr id="0" name="image86.png"/>
        <xdr:cNvPicPr preferRelativeResize="0"/>
      </xdr:nvPicPr>
      <xdr:blipFill>
        <a:blip cstate="print" r:embed="rId77"/>
        <a:stretch>
          <a:fillRect/>
        </a:stretch>
      </xdr:blipFill>
      <xdr:spPr>
        <a:prstGeom prst="rect">
          <a:avLst/>
        </a:prstGeom>
        <a:noFill/>
      </xdr:spPr>
    </xdr:pic>
    <xdr:clientData fLocksWithSheet="0"/>
  </xdr:oneCellAnchor>
  <xdr:oneCellAnchor>
    <xdr:from>
      <xdr:col>38</xdr:col>
      <xdr:colOff>0</xdr:colOff>
      <xdr:row>82</xdr:row>
      <xdr:rowOff>0</xdr:rowOff>
    </xdr:from>
    <xdr:ext cx="190500" cy="200025"/>
    <xdr:pic>
      <xdr:nvPicPr>
        <xdr:cNvPr id="0" name="image86.png"/>
        <xdr:cNvPicPr preferRelativeResize="0"/>
      </xdr:nvPicPr>
      <xdr:blipFill>
        <a:blip cstate="print" r:embed="rId77"/>
        <a:stretch>
          <a:fillRect/>
        </a:stretch>
      </xdr:blipFill>
      <xdr:spPr>
        <a:prstGeom prst="rect">
          <a:avLst/>
        </a:prstGeom>
        <a:noFill/>
      </xdr:spPr>
    </xdr:pic>
    <xdr:clientData fLocksWithSheet="0"/>
  </xdr:oneCellAnchor>
  <xdr:oneCellAnchor>
    <xdr:from>
      <xdr:col>58</xdr:col>
      <xdr:colOff>0</xdr:colOff>
      <xdr:row>82</xdr:row>
      <xdr:rowOff>0</xdr:rowOff>
    </xdr:from>
    <xdr:ext cx="295275" cy="142875"/>
    <xdr:pic>
      <xdr:nvPicPr>
        <xdr:cNvPr id="0" name="image47.png"/>
        <xdr:cNvPicPr preferRelativeResize="0"/>
      </xdr:nvPicPr>
      <xdr:blipFill>
        <a:blip cstate="print" r:embed="rId41"/>
        <a:stretch>
          <a:fillRect/>
        </a:stretch>
      </xdr:blipFill>
      <xdr:spPr>
        <a:prstGeom prst="rect">
          <a:avLst/>
        </a:prstGeom>
        <a:noFill/>
      </xdr:spPr>
    </xdr:pic>
    <xdr:clientData fLocksWithSheet="0"/>
  </xdr:oneCellAnchor>
  <xdr:oneCellAnchor>
    <xdr:from>
      <xdr:col>38</xdr:col>
      <xdr:colOff>0</xdr:colOff>
      <xdr:row>83</xdr:row>
      <xdr:rowOff>0</xdr:rowOff>
    </xdr:from>
    <xdr:ext cx="295275" cy="142875"/>
    <xdr:pic>
      <xdr:nvPicPr>
        <xdr:cNvPr id="0" name="image47.png"/>
        <xdr:cNvPicPr preferRelativeResize="0"/>
      </xdr:nvPicPr>
      <xdr:blipFill>
        <a:blip cstate="print" r:embed="rId41"/>
        <a:stretch>
          <a:fillRect/>
        </a:stretch>
      </xdr:blipFill>
      <xdr:spPr>
        <a:prstGeom prst="rect">
          <a:avLst/>
        </a:prstGeom>
        <a:noFill/>
      </xdr:spPr>
    </xdr:pic>
    <xdr:clientData fLocksWithSheet="0"/>
  </xdr:oneCellAnchor>
</xdr:wsD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24</xdr:col>
      <xdr:colOff>0</xdr:colOff>
      <xdr:row>1</xdr:row>
      <xdr:rowOff>0</xdr:rowOff>
    </xdr:from>
    <xdr:ext cx="247650" cy="381000"/>
    <xdr:pic>
      <xdr:nvPicPr>
        <xdr:cNvPr id="0" name="image94.png"/>
        <xdr:cNvPicPr preferRelativeResize="0"/>
      </xdr:nvPicPr>
      <xdr:blipFill>
        <a:blip cstate="print" r:embed="rId1"/>
        <a:stretch>
          <a:fillRect/>
        </a:stretch>
      </xdr:blipFill>
      <xdr:spPr>
        <a:prstGeom prst="rect">
          <a:avLst/>
        </a:prstGeom>
        <a:noFill/>
      </xdr:spPr>
    </xdr:pic>
    <xdr:clientData fLocksWithSheet="0"/>
  </xdr:oneCellAnchor>
  <xdr:oneCellAnchor>
    <xdr:from>
      <xdr:col>25</xdr:col>
      <xdr:colOff>0</xdr:colOff>
      <xdr:row>1</xdr:row>
      <xdr:rowOff>0</xdr:rowOff>
    </xdr:from>
    <xdr:ext cx="247650" cy="381000"/>
    <xdr:pic>
      <xdr:nvPicPr>
        <xdr:cNvPr id="0" name="image93.png"/>
        <xdr:cNvPicPr preferRelativeResize="0"/>
      </xdr:nvPicPr>
      <xdr:blipFill>
        <a:blip cstate="print" r:embed="rId2"/>
        <a:stretch>
          <a:fillRect/>
        </a:stretch>
      </xdr:blipFill>
      <xdr:spPr>
        <a:prstGeom prst="rect">
          <a:avLst/>
        </a:prstGeom>
        <a:noFill/>
      </xdr:spPr>
    </xdr:pic>
    <xdr:clientData fLocksWithSheet="0"/>
  </xdr:oneCellAnchor>
  <xdr:oneCellAnchor>
    <xdr:from>
      <xdr:col>24</xdr:col>
      <xdr:colOff>0</xdr:colOff>
      <xdr:row>21</xdr:row>
      <xdr:rowOff>0</xdr:rowOff>
    </xdr:from>
    <xdr:ext cx="266700" cy="200025"/>
    <xdr:pic>
      <xdr:nvPicPr>
        <xdr:cNvPr id="0" name="image95.png"/>
        <xdr:cNvPicPr preferRelativeResize="0"/>
      </xdr:nvPicPr>
      <xdr:blipFill>
        <a:blip cstate="print" r:embed="rId3"/>
        <a:stretch>
          <a:fillRect/>
        </a:stretch>
      </xdr:blipFill>
      <xdr:spPr>
        <a:prstGeom prst="rect">
          <a:avLst/>
        </a:prstGeom>
        <a:noFill/>
      </xdr:spPr>
    </xdr:pic>
    <xdr:clientData fLocksWithSheet="0"/>
  </xdr:oneCellAnchor>
</xdr:wsD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0</xdr:colOff>
      <xdr:row>1</xdr:row>
      <xdr:rowOff>0</xdr:rowOff>
    </xdr:from>
    <xdr:ext cx="200025" cy="200025"/>
    <xdr:pic>
      <xdr:nvPicPr>
        <xdr:cNvPr id="0" name="image92.pn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0</xdr:colOff>
      <xdr:row>20</xdr:row>
      <xdr:rowOff>0</xdr:rowOff>
    </xdr:from>
    <xdr:ext cx="200025" cy="200025"/>
    <xdr:pic>
      <xdr:nvPicPr>
        <xdr:cNvPr id="0" name="image20.png"/>
        <xdr:cNvPicPr preferRelativeResize="0"/>
      </xdr:nvPicPr>
      <xdr:blipFill>
        <a:blip cstate="print" r:embed="rId1"/>
        <a:stretch>
          <a:fillRect/>
        </a:stretch>
      </xdr:blipFill>
      <xdr:spPr>
        <a:prstGeom prst="rect">
          <a:avLst/>
        </a:prstGeom>
        <a:noFill/>
      </xdr:spPr>
    </xdr:pic>
    <xdr:clientData fLocksWithSheet="0"/>
  </xdr:oneCellAnchor>
  <xdr:oneCellAnchor>
    <xdr:from>
      <xdr:col>0</xdr:col>
      <xdr:colOff>0</xdr:colOff>
      <xdr:row>21</xdr:row>
      <xdr:rowOff>0</xdr:rowOff>
    </xdr:from>
    <xdr:ext cx="200025" cy="200025"/>
    <xdr:pic>
      <xdr:nvPicPr>
        <xdr:cNvPr id="0" name="image27.png"/>
        <xdr:cNvPicPr preferRelativeResize="0"/>
      </xdr:nvPicPr>
      <xdr:blipFill>
        <a:blip cstate="print" r:embed="rId2"/>
        <a:stretch>
          <a:fillRect/>
        </a:stretch>
      </xdr:blipFill>
      <xdr:spPr>
        <a:prstGeom prst="rect">
          <a:avLst/>
        </a:prstGeom>
        <a:noFill/>
      </xdr:spPr>
    </xdr:pic>
    <xdr:clientData fLocksWithSheet="0"/>
  </xdr:oneCellAnchor>
  <xdr:oneCellAnchor>
    <xdr:from>
      <xdr:col>0</xdr:col>
      <xdr:colOff>0</xdr:colOff>
      <xdr:row>22</xdr:row>
      <xdr:rowOff>0</xdr:rowOff>
    </xdr:from>
    <xdr:ext cx="200025" cy="200025"/>
    <xdr:pic>
      <xdr:nvPicPr>
        <xdr:cNvPr id="0" name="image16.png"/>
        <xdr:cNvPicPr preferRelativeResize="0"/>
      </xdr:nvPicPr>
      <xdr:blipFill>
        <a:blip cstate="print" r:embed="rId3"/>
        <a:stretch>
          <a:fillRect/>
        </a:stretch>
      </xdr:blipFill>
      <xdr:spPr>
        <a:prstGeom prst="rect">
          <a:avLst/>
        </a:prstGeom>
        <a:noFill/>
      </xdr:spPr>
    </xdr:pic>
    <xdr:clientData fLocksWithSheet="0"/>
  </xdr:oneCellAnchor>
  <xdr:oneCellAnchor>
    <xdr:from>
      <xdr:col>0</xdr:col>
      <xdr:colOff>0</xdr:colOff>
      <xdr:row>23</xdr:row>
      <xdr:rowOff>0</xdr:rowOff>
    </xdr:from>
    <xdr:ext cx="200025" cy="200025"/>
    <xdr:pic>
      <xdr:nvPicPr>
        <xdr:cNvPr id="0" name="image26.png"/>
        <xdr:cNvPicPr preferRelativeResize="0"/>
      </xdr:nvPicPr>
      <xdr:blipFill>
        <a:blip cstate="print" r:embed="rId4"/>
        <a:stretch>
          <a:fillRect/>
        </a:stretch>
      </xdr:blipFill>
      <xdr:spPr>
        <a:prstGeom prst="rect">
          <a:avLst/>
        </a:prstGeom>
        <a:noFill/>
      </xdr:spPr>
    </xdr:pic>
    <xdr:clientData fLocksWithSheet="0"/>
  </xdr:oneCellAnchor>
  <xdr:oneCellAnchor>
    <xdr:from>
      <xdr:col>0</xdr:col>
      <xdr:colOff>0</xdr:colOff>
      <xdr:row>24</xdr:row>
      <xdr:rowOff>0</xdr:rowOff>
    </xdr:from>
    <xdr:ext cx="200025" cy="200025"/>
    <xdr:pic>
      <xdr:nvPicPr>
        <xdr:cNvPr id="0" name="image17.png"/>
        <xdr:cNvPicPr preferRelativeResize="0"/>
      </xdr:nvPicPr>
      <xdr:blipFill>
        <a:blip cstate="print" r:embed="rId5"/>
        <a:stretch>
          <a:fillRect/>
        </a:stretch>
      </xdr:blipFill>
      <xdr:spPr>
        <a:prstGeom prst="rect">
          <a:avLst/>
        </a:prstGeom>
        <a:noFill/>
      </xdr:spPr>
    </xdr:pic>
    <xdr:clientData fLocksWithSheet="0"/>
  </xdr:oneCellAnchor>
  <xdr:oneCellAnchor>
    <xdr:from>
      <xdr:col>0</xdr:col>
      <xdr:colOff>0</xdr:colOff>
      <xdr:row>25</xdr:row>
      <xdr:rowOff>0</xdr:rowOff>
    </xdr:from>
    <xdr:ext cx="200025" cy="200025"/>
    <xdr:pic>
      <xdr:nvPicPr>
        <xdr:cNvPr id="0" name="image18.png"/>
        <xdr:cNvPicPr preferRelativeResize="0"/>
      </xdr:nvPicPr>
      <xdr:blipFill>
        <a:blip cstate="print" r:embed="rId6"/>
        <a:stretch>
          <a:fillRect/>
        </a:stretch>
      </xdr:blipFill>
      <xdr:spPr>
        <a:prstGeom prst="rect">
          <a:avLst/>
        </a:prstGeom>
        <a:noFill/>
      </xdr:spPr>
    </xdr:pic>
    <xdr:clientData fLocksWithSheet="0"/>
  </xdr:oneCellAnchor>
  <xdr:oneCellAnchor>
    <xdr:from>
      <xdr:col>0</xdr:col>
      <xdr:colOff>0</xdr:colOff>
      <xdr:row>26</xdr:row>
      <xdr:rowOff>0</xdr:rowOff>
    </xdr:from>
    <xdr:ext cx="200025" cy="200025"/>
    <xdr:pic>
      <xdr:nvPicPr>
        <xdr:cNvPr id="0" name="image21.png"/>
        <xdr:cNvPicPr preferRelativeResize="0"/>
      </xdr:nvPicPr>
      <xdr:blipFill>
        <a:blip cstate="print" r:embed="rId7"/>
        <a:stretch>
          <a:fillRect/>
        </a:stretch>
      </xdr:blipFill>
      <xdr:spPr>
        <a:prstGeom prst="rect">
          <a:avLst/>
        </a:prstGeom>
        <a:noFill/>
      </xdr:spPr>
    </xdr:pic>
    <xdr:clientData fLocksWithSheet="0"/>
  </xdr:oneCellAnchor>
  <xdr:oneCellAnchor>
    <xdr:from>
      <xdr:col>0</xdr:col>
      <xdr:colOff>0</xdr:colOff>
      <xdr:row>27</xdr:row>
      <xdr:rowOff>0</xdr:rowOff>
    </xdr:from>
    <xdr:ext cx="247650" cy="200025"/>
    <xdr:pic>
      <xdr:nvPicPr>
        <xdr:cNvPr id="0" name="image25.png"/>
        <xdr:cNvPicPr preferRelativeResize="0"/>
      </xdr:nvPicPr>
      <xdr:blipFill>
        <a:blip cstate="print" r:embed="rId8"/>
        <a:stretch>
          <a:fillRect/>
        </a:stretch>
      </xdr:blipFill>
      <xdr:spPr>
        <a:prstGeom prst="rect">
          <a:avLst/>
        </a:prstGeom>
        <a:noFill/>
      </xdr:spPr>
    </xdr:pic>
    <xdr:clientData fLocksWithSheet="0"/>
  </xdr:oneCellAnchor>
  <xdr:oneCellAnchor>
    <xdr:from>
      <xdr:col>0</xdr:col>
      <xdr:colOff>0</xdr:colOff>
      <xdr:row>28</xdr:row>
      <xdr:rowOff>0</xdr:rowOff>
    </xdr:from>
    <xdr:ext cx="161925" cy="200025"/>
    <xdr:pic>
      <xdr:nvPicPr>
        <xdr:cNvPr id="0" name="image24.png"/>
        <xdr:cNvPicPr preferRelativeResize="0"/>
      </xdr:nvPicPr>
      <xdr:blipFill>
        <a:blip cstate="print" r:embed="rId9"/>
        <a:stretch>
          <a:fillRect/>
        </a:stretch>
      </xdr:blipFill>
      <xdr:spPr>
        <a:prstGeom prst="rect">
          <a:avLst/>
        </a:prstGeom>
        <a:noFill/>
      </xdr:spPr>
    </xdr:pic>
    <xdr:clientData fLocksWithSheet="0"/>
  </xdr:oneCellAnchor>
  <xdr:oneCellAnchor>
    <xdr:from>
      <xdr:col>0</xdr:col>
      <xdr:colOff>0</xdr:colOff>
      <xdr:row>29</xdr:row>
      <xdr:rowOff>0</xdr:rowOff>
    </xdr:from>
    <xdr:ext cx="200025" cy="200025"/>
    <xdr:pic>
      <xdr:nvPicPr>
        <xdr:cNvPr id="0" name="image30.png"/>
        <xdr:cNvPicPr preferRelativeResize="0"/>
      </xdr:nvPicPr>
      <xdr:blipFill>
        <a:blip cstate="print" r:embed="rId10"/>
        <a:stretch>
          <a:fillRect/>
        </a:stretch>
      </xdr:blipFill>
      <xdr:spPr>
        <a:prstGeom prst="rect">
          <a:avLst/>
        </a:prstGeom>
        <a:noFill/>
      </xdr:spPr>
    </xdr:pic>
    <xdr:clientData fLocksWithSheet="0"/>
  </xdr:oneCellAnchor>
  <xdr:oneCellAnchor>
    <xdr:from>
      <xdr:col>0</xdr:col>
      <xdr:colOff>0</xdr:colOff>
      <xdr:row>30</xdr:row>
      <xdr:rowOff>0</xdr:rowOff>
    </xdr:from>
    <xdr:ext cx="200025" cy="200025"/>
    <xdr:pic>
      <xdr:nvPicPr>
        <xdr:cNvPr id="0" name="image33.png"/>
        <xdr:cNvPicPr preferRelativeResize="0"/>
      </xdr:nvPicPr>
      <xdr:blipFill>
        <a:blip cstate="print" r:embed="rId11"/>
        <a:stretch>
          <a:fillRect/>
        </a:stretch>
      </xdr:blipFill>
      <xdr:spPr>
        <a:prstGeom prst="rect">
          <a:avLst/>
        </a:prstGeom>
        <a:noFill/>
      </xdr:spPr>
    </xdr:pic>
    <xdr:clientData fLocksWithSheet="0"/>
  </xdr:oneCellAnchor>
  <xdr:oneCellAnchor>
    <xdr:from>
      <xdr:col>0</xdr:col>
      <xdr:colOff>0</xdr:colOff>
      <xdr:row>31</xdr:row>
      <xdr:rowOff>0</xdr:rowOff>
    </xdr:from>
    <xdr:ext cx="200025" cy="200025"/>
    <xdr:pic>
      <xdr:nvPicPr>
        <xdr:cNvPr id="0" name="image35.png"/>
        <xdr:cNvPicPr preferRelativeResize="0"/>
      </xdr:nvPicPr>
      <xdr:blipFill>
        <a:blip cstate="print" r:embed="rId12"/>
        <a:stretch>
          <a:fillRect/>
        </a:stretch>
      </xdr:blipFill>
      <xdr:spPr>
        <a:prstGeom prst="rect">
          <a:avLst/>
        </a:prstGeom>
        <a:noFill/>
      </xdr:spPr>
    </xdr:pic>
    <xdr:clientData fLocksWithSheet="0"/>
  </xdr:oneCellAnchor>
  <xdr:oneCellAnchor>
    <xdr:from>
      <xdr:col>0</xdr:col>
      <xdr:colOff>0</xdr:colOff>
      <xdr:row>32</xdr:row>
      <xdr:rowOff>0</xdr:rowOff>
    </xdr:from>
    <xdr:ext cx="200025" cy="200025"/>
    <xdr:pic>
      <xdr:nvPicPr>
        <xdr:cNvPr id="0" name="image19.png"/>
        <xdr:cNvPicPr preferRelativeResize="0"/>
      </xdr:nvPicPr>
      <xdr:blipFill>
        <a:blip cstate="print" r:embed="rId13"/>
        <a:stretch>
          <a:fillRect/>
        </a:stretch>
      </xdr:blipFill>
      <xdr:spPr>
        <a:prstGeom prst="rect">
          <a:avLst/>
        </a:prstGeom>
        <a:noFill/>
      </xdr:spPr>
    </xdr:pic>
    <xdr:clientData fLocksWithSheet="0"/>
  </xdr:oneCellAnchor>
  <xdr:oneCellAnchor>
    <xdr:from>
      <xdr:col>0</xdr:col>
      <xdr:colOff>0</xdr:colOff>
      <xdr:row>33</xdr:row>
      <xdr:rowOff>0</xdr:rowOff>
    </xdr:from>
    <xdr:ext cx="200025" cy="200025"/>
    <xdr:pic>
      <xdr:nvPicPr>
        <xdr:cNvPr id="0" name="image39.png"/>
        <xdr:cNvPicPr preferRelativeResize="0"/>
      </xdr:nvPicPr>
      <xdr:blipFill>
        <a:blip cstate="print" r:embed="rId14"/>
        <a:stretch>
          <a:fillRect/>
        </a:stretch>
      </xdr:blipFill>
      <xdr:spPr>
        <a:prstGeom prst="rect">
          <a:avLst/>
        </a:prstGeom>
        <a:noFill/>
      </xdr:spPr>
    </xdr:pic>
    <xdr:clientData fLocksWithSheet="0"/>
  </xdr:oneCellAnchor>
  <xdr:oneCellAnchor>
    <xdr:from>
      <xdr:col>0</xdr:col>
      <xdr:colOff>0</xdr:colOff>
      <xdr:row>34</xdr:row>
      <xdr:rowOff>0</xdr:rowOff>
    </xdr:from>
    <xdr:ext cx="200025" cy="200025"/>
    <xdr:pic>
      <xdr:nvPicPr>
        <xdr:cNvPr id="0" name="image46.png"/>
        <xdr:cNvPicPr preferRelativeResize="0"/>
      </xdr:nvPicPr>
      <xdr:blipFill>
        <a:blip cstate="print" r:embed="rId15"/>
        <a:stretch>
          <a:fillRect/>
        </a:stretch>
      </xdr:blipFill>
      <xdr:spPr>
        <a:prstGeom prst="rect">
          <a:avLst/>
        </a:prstGeom>
        <a:noFill/>
      </xdr:spPr>
    </xdr:pic>
    <xdr:clientData fLocksWithSheet="0"/>
  </xdr:oneCellAnchor>
  <xdr:oneCellAnchor>
    <xdr:from>
      <xdr:col>0</xdr:col>
      <xdr:colOff>0</xdr:colOff>
      <xdr:row>35</xdr:row>
      <xdr:rowOff>0</xdr:rowOff>
    </xdr:from>
    <xdr:ext cx="200025" cy="200025"/>
    <xdr:pic>
      <xdr:nvPicPr>
        <xdr:cNvPr id="0" name="image28.png"/>
        <xdr:cNvPicPr preferRelativeResize="0"/>
      </xdr:nvPicPr>
      <xdr:blipFill>
        <a:blip cstate="print" r:embed="rId16"/>
        <a:stretch>
          <a:fillRect/>
        </a:stretch>
      </xdr:blipFill>
      <xdr:spPr>
        <a:prstGeom prst="rect">
          <a:avLst/>
        </a:prstGeom>
        <a:noFill/>
      </xdr:spPr>
    </xdr:pic>
    <xdr:clientData fLocksWithSheet="0"/>
  </xdr:oneCellAnchor>
  <xdr:oneCellAnchor>
    <xdr:from>
      <xdr:col>0</xdr:col>
      <xdr:colOff>0</xdr:colOff>
      <xdr:row>36</xdr:row>
      <xdr:rowOff>0</xdr:rowOff>
    </xdr:from>
    <xdr:ext cx="200025" cy="200025"/>
    <xdr:pic>
      <xdr:nvPicPr>
        <xdr:cNvPr id="0" name="image49.png"/>
        <xdr:cNvPicPr preferRelativeResize="0"/>
      </xdr:nvPicPr>
      <xdr:blipFill>
        <a:blip cstate="print" r:embed="rId17"/>
        <a:stretch>
          <a:fillRect/>
        </a:stretch>
      </xdr:blipFill>
      <xdr:spPr>
        <a:prstGeom prst="rect">
          <a:avLst/>
        </a:prstGeom>
        <a:noFill/>
      </xdr:spPr>
    </xdr:pic>
    <xdr:clientData fLocksWithSheet="0"/>
  </xdr:oneCellAnchor>
  <xdr:oneCellAnchor>
    <xdr:from>
      <xdr:col>0</xdr:col>
      <xdr:colOff>0</xdr:colOff>
      <xdr:row>37</xdr:row>
      <xdr:rowOff>0</xdr:rowOff>
    </xdr:from>
    <xdr:ext cx="200025" cy="200025"/>
    <xdr:pic>
      <xdr:nvPicPr>
        <xdr:cNvPr id="0" name="image29.png"/>
        <xdr:cNvPicPr preferRelativeResize="0"/>
      </xdr:nvPicPr>
      <xdr:blipFill>
        <a:blip cstate="print" r:embed="rId18"/>
        <a:stretch>
          <a:fillRect/>
        </a:stretch>
      </xdr:blipFill>
      <xdr:spPr>
        <a:prstGeom prst="rect">
          <a:avLst/>
        </a:prstGeom>
        <a:noFill/>
      </xdr:spPr>
    </xdr:pic>
    <xdr:clientData fLocksWithSheet="0"/>
  </xdr:oneCellAnchor>
  <xdr:oneCellAnchor>
    <xdr:from>
      <xdr:col>0</xdr:col>
      <xdr:colOff>0</xdr:colOff>
      <xdr:row>38</xdr:row>
      <xdr:rowOff>0</xdr:rowOff>
    </xdr:from>
    <xdr:ext cx="200025" cy="200025"/>
    <xdr:pic>
      <xdr:nvPicPr>
        <xdr:cNvPr id="0" name="image48.png"/>
        <xdr:cNvPicPr preferRelativeResize="0"/>
      </xdr:nvPicPr>
      <xdr:blipFill>
        <a:blip cstate="print" r:embed="rId19"/>
        <a:stretch>
          <a:fillRect/>
        </a:stretch>
      </xdr:blipFill>
      <xdr:spPr>
        <a:prstGeom prst="rect">
          <a:avLst/>
        </a:prstGeom>
        <a:noFill/>
      </xdr:spPr>
    </xdr:pic>
    <xdr:clientData fLocksWithSheet="0"/>
  </xdr:oneCellAnchor>
  <xdr:oneCellAnchor>
    <xdr:from>
      <xdr:col>0</xdr:col>
      <xdr:colOff>0</xdr:colOff>
      <xdr:row>39</xdr:row>
      <xdr:rowOff>0</xdr:rowOff>
    </xdr:from>
    <xdr:ext cx="200025" cy="200025"/>
    <xdr:pic>
      <xdr:nvPicPr>
        <xdr:cNvPr id="0" name="image38.png"/>
        <xdr:cNvPicPr preferRelativeResize="0"/>
      </xdr:nvPicPr>
      <xdr:blipFill>
        <a:blip cstate="print" r:embed="rId20"/>
        <a:stretch>
          <a:fillRect/>
        </a:stretch>
      </xdr:blipFill>
      <xdr:spPr>
        <a:prstGeom prst="rect">
          <a:avLst/>
        </a:prstGeom>
        <a:noFill/>
      </xdr:spPr>
    </xdr:pic>
    <xdr:clientData fLocksWithSheet="0"/>
  </xdr:oneCellAnchor>
  <xdr:oneCellAnchor>
    <xdr:from>
      <xdr:col>0</xdr:col>
      <xdr:colOff>0</xdr:colOff>
      <xdr:row>40</xdr:row>
      <xdr:rowOff>0</xdr:rowOff>
    </xdr:from>
    <xdr:ext cx="200025" cy="200025"/>
    <xdr:pic>
      <xdr:nvPicPr>
        <xdr:cNvPr id="0" name="image37.png"/>
        <xdr:cNvPicPr preferRelativeResize="0"/>
      </xdr:nvPicPr>
      <xdr:blipFill>
        <a:blip cstate="print" r:embed="rId21"/>
        <a:stretch>
          <a:fillRect/>
        </a:stretch>
      </xdr:blipFill>
      <xdr:spPr>
        <a:prstGeom prst="rect">
          <a:avLst/>
        </a:prstGeom>
        <a:noFill/>
      </xdr:spPr>
    </xdr:pic>
    <xdr:clientData fLocksWithSheet="0"/>
  </xdr:oneCellAnchor>
  <xdr:oneCellAnchor>
    <xdr:from>
      <xdr:col>0</xdr:col>
      <xdr:colOff>0</xdr:colOff>
      <xdr:row>41</xdr:row>
      <xdr:rowOff>0</xdr:rowOff>
    </xdr:from>
    <xdr:ext cx="200025" cy="200025"/>
    <xdr:pic>
      <xdr:nvPicPr>
        <xdr:cNvPr id="0" name="image36.png"/>
        <xdr:cNvPicPr preferRelativeResize="0"/>
      </xdr:nvPicPr>
      <xdr:blipFill>
        <a:blip cstate="print" r:embed="rId22"/>
        <a:stretch>
          <a:fillRect/>
        </a:stretch>
      </xdr:blipFill>
      <xdr:spPr>
        <a:prstGeom prst="rect">
          <a:avLst/>
        </a:prstGeom>
        <a:noFill/>
      </xdr:spPr>
    </xdr:pic>
    <xdr:clientData fLocksWithSheet="0"/>
  </xdr:oneCellAnchor>
  <xdr:oneCellAnchor>
    <xdr:from>
      <xdr:col>0</xdr:col>
      <xdr:colOff>0</xdr:colOff>
      <xdr:row>42</xdr:row>
      <xdr:rowOff>0</xdr:rowOff>
    </xdr:from>
    <xdr:ext cx="161925" cy="200025"/>
    <xdr:pic>
      <xdr:nvPicPr>
        <xdr:cNvPr id="0" name="image44.png"/>
        <xdr:cNvPicPr preferRelativeResize="0"/>
      </xdr:nvPicPr>
      <xdr:blipFill>
        <a:blip cstate="print" r:embed="rId23"/>
        <a:stretch>
          <a:fillRect/>
        </a:stretch>
      </xdr:blipFill>
      <xdr:spPr>
        <a:prstGeom prst="rect">
          <a:avLst/>
        </a:prstGeom>
        <a:noFill/>
      </xdr:spPr>
    </xdr:pic>
    <xdr:clientData fLocksWithSheet="0"/>
  </xdr:oneCellAnchor>
  <xdr:oneCellAnchor>
    <xdr:from>
      <xdr:col>0</xdr:col>
      <xdr:colOff>0</xdr:colOff>
      <xdr:row>43</xdr:row>
      <xdr:rowOff>0</xdr:rowOff>
    </xdr:from>
    <xdr:ext cx="200025" cy="200025"/>
    <xdr:pic>
      <xdr:nvPicPr>
        <xdr:cNvPr id="0" name="image42.png"/>
        <xdr:cNvPicPr preferRelativeResize="0"/>
      </xdr:nvPicPr>
      <xdr:blipFill>
        <a:blip cstate="print" r:embed="rId24"/>
        <a:stretch>
          <a:fillRect/>
        </a:stretch>
      </xdr:blipFill>
      <xdr:spPr>
        <a:prstGeom prst="rect">
          <a:avLst/>
        </a:prstGeom>
        <a:noFill/>
      </xdr:spPr>
    </xdr:pic>
    <xdr:clientData fLocksWithSheet="0"/>
  </xdr:oneCellAnchor>
  <xdr:oneCellAnchor>
    <xdr:from>
      <xdr:col>0</xdr:col>
      <xdr:colOff>0</xdr:colOff>
      <xdr:row>44</xdr:row>
      <xdr:rowOff>0</xdr:rowOff>
    </xdr:from>
    <xdr:ext cx="200025" cy="200025"/>
    <xdr:pic>
      <xdr:nvPicPr>
        <xdr:cNvPr id="0" name="image31.png"/>
        <xdr:cNvPicPr preferRelativeResize="0"/>
      </xdr:nvPicPr>
      <xdr:blipFill>
        <a:blip cstate="print" r:embed="rId25"/>
        <a:stretch>
          <a:fillRect/>
        </a:stretch>
      </xdr:blipFill>
      <xdr:spPr>
        <a:prstGeom prst="rect">
          <a:avLst/>
        </a:prstGeom>
        <a:noFill/>
      </xdr:spPr>
    </xdr:pic>
    <xdr:clientData fLocksWithSheet="0"/>
  </xdr:oneCellAnchor>
  <xdr:oneCellAnchor>
    <xdr:from>
      <xdr:col>0</xdr:col>
      <xdr:colOff>0</xdr:colOff>
      <xdr:row>45</xdr:row>
      <xdr:rowOff>0</xdr:rowOff>
    </xdr:from>
    <xdr:ext cx="200025" cy="200025"/>
    <xdr:pic>
      <xdr:nvPicPr>
        <xdr:cNvPr id="0" name="image22.png"/>
        <xdr:cNvPicPr preferRelativeResize="0"/>
      </xdr:nvPicPr>
      <xdr:blipFill>
        <a:blip cstate="print" r:embed="rId26"/>
        <a:stretch>
          <a:fillRect/>
        </a:stretch>
      </xdr:blipFill>
      <xdr:spPr>
        <a:prstGeom prst="rect">
          <a:avLst/>
        </a:prstGeom>
        <a:noFill/>
      </xdr:spPr>
    </xdr:pic>
    <xdr:clientData fLocksWithSheet="0"/>
  </xdr:oneCellAnchor>
  <xdr:oneCellAnchor>
    <xdr:from>
      <xdr:col>0</xdr:col>
      <xdr:colOff>0</xdr:colOff>
      <xdr:row>46</xdr:row>
      <xdr:rowOff>0</xdr:rowOff>
    </xdr:from>
    <xdr:ext cx="200025" cy="200025"/>
    <xdr:pic>
      <xdr:nvPicPr>
        <xdr:cNvPr id="0" name="image41.png"/>
        <xdr:cNvPicPr preferRelativeResize="0"/>
      </xdr:nvPicPr>
      <xdr:blipFill>
        <a:blip cstate="print" r:embed="rId27"/>
        <a:stretch>
          <a:fillRect/>
        </a:stretch>
      </xdr:blipFill>
      <xdr:spPr>
        <a:prstGeom prst="rect">
          <a:avLst/>
        </a:prstGeom>
        <a:noFill/>
      </xdr:spPr>
    </xdr:pic>
    <xdr:clientData fLocksWithSheet="0"/>
  </xdr:oneCellAnchor>
  <xdr:oneCellAnchor>
    <xdr:from>
      <xdr:col>0</xdr:col>
      <xdr:colOff>0</xdr:colOff>
      <xdr:row>47</xdr:row>
      <xdr:rowOff>0</xdr:rowOff>
    </xdr:from>
    <xdr:ext cx="200025" cy="200025"/>
    <xdr:pic>
      <xdr:nvPicPr>
        <xdr:cNvPr id="0" name="image50.png"/>
        <xdr:cNvPicPr preferRelativeResize="0"/>
      </xdr:nvPicPr>
      <xdr:blipFill>
        <a:blip cstate="print" r:embed="rId28"/>
        <a:stretch>
          <a:fillRect/>
        </a:stretch>
      </xdr:blipFill>
      <xdr:spPr>
        <a:prstGeom prst="rect">
          <a:avLst/>
        </a:prstGeom>
        <a:noFill/>
      </xdr:spPr>
    </xdr:pic>
    <xdr:clientData fLocksWithSheet="0"/>
  </xdr:oneCellAnchor>
  <xdr:oneCellAnchor>
    <xdr:from>
      <xdr:col>0</xdr:col>
      <xdr:colOff>0</xdr:colOff>
      <xdr:row>48</xdr:row>
      <xdr:rowOff>0</xdr:rowOff>
    </xdr:from>
    <xdr:ext cx="200025" cy="200025"/>
    <xdr:pic>
      <xdr:nvPicPr>
        <xdr:cNvPr id="0" name="image43.png"/>
        <xdr:cNvPicPr preferRelativeResize="0"/>
      </xdr:nvPicPr>
      <xdr:blipFill>
        <a:blip cstate="print" r:embed="rId29"/>
        <a:stretch>
          <a:fillRect/>
        </a:stretch>
      </xdr:blipFill>
      <xdr:spPr>
        <a:prstGeom prst="rect">
          <a:avLst/>
        </a:prstGeom>
        <a:noFill/>
      </xdr:spPr>
    </xdr:pic>
    <xdr:clientData fLocksWithSheet="0"/>
  </xdr:oneCellAnchor>
  <xdr:oneCellAnchor>
    <xdr:from>
      <xdr:col>0</xdr:col>
      <xdr:colOff>0</xdr:colOff>
      <xdr:row>49</xdr:row>
      <xdr:rowOff>0</xdr:rowOff>
    </xdr:from>
    <xdr:ext cx="161925" cy="200025"/>
    <xdr:pic>
      <xdr:nvPicPr>
        <xdr:cNvPr id="0" name="image23.png"/>
        <xdr:cNvPicPr preferRelativeResize="0"/>
      </xdr:nvPicPr>
      <xdr:blipFill>
        <a:blip cstate="print" r:embed="rId30"/>
        <a:stretch>
          <a:fillRect/>
        </a:stretch>
      </xdr:blipFill>
      <xdr:spPr>
        <a:prstGeom prst="rect">
          <a:avLst/>
        </a:prstGeom>
        <a:noFill/>
      </xdr:spPr>
    </xdr:pic>
    <xdr:clientData fLocksWithSheet="0"/>
  </xdr:oneCellAnchor>
  <xdr:oneCellAnchor>
    <xdr:from>
      <xdr:col>0</xdr:col>
      <xdr:colOff>0</xdr:colOff>
      <xdr:row>50</xdr:row>
      <xdr:rowOff>0</xdr:rowOff>
    </xdr:from>
    <xdr:ext cx="200025" cy="200025"/>
    <xdr:pic>
      <xdr:nvPicPr>
        <xdr:cNvPr id="0" name="image55.png"/>
        <xdr:cNvPicPr preferRelativeResize="0"/>
      </xdr:nvPicPr>
      <xdr:blipFill>
        <a:blip cstate="print" r:embed="rId31"/>
        <a:stretch>
          <a:fillRect/>
        </a:stretch>
      </xdr:blipFill>
      <xdr:spPr>
        <a:prstGeom prst="rect">
          <a:avLst/>
        </a:prstGeom>
        <a:noFill/>
      </xdr:spPr>
    </xdr:pic>
    <xdr:clientData fLocksWithSheet="0"/>
  </xdr:oneCellAnchor>
  <xdr:oneCellAnchor>
    <xdr:from>
      <xdr:col>0</xdr:col>
      <xdr:colOff>0</xdr:colOff>
      <xdr:row>51</xdr:row>
      <xdr:rowOff>0</xdr:rowOff>
    </xdr:from>
    <xdr:ext cx="200025" cy="200025"/>
    <xdr:pic>
      <xdr:nvPicPr>
        <xdr:cNvPr id="0" name="image59.png"/>
        <xdr:cNvPicPr preferRelativeResize="0"/>
      </xdr:nvPicPr>
      <xdr:blipFill>
        <a:blip cstate="print" r:embed="rId32"/>
        <a:stretch>
          <a:fillRect/>
        </a:stretch>
      </xdr:blipFill>
      <xdr:spPr>
        <a:prstGeom prst="rect">
          <a:avLst/>
        </a:prstGeom>
        <a:noFill/>
      </xdr:spPr>
    </xdr:pic>
    <xdr:clientData fLocksWithSheet="0"/>
  </xdr:oneCellAnchor>
  <xdr:oneCellAnchor>
    <xdr:from>
      <xdr:col>0</xdr:col>
      <xdr:colOff>0</xdr:colOff>
      <xdr:row>52</xdr:row>
      <xdr:rowOff>0</xdr:rowOff>
    </xdr:from>
    <xdr:ext cx="190500" cy="200025"/>
    <xdr:pic>
      <xdr:nvPicPr>
        <xdr:cNvPr id="0" name="image60.png"/>
        <xdr:cNvPicPr preferRelativeResize="0"/>
      </xdr:nvPicPr>
      <xdr:blipFill>
        <a:blip cstate="print" r:embed="rId33"/>
        <a:stretch>
          <a:fillRect/>
        </a:stretch>
      </xdr:blipFill>
      <xdr:spPr>
        <a:prstGeom prst="rect">
          <a:avLst/>
        </a:prstGeom>
        <a:noFill/>
      </xdr:spPr>
    </xdr:pic>
    <xdr:clientData fLocksWithSheet="0"/>
  </xdr:oneCellAnchor>
  <xdr:oneCellAnchor>
    <xdr:from>
      <xdr:col>0</xdr:col>
      <xdr:colOff>0</xdr:colOff>
      <xdr:row>53</xdr:row>
      <xdr:rowOff>0</xdr:rowOff>
    </xdr:from>
    <xdr:ext cx="200025" cy="200025"/>
    <xdr:pic>
      <xdr:nvPicPr>
        <xdr:cNvPr id="0" name="image61.png"/>
        <xdr:cNvPicPr preferRelativeResize="0"/>
      </xdr:nvPicPr>
      <xdr:blipFill>
        <a:blip cstate="print" r:embed="rId34"/>
        <a:stretch>
          <a:fillRect/>
        </a:stretch>
      </xdr:blipFill>
      <xdr:spPr>
        <a:prstGeom prst="rect">
          <a:avLst/>
        </a:prstGeom>
        <a:noFill/>
      </xdr:spPr>
    </xdr:pic>
    <xdr:clientData fLocksWithSheet="0"/>
  </xdr:oneCellAnchor>
  <xdr:oneCellAnchor>
    <xdr:from>
      <xdr:col>0</xdr:col>
      <xdr:colOff>0</xdr:colOff>
      <xdr:row>54</xdr:row>
      <xdr:rowOff>0</xdr:rowOff>
    </xdr:from>
    <xdr:ext cx="200025" cy="200025"/>
    <xdr:pic>
      <xdr:nvPicPr>
        <xdr:cNvPr id="0" name="image34.png"/>
        <xdr:cNvPicPr preferRelativeResize="0"/>
      </xdr:nvPicPr>
      <xdr:blipFill>
        <a:blip cstate="print" r:embed="rId35"/>
        <a:stretch>
          <a:fillRect/>
        </a:stretch>
      </xdr:blipFill>
      <xdr:spPr>
        <a:prstGeom prst="rect">
          <a:avLst/>
        </a:prstGeom>
        <a:noFill/>
      </xdr:spPr>
    </xdr:pic>
    <xdr:clientData fLocksWithSheet="0"/>
  </xdr:oneCellAnchor>
  <xdr:oneCellAnchor>
    <xdr:from>
      <xdr:col>0</xdr:col>
      <xdr:colOff>0</xdr:colOff>
      <xdr:row>55</xdr:row>
      <xdr:rowOff>0</xdr:rowOff>
    </xdr:from>
    <xdr:ext cx="200025" cy="200025"/>
    <xdr:pic>
      <xdr:nvPicPr>
        <xdr:cNvPr id="0" name="image63.png"/>
        <xdr:cNvPicPr preferRelativeResize="0"/>
      </xdr:nvPicPr>
      <xdr:blipFill>
        <a:blip cstate="print" r:embed="rId36"/>
        <a:stretch>
          <a:fillRect/>
        </a:stretch>
      </xdr:blipFill>
      <xdr:spPr>
        <a:prstGeom prst="rect">
          <a:avLst/>
        </a:prstGeom>
        <a:noFill/>
      </xdr:spPr>
    </xdr:pic>
    <xdr:clientData fLocksWithSheet="0"/>
  </xdr:oneCellAnchor>
  <xdr:oneCellAnchor>
    <xdr:from>
      <xdr:col>0</xdr:col>
      <xdr:colOff>0</xdr:colOff>
      <xdr:row>56</xdr:row>
      <xdr:rowOff>0</xdr:rowOff>
    </xdr:from>
    <xdr:ext cx="200025" cy="200025"/>
    <xdr:pic>
      <xdr:nvPicPr>
        <xdr:cNvPr id="0" name="image65.png"/>
        <xdr:cNvPicPr preferRelativeResize="0"/>
      </xdr:nvPicPr>
      <xdr:blipFill>
        <a:blip cstate="print" r:embed="rId37"/>
        <a:stretch>
          <a:fillRect/>
        </a:stretch>
      </xdr:blipFill>
      <xdr:spPr>
        <a:prstGeom prst="rect">
          <a:avLst/>
        </a:prstGeom>
        <a:noFill/>
      </xdr:spPr>
    </xdr:pic>
    <xdr:clientData fLocksWithSheet="0"/>
  </xdr:oneCellAnchor>
  <xdr:oneCellAnchor>
    <xdr:from>
      <xdr:col>0</xdr:col>
      <xdr:colOff>0</xdr:colOff>
      <xdr:row>57</xdr:row>
      <xdr:rowOff>0</xdr:rowOff>
    </xdr:from>
    <xdr:ext cx="200025" cy="200025"/>
    <xdr:pic>
      <xdr:nvPicPr>
        <xdr:cNvPr id="0" name="image67.png"/>
        <xdr:cNvPicPr preferRelativeResize="0"/>
      </xdr:nvPicPr>
      <xdr:blipFill>
        <a:blip cstate="print" r:embed="rId38"/>
        <a:stretch>
          <a:fillRect/>
        </a:stretch>
      </xdr:blipFill>
      <xdr:spPr>
        <a:prstGeom prst="rect">
          <a:avLst/>
        </a:prstGeom>
        <a:noFill/>
      </xdr:spPr>
    </xdr:pic>
    <xdr:clientData fLocksWithSheet="0"/>
  </xdr:oneCellAnchor>
  <xdr:oneCellAnchor>
    <xdr:from>
      <xdr:col>0</xdr:col>
      <xdr:colOff>0</xdr:colOff>
      <xdr:row>58</xdr:row>
      <xdr:rowOff>0</xdr:rowOff>
    </xdr:from>
    <xdr:ext cx="209550" cy="200025"/>
    <xdr:pic>
      <xdr:nvPicPr>
        <xdr:cNvPr id="0" name="image76.png"/>
        <xdr:cNvPicPr preferRelativeResize="0"/>
      </xdr:nvPicPr>
      <xdr:blipFill>
        <a:blip cstate="print" r:embed="rId39"/>
        <a:stretch>
          <a:fillRect/>
        </a:stretch>
      </xdr:blipFill>
      <xdr:spPr>
        <a:prstGeom prst="rect">
          <a:avLst/>
        </a:prstGeom>
        <a:noFill/>
      </xdr:spPr>
    </xdr:pic>
    <xdr:clientData fLocksWithSheet="0"/>
  </xdr:oneCellAnchor>
  <xdr:oneCellAnchor>
    <xdr:from>
      <xdr:col>0</xdr:col>
      <xdr:colOff>0</xdr:colOff>
      <xdr:row>59</xdr:row>
      <xdr:rowOff>0</xdr:rowOff>
    </xdr:from>
    <xdr:ext cx="200025" cy="200025"/>
    <xdr:pic>
      <xdr:nvPicPr>
        <xdr:cNvPr id="0" name="image68.png"/>
        <xdr:cNvPicPr preferRelativeResize="0"/>
      </xdr:nvPicPr>
      <xdr:blipFill>
        <a:blip cstate="print" r:embed="rId40"/>
        <a:stretch>
          <a:fillRect/>
        </a:stretch>
      </xdr:blipFill>
      <xdr:spPr>
        <a:prstGeom prst="rect">
          <a:avLst/>
        </a:prstGeom>
        <a:noFill/>
      </xdr:spPr>
    </xdr:pic>
    <xdr:clientData fLocksWithSheet="0"/>
  </xdr:oneCellAnchor>
  <xdr:oneCellAnchor>
    <xdr:from>
      <xdr:col>0</xdr:col>
      <xdr:colOff>0</xdr:colOff>
      <xdr:row>60</xdr:row>
      <xdr:rowOff>0</xdr:rowOff>
    </xdr:from>
    <xdr:ext cx="200025" cy="200025"/>
    <xdr:pic>
      <xdr:nvPicPr>
        <xdr:cNvPr id="0" name="image66.png"/>
        <xdr:cNvPicPr preferRelativeResize="0"/>
      </xdr:nvPicPr>
      <xdr:blipFill>
        <a:blip cstate="print" r:embed="rId41"/>
        <a:stretch>
          <a:fillRect/>
        </a:stretch>
      </xdr:blipFill>
      <xdr:spPr>
        <a:prstGeom prst="rect">
          <a:avLst/>
        </a:prstGeom>
        <a:noFill/>
      </xdr:spPr>
    </xdr:pic>
    <xdr:clientData fLocksWithSheet="0"/>
  </xdr:oneCellAnchor>
  <xdr:oneCellAnchor>
    <xdr:from>
      <xdr:col>0</xdr:col>
      <xdr:colOff>0</xdr:colOff>
      <xdr:row>61</xdr:row>
      <xdr:rowOff>0</xdr:rowOff>
    </xdr:from>
    <xdr:ext cx="200025" cy="200025"/>
    <xdr:pic>
      <xdr:nvPicPr>
        <xdr:cNvPr id="0" name="image72.png"/>
        <xdr:cNvPicPr preferRelativeResize="0"/>
      </xdr:nvPicPr>
      <xdr:blipFill>
        <a:blip cstate="print" r:embed="rId42"/>
        <a:stretch>
          <a:fillRect/>
        </a:stretch>
      </xdr:blipFill>
      <xdr:spPr>
        <a:prstGeom prst="rect">
          <a:avLst/>
        </a:prstGeom>
        <a:noFill/>
      </xdr:spPr>
    </xdr:pic>
    <xdr:clientData fLocksWithSheet="0"/>
  </xdr:oneCellAnchor>
  <xdr:oneCellAnchor>
    <xdr:from>
      <xdr:col>0</xdr:col>
      <xdr:colOff>0</xdr:colOff>
      <xdr:row>62</xdr:row>
      <xdr:rowOff>0</xdr:rowOff>
    </xdr:from>
    <xdr:ext cx="400050" cy="200025"/>
    <xdr:pic>
      <xdr:nvPicPr>
        <xdr:cNvPr id="0" name="image32.png"/>
        <xdr:cNvPicPr preferRelativeResize="0"/>
      </xdr:nvPicPr>
      <xdr:blipFill>
        <a:blip cstate="print" r:embed="rId43"/>
        <a:stretch>
          <a:fillRect/>
        </a:stretch>
      </xdr:blipFill>
      <xdr:spPr>
        <a:prstGeom prst="rect">
          <a:avLst/>
        </a:prstGeom>
        <a:noFill/>
      </xdr:spPr>
    </xdr:pic>
    <xdr:clientData fLocksWithSheet="0"/>
  </xdr:oneCellAnchor>
  <xdr:oneCellAnchor>
    <xdr:from>
      <xdr:col>0</xdr:col>
      <xdr:colOff>0</xdr:colOff>
      <xdr:row>63</xdr:row>
      <xdr:rowOff>0</xdr:rowOff>
    </xdr:from>
    <xdr:ext cx="371475" cy="200025"/>
    <xdr:pic>
      <xdr:nvPicPr>
        <xdr:cNvPr id="0" name="image45.png"/>
        <xdr:cNvPicPr preferRelativeResize="0"/>
      </xdr:nvPicPr>
      <xdr:blipFill>
        <a:blip cstate="print" r:embed="rId44"/>
        <a:stretch>
          <a:fillRect/>
        </a:stretch>
      </xdr:blipFill>
      <xdr:spPr>
        <a:prstGeom prst="rect">
          <a:avLst/>
        </a:prstGeom>
        <a:noFill/>
      </xdr:spPr>
    </xdr:pic>
    <xdr:clientData fLocksWithSheet="0"/>
  </xdr:oneCellAnchor>
  <xdr:oneCellAnchor>
    <xdr:from>
      <xdr:col>0</xdr:col>
      <xdr:colOff>0</xdr:colOff>
      <xdr:row>64</xdr:row>
      <xdr:rowOff>0</xdr:rowOff>
    </xdr:from>
    <xdr:ext cx="161925" cy="200025"/>
    <xdr:pic>
      <xdr:nvPicPr>
        <xdr:cNvPr id="0" name="image74.png"/>
        <xdr:cNvPicPr preferRelativeResize="0"/>
      </xdr:nvPicPr>
      <xdr:blipFill>
        <a:blip cstate="print" r:embed="rId45"/>
        <a:stretch>
          <a:fillRect/>
        </a:stretch>
      </xdr:blipFill>
      <xdr:spPr>
        <a:prstGeom prst="rect">
          <a:avLst/>
        </a:prstGeom>
        <a:noFill/>
      </xdr:spPr>
    </xdr:pic>
    <xdr:clientData fLocksWithSheet="0"/>
  </xdr:oneCellAnchor>
  <xdr:oneCellAnchor>
    <xdr:from>
      <xdr:col>0</xdr:col>
      <xdr:colOff>0</xdr:colOff>
      <xdr:row>65</xdr:row>
      <xdr:rowOff>0</xdr:rowOff>
    </xdr:from>
    <xdr:ext cx="200025" cy="200025"/>
    <xdr:pic>
      <xdr:nvPicPr>
        <xdr:cNvPr id="0" name="image77.png"/>
        <xdr:cNvPicPr preferRelativeResize="0"/>
      </xdr:nvPicPr>
      <xdr:blipFill>
        <a:blip cstate="print" r:embed="rId46"/>
        <a:stretch>
          <a:fillRect/>
        </a:stretch>
      </xdr:blipFill>
      <xdr:spPr>
        <a:prstGeom prst="rect">
          <a:avLst/>
        </a:prstGeom>
        <a:noFill/>
      </xdr:spPr>
    </xdr:pic>
    <xdr:clientData fLocksWithSheet="0"/>
  </xdr:oneCellAnchor>
  <xdr:oneCellAnchor>
    <xdr:from>
      <xdr:col>0</xdr:col>
      <xdr:colOff>0</xdr:colOff>
      <xdr:row>66</xdr:row>
      <xdr:rowOff>0</xdr:rowOff>
    </xdr:from>
    <xdr:ext cx="200025" cy="200025"/>
    <xdr:pic>
      <xdr:nvPicPr>
        <xdr:cNvPr id="0" name="image62.png"/>
        <xdr:cNvPicPr preferRelativeResize="0"/>
      </xdr:nvPicPr>
      <xdr:blipFill>
        <a:blip cstate="print" r:embed="rId47"/>
        <a:stretch>
          <a:fillRect/>
        </a:stretch>
      </xdr:blipFill>
      <xdr:spPr>
        <a:prstGeom prst="rect">
          <a:avLst/>
        </a:prstGeom>
        <a:noFill/>
      </xdr:spPr>
    </xdr:pic>
    <xdr:clientData fLocksWithSheet="0"/>
  </xdr:oneCellAnchor>
  <xdr:oneCellAnchor>
    <xdr:from>
      <xdr:col>0</xdr:col>
      <xdr:colOff>0</xdr:colOff>
      <xdr:row>67</xdr:row>
      <xdr:rowOff>0</xdr:rowOff>
    </xdr:from>
    <xdr:ext cx="171450" cy="200025"/>
    <xdr:pic>
      <xdr:nvPicPr>
        <xdr:cNvPr id="0" name="image71.png"/>
        <xdr:cNvPicPr preferRelativeResize="0"/>
      </xdr:nvPicPr>
      <xdr:blipFill>
        <a:blip cstate="print" r:embed="rId48"/>
        <a:stretch>
          <a:fillRect/>
        </a:stretch>
      </xdr:blipFill>
      <xdr:spPr>
        <a:prstGeom prst="rect">
          <a:avLst/>
        </a:prstGeom>
        <a:noFill/>
      </xdr:spPr>
    </xdr:pic>
    <xdr:clientData fLocksWithSheet="0"/>
  </xdr:oneCellAnchor>
  <xdr:oneCellAnchor>
    <xdr:from>
      <xdr:col>0</xdr:col>
      <xdr:colOff>0</xdr:colOff>
      <xdr:row>68</xdr:row>
      <xdr:rowOff>0</xdr:rowOff>
    </xdr:from>
    <xdr:ext cx="161925" cy="200025"/>
    <xdr:pic>
      <xdr:nvPicPr>
        <xdr:cNvPr id="0" name="image80.png"/>
        <xdr:cNvPicPr preferRelativeResize="0"/>
      </xdr:nvPicPr>
      <xdr:blipFill>
        <a:blip cstate="print" r:embed="rId49"/>
        <a:stretch>
          <a:fillRect/>
        </a:stretch>
      </xdr:blipFill>
      <xdr:spPr>
        <a:prstGeom prst="rect">
          <a:avLst/>
        </a:prstGeom>
        <a:noFill/>
      </xdr:spPr>
    </xdr:pic>
    <xdr:clientData fLocksWithSheet="0"/>
  </xdr:oneCellAnchor>
  <xdr:oneCellAnchor>
    <xdr:from>
      <xdr:col>0</xdr:col>
      <xdr:colOff>0</xdr:colOff>
      <xdr:row>69</xdr:row>
      <xdr:rowOff>0</xdr:rowOff>
    </xdr:from>
    <xdr:ext cx="200025" cy="200025"/>
    <xdr:pic>
      <xdr:nvPicPr>
        <xdr:cNvPr id="0" name="image53.png"/>
        <xdr:cNvPicPr preferRelativeResize="0"/>
      </xdr:nvPicPr>
      <xdr:blipFill>
        <a:blip cstate="print" r:embed="rId50"/>
        <a:stretch>
          <a:fillRect/>
        </a:stretch>
      </xdr:blipFill>
      <xdr:spPr>
        <a:prstGeom prst="rect">
          <a:avLst/>
        </a:prstGeom>
        <a:noFill/>
      </xdr:spPr>
    </xdr:pic>
    <xdr:clientData fLocksWithSheet="0"/>
  </xdr:oneCellAnchor>
  <xdr:oneCellAnchor>
    <xdr:from>
      <xdr:col>0</xdr:col>
      <xdr:colOff>0</xdr:colOff>
      <xdr:row>70</xdr:row>
      <xdr:rowOff>0</xdr:rowOff>
    </xdr:from>
    <xdr:ext cx="200025" cy="200025"/>
    <xdr:pic>
      <xdr:nvPicPr>
        <xdr:cNvPr id="0" name="image79.png"/>
        <xdr:cNvPicPr preferRelativeResize="0"/>
      </xdr:nvPicPr>
      <xdr:blipFill>
        <a:blip cstate="print" r:embed="rId51"/>
        <a:stretch>
          <a:fillRect/>
        </a:stretch>
      </xdr:blipFill>
      <xdr:spPr>
        <a:prstGeom prst="rect">
          <a:avLst/>
        </a:prstGeom>
        <a:noFill/>
      </xdr:spPr>
    </xdr:pic>
    <xdr:clientData fLocksWithSheet="0"/>
  </xdr:oneCellAnchor>
  <xdr:oneCellAnchor>
    <xdr:from>
      <xdr:col>0</xdr:col>
      <xdr:colOff>0</xdr:colOff>
      <xdr:row>71</xdr:row>
      <xdr:rowOff>0</xdr:rowOff>
    </xdr:from>
    <xdr:ext cx="200025" cy="200025"/>
    <xdr:pic>
      <xdr:nvPicPr>
        <xdr:cNvPr id="0" name="image69.png"/>
        <xdr:cNvPicPr preferRelativeResize="0"/>
      </xdr:nvPicPr>
      <xdr:blipFill>
        <a:blip cstate="print" r:embed="rId52"/>
        <a:stretch>
          <a:fillRect/>
        </a:stretch>
      </xdr:blipFill>
      <xdr:spPr>
        <a:prstGeom prst="rect">
          <a:avLst/>
        </a:prstGeom>
        <a:noFill/>
      </xdr:spPr>
    </xdr:pic>
    <xdr:clientData fLocksWithSheet="0"/>
  </xdr:oneCellAnchor>
  <xdr:oneCellAnchor>
    <xdr:from>
      <xdr:col>0</xdr:col>
      <xdr:colOff>0</xdr:colOff>
      <xdr:row>72</xdr:row>
      <xdr:rowOff>0</xdr:rowOff>
    </xdr:from>
    <xdr:ext cx="200025" cy="200025"/>
    <xdr:pic>
      <xdr:nvPicPr>
        <xdr:cNvPr id="0" name="image73.png"/>
        <xdr:cNvPicPr preferRelativeResize="0"/>
      </xdr:nvPicPr>
      <xdr:blipFill>
        <a:blip cstate="print" r:embed="rId53"/>
        <a:stretch>
          <a:fillRect/>
        </a:stretch>
      </xdr:blipFill>
      <xdr:spPr>
        <a:prstGeom prst="rect">
          <a:avLst/>
        </a:prstGeom>
        <a:noFill/>
      </xdr:spPr>
    </xdr:pic>
    <xdr:clientData fLocksWithSheet="0"/>
  </xdr:oneCellAnchor>
  <xdr:oneCellAnchor>
    <xdr:from>
      <xdr:col>0</xdr:col>
      <xdr:colOff>0</xdr:colOff>
      <xdr:row>73</xdr:row>
      <xdr:rowOff>0</xdr:rowOff>
    </xdr:from>
    <xdr:ext cx="200025" cy="200025"/>
    <xdr:pic>
      <xdr:nvPicPr>
        <xdr:cNvPr id="0" name="image40.png"/>
        <xdr:cNvPicPr preferRelativeResize="0"/>
      </xdr:nvPicPr>
      <xdr:blipFill>
        <a:blip cstate="print" r:embed="rId54"/>
        <a:stretch>
          <a:fillRect/>
        </a:stretch>
      </xdr:blipFill>
      <xdr:spPr>
        <a:prstGeom prst="rect">
          <a:avLst/>
        </a:prstGeom>
        <a:noFill/>
      </xdr:spPr>
    </xdr:pic>
    <xdr:clientData fLocksWithSheet="0"/>
  </xdr:oneCellAnchor>
  <xdr:oneCellAnchor>
    <xdr:from>
      <xdr:col>0</xdr:col>
      <xdr:colOff>0</xdr:colOff>
      <xdr:row>74</xdr:row>
      <xdr:rowOff>0</xdr:rowOff>
    </xdr:from>
    <xdr:ext cx="200025" cy="200025"/>
    <xdr:pic>
      <xdr:nvPicPr>
        <xdr:cNvPr id="0" name="image2.png"/>
        <xdr:cNvPicPr preferRelativeResize="0"/>
      </xdr:nvPicPr>
      <xdr:blipFill>
        <a:blip cstate="print" r:embed="rId55"/>
        <a:stretch>
          <a:fillRect/>
        </a:stretch>
      </xdr:blipFill>
      <xdr:spPr>
        <a:prstGeom prst="rect">
          <a:avLst/>
        </a:prstGeom>
        <a:noFill/>
      </xdr:spPr>
    </xdr:pic>
    <xdr:clientData fLocksWithSheet="0"/>
  </xdr:oneCellAnchor>
  <xdr:oneCellAnchor>
    <xdr:from>
      <xdr:col>0</xdr:col>
      <xdr:colOff>0</xdr:colOff>
      <xdr:row>75</xdr:row>
      <xdr:rowOff>0</xdr:rowOff>
    </xdr:from>
    <xdr:ext cx="200025" cy="200025"/>
    <xdr:pic>
      <xdr:nvPicPr>
        <xdr:cNvPr id="0" name="image70.png"/>
        <xdr:cNvPicPr preferRelativeResize="0"/>
      </xdr:nvPicPr>
      <xdr:blipFill>
        <a:blip cstate="print" r:embed="rId56"/>
        <a:stretch>
          <a:fillRect/>
        </a:stretch>
      </xdr:blipFill>
      <xdr:spPr>
        <a:prstGeom prst="rect">
          <a:avLst/>
        </a:prstGeom>
        <a:noFill/>
      </xdr:spPr>
    </xdr:pic>
    <xdr:clientData fLocksWithSheet="0"/>
  </xdr:oneCellAnchor>
  <xdr:oneCellAnchor>
    <xdr:from>
      <xdr:col>0</xdr:col>
      <xdr:colOff>0</xdr:colOff>
      <xdr:row>76</xdr:row>
      <xdr:rowOff>0</xdr:rowOff>
    </xdr:from>
    <xdr:ext cx="200025" cy="200025"/>
    <xdr:pic>
      <xdr:nvPicPr>
        <xdr:cNvPr id="0" name="image83.png"/>
        <xdr:cNvPicPr preferRelativeResize="0"/>
      </xdr:nvPicPr>
      <xdr:blipFill>
        <a:blip cstate="print" r:embed="rId57"/>
        <a:stretch>
          <a:fillRect/>
        </a:stretch>
      </xdr:blipFill>
      <xdr:spPr>
        <a:prstGeom prst="rect">
          <a:avLst/>
        </a:prstGeom>
        <a:noFill/>
      </xdr:spPr>
    </xdr:pic>
    <xdr:clientData fLocksWithSheet="0"/>
  </xdr:oneCellAnchor>
  <xdr:oneCellAnchor>
    <xdr:from>
      <xdr:col>0</xdr:col>
      <xdr:colOff>0</xdr:colOff>
      <xdr:row>77</xdr:row>
      <xdr:rowOff>0</xdr:rowOff>
    </xdr:from>
    <xdr:ext cx="200025" cy="200025"/>
    <xdr:pic>
      <xdr:nvPicPr>
        <xdr:cNvPr id="0" name="image87.png"/>
        <xdr:cNvPicPr preferRelativeResize="0"/>
      </xdr:nvPicPr>
      <xdr:blipFill>
        <a:blip cstate="print" r:embed="rId58"/>
        <a:stretch>
          <a:fillRect/>
        </a:stretch>
      </xdr:blipFill>
      <xdr:spPr>
        <a:prstGeom prst="rect">
          <a:avLst/>
        </a:prstGeom>
        <a:noFill/>
      </xdr:spPr>
    </xdr:pic>
    <xdr:clientData fLocksWithSheet="0"/>
  </xdr:oneCellAnchor>
  <xdr:oneCellAnchor>
    <xdr:from>
      <xdr:col>0</xdr:col>
      <xdr:colOff>0</xdr:colOff>
      <xdr:row>78</xdr:row>
      <xdr:rowOff>0</xdr:rowOff>
    </xdr:from>
    <xdr:ext cx="200025" cy="200025"/>
    <xdr:pic>
      <xdr:nvPicPr>
        <xdr:cNvPr id="0" name="image75.png"/>
        <xdr:cNvPicPr preferRelativeResize="0"/>
      </xdr:nvPicPr>
      <xdr:blipFill>
        <a:blip cstate="print" r:embed="rId59"/>
        <a:stretch>
          <a:fillRect/>
        </a:stretch>
      </xdr:blipFill>
      <xdr:spPr>
        <a:prstGeom prst="rect">
          <a:avLst/>
        </a:prstGeom>
        <a:noFill/>
      </xdr:spPr>
    </xdr:pic>
    <xdr:clientData fLocksWithSheet="0"/>
  </xdr:oneCellAnchor>
  <xdr:oneCellAnchor>
    <xdr:from>
      <xdr:col>0</xdr:col>
      <xdr:colOff>0</xdr:colOff>
      <xdr:row>79</xdr:row>
      <xdr:rowOff>0</xdr:rowOff>
    </xdr:from>
    <xdr:ext cx="200025" cy="200025"/>
    <xdr:pic>
      <xdr:nvPicPr>
        <xdr:cNvPr id="0" name="image54.png"/>
        <xdr:cNvPicPr preferRelativeResize="0"/>
      </xdr:nvPicPr>
      <xdr:blipFill>
        <a:blip cstate="print" r:embed="rId60"/>
        <a:stretch>
          <a:fillRect/>
        </a:stretch>
      </xdr:blipFill>
      <xdr:spPr>
        <a:prstGeom prst="rect">
          <a:avLst/>
        </a:prstGeom>
        <a:noFill/>
      </xdr:spPr>
    </xdr:pic>
    <xdr:clientData fLocksWithSheet="0"/>
  </xdr:oneCellAnchor>
  <xdr:oneCellAnchor>
    <xdr:from>
      <xdr:col>0</xdr:col>
      <xdr:colOff>0</xdr:colOff>
      <xdr:row>80</xdr:row>
      <xdr:rowOff>0</xdr:rowOff>
    </xdr:from>
    <xdr:ext cx="200025" cy="200025"/>
    <xdr:pic>
      <xdr:nvPicPr>
        <xdr:cNvPr id="0" name="image78.png"/>
        <xdr:cNvPicPr preferRelativeResize="0"/>
      </xdr:nvPicPr>
      <xdr:blipFill>
        <a:blip cstate="print" r:embed="rId61"/>
        <a:stretch>
          <a:fillRect/>
        </a:stretch>
      </xdr:blipFill>
      <xdr:spPr>
        <a:prstGeom prst="rect">
          <a:avLst/>
        </a:prstGeom>
        <a:noFill/>
      </xdr:spPr>
    </xdr:pic>
    <xdr:clientData fLocksWithSheet="0"/>
  </xdr:oneCellAnchor>
  <xdr:oneCellAnchor>
    <xdr:from>
      <xdr:col>0</xdr:col>
      <xdr:colOff>0</xdr:colOff>
      <xdr:row>81</xdr:row>
      <xdr:rowOff>0</xdr:rowOff>
    </xdr:from>
    <xdr:ext cx="200025" cy="200025"/>
    <xdr:pic>
      <xdr:nvPicPr>
        <xdr:cNvPr id="0" name="image51.png"/>
        <xdr:cNvPicPr preferRelativeResize="0"/>
      </xdr:nvPicPr>
      <xdr:blipFill>
        <a:blip cstate="print" r:embed="rId62"/>
        <a:stretch>
          <a:fillRect/>
        </a:stretch>
      </xdr:blipFill>
      <xdr:spPr>
        <a:prstGeom prst="rect">
          <a:avLst/>
        </a:prstGeom>
        <a:noFill/>
      </xdr:spPr>
    </xdr:pic>
    <xdr:clientData fLocksWithSheet="0"/>
  </xdr:oneCellAnchor>
  <xdr:oneCellAnchor>
    <xdr:from>
      <xdr:col>0</xdr:col>
      <xdr:colOff>0</xdr:colOff>
      <xdr:row>82</xdr:row>
      <xdr:rowOff>0</xdr:rowOff>
    </xdr:from>
    <xdr:ext cx="200025" cy="200025"/>
    <xdr:pic>
      <xdr:nvPicPr>
        <xdr:cNvPr id="0" name="image52.png"/>
        <xdr:cNvPicPr preferRelativeResize="0"/>
      </xdr:nvPicPr>
      <xdr:blipFill>
        <a:blip cstate="print" r:embed="rId63"/>
        <a:stretch>
          <a:fillRect/>
        </a:stretch>
      </xdr:blipFill>
      <xdr:spPr>
        <a:prstGeom prst="rect">
          <a:avLst/>
        </a:prstGeom>
        <a:noFill/>
      </xdr:spPr>
    </xdr:pic>
    <xdr:clientData fLocksWithSheet="0"/>
  </xdr:oneCellAnchor>
  <xdr:oneCellAnchor>
    <xdr:from>
      <xdr:col>0</xdr:col>
      <xdr:colOff>0</xdr:colOff>
      <xdr:row>83</xdr:row>
      <xdr:rowOff>0</xdr:rowOff>
    </xdr:from>
    <xdr:ext cx="200025" cy="200025"/>
    <xdr:pic>
      <xdr:nvPicPr>
        <xdr:cNvPr id="0" name="image6.png"/>
        <xdr:cNvPicPr preferRelativeResize="0"/>
      </xdr:nvPicPr>
      <xdr:blipFill>
        <a:blip cstate="print" r:embed="rId64"/>
        <a:stretch>
          <a:fillRect/>
        </a:stretch>
      </xdr:blipFill>
      <xdr:spPr>
        <a:prstGeom prst="rect">
          <a:avLst/>
        </a:prstGeom>
        <a:noFill/>
      </xdr:spPr>
    </xdr:pic>
    <xdr:clientData fLocksWithSheet="0"/>
  </xdr:oneCellAnchor>
  <xdr:oneCellAnchor>
    <xdr:from>
      <xdr:col>0</xdr:col>
      <xdr:colOff>0</xdr:colOff>
      <xdr:row>84</xdr:row>
      <xdr:rowOff>0</xdr:rowOff>
    </xdr:from>
    <xdr:ext cx="200025" cy="200025"/>
    <xdr:pic>
      <xdr:nvPicPr>
        <xdr:cNvPr id="0" name="image64.png"/>
        <xdr:cNvPicPr preferRelativeResize="0"/>
      </xdr:nvPicPr>
      <xdr:blipFill>
        <a:blip cstate="print" r:embed="rId65"/>
        <a:stretch>
          <a:fillRect/>
        </a:stretch>
      </xdr:blipFill>
      <xdr:spPr>
        <a:prstGeom prst="rect">
          <a:avLst/>
        </a:prstGeom>
        <a:noFill/>
      </xdr:spPr>
    </xdr:pic>
    <xdr:clientData fLocksWithSheet="0"/>
  </xdr:oneCellAnchor>
  <xdr:oneCellAnchor>
    <xdr:from>
      <xdr:col>0</xdr:col>
      <xdr:colOff>0</xdr:colOff>
      <xdr:row>85</xdr:row>
      <xdr:rowOff>0</xdr:rowOff>
    </xdr:from>
    <xdr:ext cx="200025" cy="200025"/>
    <xdr:pic>
      <xdr:nvPicPr>
        <xdr:cNvPr id="0" name="image57.png"/>
        <xdr:cNvPicPr preferRelativeResize="0"/>
      </xdr:nvPicPr>
      <xdr:blipFill>
        <a:blip cstate="print" r:embed="rId66"/>
        <a:stretch>
          <a:fillRect/>
        </a:stretch>
      </xdr:blipFill>
      <xdr:spPr>
        <a:prstGeom prst="rect">
          <a:avLst/>
        </a:prstGeom>
        <a:noFill/>
      </xdr:spPr>
    </xdr:pic>
    <xdr:clientData fLocksWithSheet="0"/>
  </xdr:oneCellAnchor>
  <xdr:oneCellAnchor>
    <xdr:from>
      <xdr:col>0</xdr:col>
      <xdr:colOff>0</xdr:colOff>
      <xdr:row>86</xdr:row>
      <xdr:rowOff>0</xdr:rowOff>
    </xdr:from>
    <xdr:ext cx="200025" cy="200025"/>
    <xdr:pic>
      <xdr:nvPicPr>
        <xdr:cNvPr id="0" name="image88.png"/>
        <xdr:cNvPicPr preferRelativeResize="0"/>
      </xdr:nvPicPr>
      <xdr:blipFill>
        <a:blip cstate="print" r:embed="rId67"/>
        <a:stretch>
          <a:fillRect/>
        </a:stretch>
      </xdr:blipFill>
      <xdr:spPr>
        <a:prstGeom prst="rect">
          <a:avLst/>
        </a:prstGeom>
        <a:noFill/>
      </xdr:spPr>
    </xdr:pic>
    <xdr:clientData fLocksWithSheet="0"/>
  </xdr:oneCellAnchor>
  <xdr:oneCellAnchor>
    <xdr:from>
      <xdr:col>0</xdr:col>
      <xdr:colOff>0</xdr:colOff>
      <xdr:row>87</xdr:row>
      <xdr:rowOff>0</xdr:rowOff>
    </xdr:from>
    <xdr:ext cx="190500" cy="200025"/>
    <xdr:pic>
      <xdr:nvPicPr>
        <xdr:cNvPr id="0" name="image91.png"/>
        <xdr:cNvPicPr preferRelativeResize="0"/>
      </xdr:nvPicPr>
      <xdr:blipFill>
        <a:blip cstate="print" r:embed="rId68"/>
        <a:stretch>
          <a:fillRect/>
        </a:stretch>
      </xdr:blipFill>
      <xdr:spPr>
        <a:prstGeom prst="rect">
          <a:avLst/>
        </a:prstGeom>
        <a:noFill/>
      </xdr:spPr>
    </xdr:pic>
    <xdr:clientData fLocksWithSheet="0"/>
  </xdr:oneCellAnchor>
  <xdr:oneCellAnchor>
    <xdr:from>
      <xdr:col>0</xdr:col>
      <xdr:colOff>0</xdr:colOff>
      <xdr:row>88</xdr:row>
      <xdr:rowOff>0</xdr:rowOff>
    </xdr:from>
    <xdr:ext cx="161925" cy="200025"/>
    <xdr:pic>
      <xdr:nvPicPr>
        <xdr:cNvPr id="0" name="image81.png"/>
        <xdr:cNvPicPr preferRelativeResize="0"/>
      </xdr:nvPicPr>
      <xdr:blipFill>
        <a:blip cstate="print" r:embed="rId69"/>
        <a:stretch>
          <a:fillRect/>
        </a:stretch>
      </xdr:blipFill>
      <xdr:spPr>
        <a:prstGeom prst="rect">
          <a:avLst/>
        </a:prstGeom>
        <a:noFill/>
      </xdr:spPr>
    </xdr:pic>
    <xdr:clientData fLocksWithSheet="0"/>
  </xdr:oneCellAnchor>
  <xdr:oneCellAnchor>
    <xdr:from>
      <xdr:col>0</xdr:col>
      <xdr:colOff>0</xdr:colOff>
      <xdr:row>89</xdr:row>
      <xdr:rowOff>0</xdr:rowOff>
    </xdr:from>
    <xdr:ext cx="190500" cy="200025"/>
    <xdr:pic>
      <xdr:nvPicPr>
        <xdr:cNvPr id="0" name="image1.png"/>
        <xdr:cNvPicPr preferRelativeResize="0"/>
      </xdr:nvPicPr>
      <xdr:blipFill>
        <a:blip cstate="print" r:embed="rId70"/>
        <a:stretch>
          <a:fillRect/>
        </a:stretch>
      </xdr:blipFill>
      <xdr:spPr>
        <a:prstGeom prst="rect">
          <a:avLst/>
        </a:prstGeom>
        <a:noFill/>
      </xdr:spPr>
    </xdr:pic>
    <xdr:clientData fLocksWithSheet="0"/>
  </xdr:oneCellAnchor>
  <xdr:oneCellAnchor>
    <xdr:from>
      <xdr:col>0</xdr:col>
      <xdr:colOff>0</xdr:colOff>
      <xdr:row>90</xdr:row>
      <xdr:rowOff>0</xdr:rowOff>
    </xdr:from>
    <xdr:ext cx="400050" cy="200025"/>
    <xdr:pic>
      <xdr:nvPicPr>
        <xdr:cNvPr id="0" name="image84.png"/>
        <xdr:cNvPicPr preferRelativeResize="0"/>
      </xdr:nvPicPr>
      <xdr:blipFill>
        <a:blip cstate="print" r:embed="rId71"/>
        <a:stretch>
          <a:fillRect/>
        </a:stretch>
      </xdr:blipFill>
      <xdr:spPr>
        <a:prstGeom prst="rect">
          <a:avLst/>
        </a:prstGeom>
        <a:noFill/>
      </xdr:spPr>
    </xdr:pic>
    <xdr:clientData fLocksWithSheet="0"/>
  </xdr:oneCellAnchor>
  <xdr:oneCellAnchor>
    <xdr:from>
      <xdr:col>0</xdr:col>
      <xdr:colOff>0</xdr:colOff>
      <xdr:row>91</xdr:row>
      <xdr:rowOff>0</xdr:rowOff>
    </xdr:from>
    <xdr:ext cx="190500" cy="200025"/>
    <xdr:pic>
      <xdr:nvPicPr>
        <xdr:cNvPr id="0" name="image85.png"/>
        <xdr:cNvPicPr preferRelativeResize="0"/>
      </xdr:nvPicPr>
      <xdr:blipFill>
        <a:blip cstate="print" r:embed="rId72"/>
        <a:stretch>
          <a:fillRect/>
        </a:stretch>
      </xdr:blipFill>
      <xdr:spPr>
        <a:prstGeom prst="rect">
          <a:avLst/>
        </a:prstGeom>
        <a:noFill/>
      </xdr:spPr>
    </xdr:pic>
    <xdr:clientData fLocksWithSheet="0"/>
  </xdr:oneCellAnchor>
  <xdr:oneCellAnchor>
    <xdr:from>
      <xdr:col>0</xdr:col>
      <xdr:colOff>0</xdr:colOff>
      <xdr:row>92</xdr:row>
      <xdr:rowOff>0</xdr:rowOff>
    </xdr:from>
    <xdr:ext cx="200025" cy="200025"/>
    <xdr:pic>
      <xdr:nvPicPr>
        <xdr:cNvPr id="0" name="image90.png"/>
        <xdr:cNvPicPr preferRelativeResize="0"/>
      </xdr:nvPicPr>
      <xdr:blipFill>
        <a:blip cstate="print" r:embed="rId73"/>
        <a:stretch>
          <a:fillRect/>
        </a:stretch>
      </xdr:blipFill>
      <xdr:spPr>
        <a:prstGeom prst="rect">
          <a:avLst/>
        </a:prstGeom>
        <a:noFill/>
      </xdr:spPr>
    </xdr:pic>
    <xdr:clientData fLocksWithSheet="0"/>
  </xdr:oneCellAnchor>
  <xdr:oneCellAnchor>
    <xdr:from>
      <xdr:col>0</xdr:col>
      <xdr:colOff>0</xdr:colOff>
      <xdr:row>93</xdr:row>
      <xdr:rowOff>0</xdr:rowOff>
    </xdr:from>
    <xdr:ext cx="200025" cy="200025"/>
    <xdr:pic>
      <xdr:nvPicPr>
        <xdr:cNvPr id="0" name="image56.png"/>
        <xdr:cNvPicPr preferRelativeResize="0"/>
      </xdr:nvPicPr>
      <xdr:blipFill>
        <a:blip cstate="print" r:embed="rId74"/>
        <a:stretch>
          <a:fillRect/>
        </a:stretch>
      </xdr:blipFill>
      <xdr:spPr>
        <a:prstGeom prst="rect">
          <a:avLst/>
        </a:prstGeom>
        <a:noFill/>
      </xdr:spPr>
    </xdr:pic>
    <xdr:clientData fLocksWithSheet="0"/>
  </xdr:oneCellAnchor>
  <xdr:oneCellAnchor>
    <xdr:from>
      <xdr:col>0</xdr:col>
      <xdr:colOff>0</xdr:colOff>
      <xdr:row>94</xdr:row>
      <xdr:rowOff>0</xdr:rowOff>
    </xdr:from>
    <xdr:ext cx="200025" cy="200025"/>
    <xdr:pic>
      <xdr:nvPicPr>
        <xdr:cNvPr id="0" name="image82.png"/>
        <xdr:cNvPicPr preferRelativeResize="0"/>
      </xdr:nvPicPr>
      <xdr:blipFill>
        <a:blip cstate="print" r:embed="rId75"/>
        <a:stretch>
          <a:fillRect/>
        </a:stretch>
      </xdr:blipFill>
      <xdr:spPr>
        <a:prstGeom prst="rect">
          <a:avLst/>
        </a:prstGeom>
        <a:noFill/>
      </xdr:spPr>
    </xdr:pic>
    <xdr:clientData fLocksWithSheet="0"/>
  </xdr:oneCellAnchor>
  <xdr:oneCellAnchor>
    <xdr:from>
      <xdr:col>0</xdr:col>
      <xdr:colOff>0</xdr:colOff>
      <xdr:row>95</xdr:row>
      <xdr:rowOff>0</xdr:rowOff>
    </xdr:from>
    <xdr:ext cx="161925" cy="200025"/>
    <xdr:pic>
      <xdr:nvPicPr>
        <xdr:cNvPr id="0" name="image58.png"/>
        <xdr:cNvPicPr preferRelativeResize="0"/>
      </xdr:nvPicPr>
      <xdr:blipFill>
        <a:blip cstate="print" r:embed="rId76"/>
        <a:stretch>
          <a:fillRect/>
        </a:stretch>
      </xdr:blipFill>
      <xdr:spPr>
        <a:prstGeom prst="rect">
          <a:avLst/>
        </a:prstGeom>
        <a:noFill/>
      </xdr:spPr>
    </xdr:pic>
    <xdr:clientData fLocksWithSheet="0"/>
  </xdr:oneCellAnchor>
  <xdr:oneCellAnchor>
    <xdr:from>
      <xdr:col>0</xdr:col>
      <xdr:colOff>0</xdr:colOff>
      <xdr:row>96</xdr:row>
      <xdr:rowOff>0</xdr:rowOff>
    </xdr:from>
    <xdr:ext cx="200025" cy="200025"/>
    <xdr:pic>
      <xdr:nvPicPr>
        <xdr:cNvPr id="0" name="image89.png"/>
        <xdr:cNvPicPr preferRelativeResize="0"/>
      </xdr:nvPicPr>
      <xdr:blipFill>
        <a:blip cstate="print" r:embed="rId77"/>
        <a:stretch>
          <a:fillRect/>
        </a:stretch>
      </xdr:blipFill>
      <xdr:spPr>
        <a:prstGeom prst="rect">
          <a:avLst/>
        </a:prstGeom>
        <a:noFill/>
      </xdr:spPr>
    </xdr:pic>
    <xdr:clientData fLocksWithSheet="0"/>
  </xdr:oneCellAnchor>
  <xdr:oneCellAnchor>
    <xdr:from>
      <xdr:col>0</xdr:col>
      <xdr:colOff>0</xdr:colOff>
      <xdr:row>97</xdr:row>
      <xdr:rowOff>0</xdr:rowOff>
    </xdr:from>
    <xdr:ext cx="190500" cy="200025"/>
    <xdr:pic>
      <xdr:nvPicPr>
        <xdr:cNvPr id="0" name="image86.png"/>
        <xdr:cNvPicPr preferRelativeResize="0"/>
      </xdr:nvPicPr>
      <xdr:blipFill>
        <a:blip cstate="print" r:embed="rId78"/>
        <a:stretch>
          <a:fillRect/>
        </a:stretch>
      </xdr:blipFill>
      <xdr:spPr>
        <a:prstGeom prst="rect">
          <a:avLst/>
        </a:prstGeom>
        <a:noFill/>
      </xdr:spPr>
    </xdr:pic>
    <xdr:clientData fLocksWithSheet="0"/>
  </xdr:oneCellAnchor>
  <xdr:oneCellAnchor>
    <xdr:from>
      <xdr:col>0</xdr:col>
      <xdr:colOff>0</xdr:colOff>
      <xdr:row>98</xdr:row>
      <xdr:rowOff>0</xdr:rowOff>
    </xdr:from>
    <xdr:ext cx="400050" cy="200025"/>
    <xdr:pic>
      <xdr:nvPicPr>
        <xdr:cNvPr id="0" name="image47.png"/>
        <xdr:cNvPicPr preferRelativeResize="0"/>
      </xdr:nvPicPr>
      <xdr:blipFill>
        <a:blip cstate="print" r:embed="rId79"/>
        <a:stretch>
          <a:fillRect/>
        </a:stretch>
      </xdr:blipFill>
      <xdr:spPr>
        <a:prstGeom prst="rect">
          <a:avLst/>
        </a:prstGeom>
        <a:noFill/>
      </xdr:spPr>
    </xdr:pic>
    <xdr:clientData fLocksWithSheet="0"/>
  </xdr:oneCellAnchor>
</xdr:wsD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hyperlink" Target="https://docs.google.com/spreadsheets/d/1PcoZGbYr5FWX28_sSEMh9-W_5_qyGbyvptb_9_4te1w/edit?gid=0" TargetMode="External"/><Relationship Id="rId3" Type="http://schemas.openxmlformats.org/officeDocument/2006/relationships/hyperlink" Target="https://discord.gg/N38tUaJ35n" TargetMode="External"/><Relationship Id="rId4" Type="http://schemas.openxmlformats.org/officeDocument/2006/relationships/hyperlink" Target="https://www.youtube.com/watch?v=LY4INJITiRQ" TargetMode="External"/><Relationship Id="rId9" Type="http://schemas.openxmlformats.org/officeDocument/2006/relationships/hyperlink" Target="https://www.youtube.com/watch?v=7q32ZtUTPs0&amp;list=PLni82GVnwTlzhZmUOMLLmIJ3cp2k5B5Gs" TargetMode="External"/><Relationship Id="rId5" Type="http://schemas.openxmlformats.org/officeDocument/2006/relationships/hyperlink" Target="https://github.com/TheTalkingMime/bac-tracker/releases" TargetMode="External"/><Relationship Id="rId6" Type="http://schemas.openxmlformats.org/officeDocument/2006/relationships/hyperlink" Target="https://docs.google.com/spreadsheets/u/0/d/17YdAwaLaW9Ch1DEBW8Z7tLgv32BsXlKkAx0H0HLiTgY/edit" TargetMode="External"/><Relationship Id="rId7" Type="http://schemas.openxmlformats.org/officeDocument/2006/relationships/hyperlink" Target="https://discord.gg/blaze-and-cave-419383460600348673" TargetMode="External"/><Relationship Id="rId8" Type="http://schemas.openxmlformats.org/officeDocument/2006/relationships/hyperlink" Target="https://docs.google.com/spreadsheets/u/0/d/1-NOiyEuHi19z-OGApDGcdpJ9aEXacGjtMrn0Vo5z8yo/edit" TargetMode="External"/><Relationship Id="rId11" Type="http://schemas.openxmlformats.org/officeDocument/2006/relationships/hyperlink" Target="https://www.youtube.com/@tjthings" TargetMode="External"/><Relationship Id="rId10" Type="http://schemas.openxmlformats.org/officeDocument/2006/relationships/hyperlink" Target="http://twitch.tv/talkingmime" TargetMode="External"/><Relationship Id="rId13" Type="http://schemas.openxmlformats.org/officeDocument/2006/relationships/hyperlink" Target="https://github.com/tjthings/bac-extra-settings" TargetMode="External"/><Relationship Id="rId12" Type="http://schemas.openxmlformats.org/officeDocument/2006/relationships/hyperlink" Target="http://nerothe.com/" TargetMode="External"/><Relationship Id="rId15" Type="http://schemas.openxmlformats.org/officeDocument/2006/relationships/vmlDrawing" Target="../drawings/vmlDrawing1.vml"/><Relationship Id="rId14"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hyperlink" Target="https://docs.google.com/spreadsheets/d/1PcoZGbYr5FWX28_sSEMh9-W_5_qyGbyvptb_9_4te1w/edit?gid=0" TargetMode="External"/><Relationship Id="rId3" Type="http://schemas.openxmlformats.org/officeDocument/2006/relationships/hyperlink" Target="https://discord.gg/N38tUaJ35n" TargetMode="External"/><Relationship Id="rId4" Type="http://schemas.openxmlformats.org/officeDocument/2006/relationships/hyperlink" Target="https://www.youtube.com/watch?v=LY4INJITiRQ" TargetMode="External"/><Relationship Id="rId9" Type="http://schemas.openxmlformats.org/officeDocument/2006/relationships/hyperlink" Target="https://www.youtube.com/watch?v=7q32ZtUTPs0&amp;list=PLni82GVnwTlzhZmUOMLLmIJ3cp2k5B5Gs" TargetMode="External"/><Relationship Id="rId5" Type="http://schemas.openxmlformats.org/officeDocument/2006/relationships/hyperlink" Target="https://github.com/TheTalkingMime/bac-tracker/releases" TargetMode="External"/><Relationship Id="rId6" Type="http://schemas.openxmlformats.org/officeDocument/2006/relationships/hyperlink" Target="https://docs.google.com/spreadsheets/u/0/d/17YdAwaLaW9Ch1DEBW8Z7tLgv32BsXlKkAx0H0HLiTgY/edit" TargetMode="External"/><Relationship Id="rId7" Type="http://schemas.openxmlformats.org/officeDocument/2006/relationships/hyperlink" Target="https://discord.gg/blaze-and-cave-419383460600348673" TargetMode="External"/><Relationship Id="rId8" Type="http://schemas.openxmlformats.org/officeDocument/2006/relationships/hyperlink" Target="https://docs.google.com/spreadsheets/u/0/d/1-NOiyEuHi19z-OGApDGcdpJ9aEXacGjtMrn0Vo5z8yo/edit" TargetMode="External"/><Relationship Id="rId11" Type="http://schemas.openxmlformats.org/officeDocument/2006/relationships/hyperlink" Target="https://www.youtube.com/@tjthings" TargetMode="External"/><Relationship Id="rId10" Type="http://schemas.openxmlformats.org/officeDocument/2006/relationships/hyperlink" Target="http://twitch.tv/talkingmime" TargetMode="External"/><Relationship Id="rId13" Type="http://schemas.openxmlformats.org/officeDocument/2006/relationships/hyperlink" Target="https://github.com/tjthings/bac-extra-settings" TargetMode="External"/><Relationship Id="rId12" Type="http://schemas.openxmlformats.org/officeDocument/2006/relationships/hyperlink" Target="http://nerothe.com/" TargetMode="External"/><Relationship Id="rId15" Type="http://schemas.openxmlformats.org/officeDocument/2006/relationships/vmlDrawing" Target="../drawings/vmlDrawing2.vml"/><Relationship Id="rId14"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hyperlink" Target="https://minecraft.wiki/w/Fire" TargetMode="External"/><Relationship Id="rId2" Type="http://schemas.openxmlformats.org/officeDocument/2006/relationships/hyperlink" Target="https://minecraft.wiki/w/Painting" TargetMode="External"/><Relationship Id="rId3" Type="http://schemas.openxmlformats.org/officeDocument/2006/relationships/hyperlink" Target="https://minecraft.wiki/w/Block" TargetMode="External"/><Relationship Id="rId4" Type="http://schemas.openxmlformats.org/officeDocument/2006/relationships/hyperlink" Target="https://minecraft.wiki/w/Item" TargetMode="External"/><Relationship Id="rId5"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6.xml"/><Relationship Id="rId3" Type="http://schemas.openxmlformats.org/officeDocument/2006/relationships/vmlDrawing" Target="../drawings/vmlDrawing3.vml"/></Relationships>
</file>

<file path=xl/worksheets/_rels/sheet7.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7.xml"/><Relationship Id="rId3" Type="http://schemas.openxmlformats.org/officeDocument/2006/relationships/vmlDrawing" Target="../drawings/vmlDrawing4.vml"/></Relationships>
</file>

<file path=xl/worksheets/_rels/sheet8.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8.xml"/><Relationship Id="rId3" Type="http://schemas.openxmlformats.org/officeDocument/2006/relationships/vmlDrawing" Target="../drawings/vmlDrawing5.v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10.xml"/><Relationship Id="rId3" Type="http://schemas.openxmlformats.org/officeDocument/2006/relationships/vmlDrawing" Target="../drawings/vmlDrawing6.vml"/></Relationships>
</file>

<file path=xl/worksheets/_rels/sheet11.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11.xml"/><Relationship Id="rId3" Type="http://schemas.openxmlformats.org/officeDocument/2006/relationships/vmlDrawing" Target="../drawings/vmlDrawing7.v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0000"/>
    <outlinePr summaryBelow="0" summaryRight="0"/>
  </sheetPr>
  <sheetViews>
    <sheetView showGridLines="0" workbookViewId="0"/>
  </sheetViews>
  <sheetFormatPr customHeight="1" defaultColWidth="12.63" defaultRowHeight="15.75"/>
  <cols>
    <col customWidth="1" min="1" max="1" width="5.13"/>
    <col customWidth="1" min="2" max="4" width="2.63"/>
    <col customWidth="1" min="5" max="5" width="10.13"/>
    <col customWidth="1" min="6" max="6" width="5.13"/>
    <col customWidth="1" min="7" max="7" width="12.63"/>
    <col customWidth="1" min="8" max="8" width="2.63"/>
    <col customWidth="1" min="9" max="9" width="5.13"/>
    <col customWidth="1" min="10" max="10" width="2.63"/>
    <col customWidth="1" min="11" max="11" width="10.13"/>
    <col customWidth="1" min="12" max="12" width="5.13"/>
    <col customWidth="1" min="13" max="13" width="12.63"/>
    <col customWidth="1" min="14" max="14" width="5.13"/>
    <col customWidth="1" hidden="1" min="15" max="15" width="11.13"/>
    <col customWidth="1" min="16" max="16" width="5.13"/>
    <col customWidth="1" min="17" max="17" width="2.63"/>
    <col customWidth="1" min="18" max="18" width="30.13"/>
    <col customWidth="1" min="19" max="19" width="2.63"/>
    <col customWidth="1" hidden="1" min="20" max="20" width="10.63"/>
    <col customWidth="1" min="21" max="21" width="5.13"/>
    <col customWidth="1" min="22" max="22" width="2.63"/>
    <col customWidth="1" min="23" max="23" width="30.13"/>
    <col customWidth="1" min="24" max="24" width="5.13"/>
  </cols>
  <sheetData>
    <row r="1">
      <c r="A1" s="1" t="str">
        <f>CONCATENATE(F2,if(L2," Co-op", "'s Solo")," Blaze and Caves Run")</f>
        <v>Player's Solo Blaze and Caves Run</v>
      </c>
    </row>
    <row r="2">
      <c r="A2" s="2"/>
      <c r="B2" s="3" t="s">
        <v>0</v>
      </c>
      <c r="C2" s="4"/>
      <c r="D2" s="4"/>
      <c r="E2" s="5"/>
      <c r="F2" s="6" t="s">
        <v>1</v>
      </c>
      <c r="G2" s="5"/>
      <c r="H2" s="3" t="s">
        <v>2</v>
      </c>
      <c r="I2" s="4"/>
      <c r="J2" s="4"/>
      <c r="K2" s="5"/>
      <c r="L2" s="7" t="b">
        <v>0</v>
      </c>
      <c r="M2" s="8"/>
      <c r="N2" s="9" t="s">
        <v>3</v>
      </c>
      <c r="O2" s="4"/>
      <c r="P2" s="4"/>
      <c r="Q2" s="5"/>
      <c r="R2" s="10">
        <v>1.21</v>
      </c>
      <c r="S2" s="9" t="s">
        <v>4</v>
      </c>
      <c r="T2" s="4"/>
      <c r="U2" s="4"/>
      <c r="V2" s="5"/>
      <c r="W2" s="10"/>
      <c r="X2" s="11"/>
    </row>
    <row r="4">
      <c r="B4" s="12" t="s">
        <v>5</v>
      </c>
      <c r="H4" s="13" t="str">
        <f>CONCATENATE(COUNTIF(Advancements!G2:G1285, True), "/", COUNTA(Advancements!O2:O1285))</f>
        <v>0/1142</v>
      </c>
      <c r="P4" s="14" t="s">
        <v>6</v>
      </c>
      <c r="Q4" s="15"/>
      <c r="R4" s="15"/>
      <c r="S4" s="15"/>
      <c r="T4" s="15"/>
      <c r="U4" s="15"/>
      <c r="V4" s="15"/>
      <c r="W4" s="16"/>
    </row>
    <row r="5">
      <c r="B5" s="17">
        <f>COUNTIF(Advancements!G2:G1285, True)/COUNTA(Advancements!O2:O1285)</f>
        <v>0</v>
      </c>
      <c r="H5" s="18" t="str">
        <f>IFERROR(__xludf.DUMMYFUNCTION("SPARKLINE(COUNTIF(Advancements!G2:G1285, True)/COUNTA(Advancements!O2:O1285),{""charttype"",""bar"";""max"",100%;""color1"",""green"";""empty"",""zero""})"),"")</f>
        <v/>
      </c>
      <c r="P5" s="19" t="s">
        <v>7</v>
      </c>
      <c r="S5" s="20" t="s">
        <v>8</v>
      </c>
    </row>
    <row r="6">
      <c r="B6" s="21"/>
      <c r="C6" s="21"/>
      <c r="D6" s="21"/>
      <c r="E6" s="21"/>
      <c r="F6" s="21"/>
      <c r="G6" s="21"/>
      <c r="H6" s="21"/>
      <c r="I6" s="21"/>
      <c r="J6" s="21"/>
      <c r="K6" s="21"/>
      <c r="L6" s="21"/>
      <c r="M6" s="21"/>
      <c r="P6" s="19" t="s">
        <v>9</v>
      </c>
      <c r="Q6" s="22"/>
      <c r="R6" s="22"/>
      <c r="S6" s="23" t="s">
        <v>10</v>
      </c>
    </row>
    <row r="7">
      <c r="B7" s="24" t="s">
        <v>11</v>
      </c>
      <c r="H7" s="25" t="str">
        <f>IFERROR(__xludf.DUMMYFUNCTION("CONCATENATE(COUNTIF(FILTER(Advancements!G:G, Advancements!B:B=""Unique""), True), ""/"", COUNTA(FILTER(Advancements!G:G, Advancements!B:B=""Unique"")))"),"0/247")</f>
        <v>0/247</v>
      </c>
      <c r="P7" s="23" t="s">
        <v>12</v>
      </c>
      <c r="S7" s="23" t="s">
        <v>13</v>
      </c>
    </row>
    <row r="8">
      <c r="B8" s="26">
        <f>IFERROR(__xludf.DUMMYFUNCTION("COUNTIF(FILTER(Advancements!G:G, Advancements!B:B=""Unique""), True)/COUNTA(FILTER(Advancements!G:G, Advancements!B:B=""Unique""))"),0.0)</f>
        <v>0</v>
      </c>
      <c r="H8" s="27" t="str">
        <f>IFERROR(__xludf.DUMMYFUNCTION("SPARKLINE(COUNTIF(FILTER(Advancements!G:G, Advancements!B:B=""Unique""), True)/COUNTA(FILTER(Advancements!G:G, Advancements!B:B=""Unique"")),{""charttype"",""bar"";""max"",100%;""color1"",""green"";""empty"",""zero""})"),"")</f>
        <v/>
      </c>
      <c r="P8" s="19" t="s">
        <v>14</v>
      </c>
      <c r="S8" s="28" t="s">
        <v>15</v>
      </c>
    </row>
    <row r="9">
      <c r="B9" s="21"/>
      <c r="C9" s="21"/>
      <c r="D9" s="21"/>
      <c r="E9" s="21"/>
      <c r="F9" s="21"/>
      <c r="G9" s="21"/>
      <c r="H9" s="21"/>
      <c r="I9" s="21"/>
      <c r="J9" s="21"/>
      <c r="K9" s="21"/>
      <c r="L9" s="21"/>
      <c r="M9" s="21"/>
    </row>
    <row r="10">
      <c r="B10" s="29" t="s">
        <v>16</v>
      </c>
      <c r="H10" s="30" t="str">
        <f>CONCATENATE(COUNTIF(ItemsBlocks!C2:C1285, True), "/", COUNTA(ItemsBlocks!G2:G1285))</f>
        <v>0/1221</v>
      </c>
      <c r="P10" s="14" t="s">
        <v>17</v>
      </c>
      <c r="Q10" s="15"/>
      <c r="R10" s="15"/>
      <c r="S10" s="15"/>
      <c r="T10" s="15"/>
      <c r="U10" s="15"/>
      <c r="V10" s="15"/>
      <c r="W10" s="16"/>
    </row>
    <row r="11">
      <c r="B11" s="31">
        <f>COUNTIF(ItemsBlocks!C2:C1285, True)/COUNTA(ItemsBlocks!G2:G1285)</f>
        <v>0</v>
      </c>
      <c r="H11" s="32" t="str">
        <f>IFERROR(__xludf.DUMMYFUNCTION("SPARKLINE(COUNTIF(ItemsBlocks!C2:C1285, True)/COUNTA(ItemsBlocks!G2:G1285),{""charttype"",""bar"";""max"",100%;""color1"",""green"";""empty"",""zero""})"),"")</f>
        <v/>
      </c>
      <c r="P11" s="33" t="s">
        <v>18</v>
      </c>
      <c r="S11" s="34" t="s">
        <v>19</v>
      </c>
      <c r="T11" s="35"/>
    </row>
    <row r="12">
      <c r="B12" s="21"/>
      <c r="C12" s="21"/>
      <c r="D12" s="21"/>
      <c r="E12" s="21"/>
      <c r="F12" s="21"/>
      <c r="G12" s="21"/>
      <c r="H12" s="21"/>
      <c r="I12" s="21"/>
      <c r="J12" s="21"/>
      <c r="K12" s="21"/>
      <c r="L12" s="21"/>
      <c r="M12" s="21"/>
      <c r="P12" s="33" t="s">
        <v>20</v>
      </c>
      <c r="S12" s="34" t="s">
        <v>21</v>
      </c>
      <c r="T12" s="35"/>
    </row>
    <row r="13">
      <c r="B13" s="36" t="s">
        <v>22</v>
      </c>
      <c r="H13" s="37" t="str">
        <f>concatenate(countif(Mobs!$AM$6:$AAB1285,"TRUE"), "/", countif(Mobs!$AM$6:$AAB1285,"TRUE")+countif(Mobs!$AM$6:$AAB1285,"FALSE"))</f>
        <v>0/646</v>
      </c>
      <c r="P13" s="33" t="s">
        <v>23</v>
      </c>
      <c r="S13" s="34" t="s">
        <v>24</v>
      </c>
      <c r="T13" s="35"/>
    </row>
    <row r="14">
      <c r="B14" s="38">
        <f>COUNTIF(Mobs!$AM$6:$AAB1285,"TRUE")/(countif(Mobs!$AM$6:$AAB1285,"TRUE") + countif(Mobs!$AM$6:$AAB1285,"FALSE"))</f>
        <v>0</v>
      </c>
      <c r="H14" s="39" t="str">
        <f>IFERROR(__xludf.DUMMYFUNCTION("SPARKLINE(COUNTIF(Mobs!$AM$6:$AAB1285, True)/646,{""charttype"",""bar"";""max"",100%;""color1"",""green"";""empty"",""zero""})"),"")</f>
        <v/>
      </c>
      <c r="P14" s="40" t="s">
        <v>25</v>
      </c>
      <c r="S14" s="40" t="s">
        <v>26</v>
      </c>
    </row>
    <row r="16">
      <c r="B16" s="14" t="s">
        <v>27</v>
      </c>
      <c r="C16" s="15"/>
      <c r="D16" s="15"/>
      <c r="E16" s="15"/>
      <c r="F16" s="15"/>
      <c r="G16" s="15"/>
      <c r="H16" s="15"/>
      <c r="I16" s="15"/>
      <c r="J16" s="15"/>
      <c r="K16" s="15"/>
      <c r="L16" s="15"/>
      <c r="M16" s="15"/>
      <c r="P16" s="14" t="s">
        <v>28</v>
      </c>
      <c r="Q16" s="15"/>
      <c r="R16" s="15"/>
      <c r="S16" s="15"/>
      <c r="T16" s="15"/>
      <c r="U16" s="15"/>
      <c r="V16" s="15"/>
      <c r="W16" s="16"/>
    </row>
    <row r="18">
      <c r="B18" s="41" t="str">
        <f t="shared" ref="B18:B28" si="1">GET_ADV_ICON(E18)</f>
        <v/>
      </c>
      <c r="C18" s="42"/>
      <c r="D18" s="43" t="b">
        <f t="array" ref="D18">XLOOKUP(E18,Advancements!$I$2:$I1285,Advancements!$G$2:$G1285)</f>
        <v>0</v>
      </c>
      <c r="E18" s="44" t="s">
        <v>29</v>
      </c>
      <c r="F18" s="42"/>
      <c r="G18" s="42"/>
      <c r="H18" s="45" t="s">
        <v>30</v>
      </c>
      <c r="I18" s="42"/>
      <c r="J18" s="42"/>
      <c r="K18" s="42"/>
      <c r="L18" s="42"/>
      <c r="M18" s="46"/>
      <c r="P18" s="47"/>
      <c r="Q18" s="48" t="b">
        <f>IFALLTRUE(Q19:Q28)</f>
        <v>0</v>
      </c>
      <c r="R18" s="49" t="s">
        <v>31</v>
      </c>
      <c r="U18" s="47"/>
      <c r="V18" s="48" t="b">
        <f>IFALLTRUE(V19:V23)</f>
        <v>0</v>
      </c>
      <c r="W18" s="49" t="s">
        <v>32</v>
      </c>
    </row>
    <row r="19">
      <c r="B19" s="50" t="str">
        <f t="shared" si="1"/>
        <v/>
      </c>
      <c r="D19" s="51" t="b">
        <f t="array" ref="D19">XLOOKUP(E19,Advancements!$I$2:$I1285,Advancements!$G$2:$G1285)</f>
        <v>0</v>
      </c>
      <c r="E19" s="52" t="s">
        <v>33</v>
      </c>
      <c r="H19" s="53" t="s">
        <v>34</v>
      </c>
      <c r="M19" s="54"/>
      <c r="P19" s="55"/>
      <c r="Q19" s="56" t="b">
        <f>Mobs!D17</f>
        <v>0</v>
      </c>
      <c r="R19" s="57" t="s">
        <v>35</v>
      </c>
      <c r="U19" s="58"/>
      <c r="V19" s="59" t="b">
        <f>Mobs!D6</f>
        <v>0</v>
      </c>
      <c r="W19" s="60" t="s">
        <v>32</v>
      </c>
    </row>
    <row r="20">
      <c r="B20" s="50" t="str">
        <f t="shared" si="1"/>
        <v/>
      </c>
      <c r="D20" s="51" t="b">
        <f t="array" ref="D20">XLOOKUP(E20,Advancements!$I$2:$I1285,Advancements!$G$2:$G1285)</f>
        <v>0</v>
      </c>
      <c r="E20" s="52" t="s">
        <v>36</v>
      </c>
      <c r="H20" s="53" t="s">
        <v>37</v>
      </c>
      <c r="M20" s="54"/>
      <c r="P20" s="61"/>
      <c r="Q20" s="62" t="b">
        <f t="array" ref="Q20">XLOOKUP(R20,Advancements!$I$2:$I1285,Advancements!$G$2:$G1285)</f>
        <v>0</v>
      </c>
      <c r="R20" s="63" t="s">
        <v>38</v>
      </c>
      <c r="U20" s="55"/>
      <c r="V20" s="64" t="b">
        <f>Mobs!I6</f>
        <v>0</v>
      </c>
      <c r="W20" s="57" t="s">
        <v>39</v>
      </c>
    </row>
    <row r="21">
      <c r="B21" s="50" t="str">
        <f t="shared" si="1"/>
        <v/>
      </c>
      <c r="D21" s="51" t="b">
        <f t="array" ref="D21">XLOOKUP(E21,Advancements!$I$2:$I1285,Advancements!$G$2:$G1285)</f>
        <v>0</v>
      </c>
      <c r="E21" s="52" t="s">
        <v>40</v>
      </c>
      <c r="H21" s="53" t="s">
        <v>41</v>
      </c>
      <c r="M21" s="54"/>
      <c r="P21" s="65"/>
      <c r="Q21" s="66" t="b">
        <f t="array" ref="Q21">XLOOKUP(R21,Advancements!$I$2:$I1285,Advancements!$G$2:$G1285)</f>
        <v>0</v>
      </c>
      <c r="R21" s="67" t="s">
        <v>42</v>
      </c>
      <c r="U21" s="68"/>
      <c r="V21" s="62" t="b">
        <f t="array" ref="V21">XLOOKUP(W21,Advancements!$I$2:$I1285,Advancements!$G$2:$G1285)</f>
        <v>0</v>
      </c>
      <c r="W21" s="69" t="s">
        <v>43</v>
      </c>
    </row>
    <row r="22">
      <c r="B22" s="50" t="str">
        <f t="shared" si="1"/>
        <v/>
      </c>
      <c r="D22" s="51" t="b">
        <f t="array" ref="D22">XLOOKUP(E22,Advancements!$I$2:$I1285,Advancements!$G$2:$G1285)</f>
        <v>0</v>
      </c>
      <c r="E22" s="52" t="s">
        <v>44</v>
      </c>
      <c r="H22" s="53" t="s">
        <v>45</v>
      </c>
      <c r="M22" s="54"/>
      <c r="P22" s="65"/>
      <c r="Q22" s="66" t="b">
        <f t="array" ref="Q22">XLOOKUP(R22,Advancements!$I$2:$I1285,Advancements!$G$2:$G1285)</f>
        <v>0</v>
      </c>
      <c r="R22" s="67" t="s">
        <v>46</v>
      </c>
      <c r="U22" s="65"/>
      <c r="V22" s="66" t="b">
        <f t="array" ref="V22">XLOOKUP(W22,Advancements!$I$2:$I1285,Advancements!$G$2:$G1285)</f>
        <v>0</v>
      </c>
      <c r="W22" s="70" t="s">
        <v>47</v>
      </c>
    </row>
    <row r="23">
      <c r="B23" s="50" t="str">
        <f t="shared" si="1"/>
        <v/>
      </c>
      <c r="D23" s="51" t="b">
        <f t="array" ref="D23">XLOOKUP(E23,Advancements!$I$2:$I1285,Advancements!$G$2:$G1285)</f>
        <v>0</v>
      </c>
      <c r="E23" s="52" t="s">
        <v>48</v>
      </c>
      <c r="H23" s="53" t="s">
        <v>49</v>
      </c>
      <c r="M23" s="54"/>
      <c r="P23" s="65"/>
      <c r="Q23" s="66" t="b">
        <f t="array" ref="Q23">XLOOKUP(R23,Advancements!$I$2:$I1285,Advancements!$G$2:$G1285)</f>
        <v>0</v>
      </c>
      <c r="R23" s="67" t="s">
        <v>50</v>
      </c>
      <c r="U23" s="65"/>
      <c r="V23" s="66" t="b">
        <f t="array" ref="V23">XLOOKUP(W23,Advancements!$I$2:$I1285,Advancements!$G$2:$G1285)</f>
        <v>0</v>
      </c>
      <c r="W23" s="71" t="s">
        <v>51</v>
      </c>
    </row>
    <row r="24">
      <c r="B24" s="50" t="str">
        <f t="shared" si="1"/>
        <v/>
      </c>
      <c r="D24" s="51" t="b">
        <f t="array" ref="D24">XLOOKUP(E24,Advancements!$I$2:$I1285,Advancements!$G$2:$G1285)</f>
        <v>0</v>
      </c>
      <c r="E24" s="52" t="s">
        <v>52</v>
      </c>
      <c r="H24" s="53" t="s">
        <v>53</v>
      </c>
      <c r="M24" s="54"/>
      <c r="P24" s="72"/>
      <c r="Q24" s="73" t="b">
        <f t="array" ref="Q24">XLOOKUP(R24,Advancements!$I$2:$I1285,Advancements!$G$2:$G1285)</f>
        <v>0</v>
      </c>
      <c r="R24" s="74" t="s">
        <v>54</v>
      </c>
      <c r="U24" s="75"/>
      <c r="V24" s="76"/>
      <c r="W24" s="77"/>
    </row>
    <row r="25">
      <c r="B25" s="50" t="str">
        <f t="shared" si="1"/>
        <v/>
      </c>
      <c r="D25" s="51" t="b">
        <f t="array" ref="D25">XLOOKUP(E25,Advancements!$I$2:$I1285,Advancements!$G$2:$G1285)</f>
        <v>0</v>
      </c>
      <c r="E25" s="52" t="s">
        <v>55</v>
      </c>
      <c r="H25" s="53" t="s">
        <v>56</v>
      </c>
      <c r="M25" s="54"/>
      <c r="P25" s="78"/>
      <c r="Q25" s="79" t="b">
        <f t="array" ref="Q25">XLOOKUP(R25,ItemsBlocks!$E$2:$E1285,ItemsBlocks!$C$2:$C1285)</f>
        <v>0</v>
      </c>
      <c r="R25" s="80" t="s">
        <v>57</v>
      </c>
      <c r="U25" s="81" t="s">
        <v>58</v>
      </c>
      <c r="V25" s="42"/>
      <c r="W25" s="46"/>
    </row>
    <row r="26">
      <c r="B26" s="50" t="str">
        <f t="shared" si="1"/>
        <v/>
      </c>
      <c r="D26" s="51" t="b">
        <f t="array" ref="D26">XLOOKUP(E26,Advancements!$I$2:$I1285,Advancements!$G$2:$G1285)</f>
        <v>0</v>
      </c>
      <c r="E26" s="52" t="s">
        <v>59</v>
      </c>
      <c r="H26" s="53" t="s">
        <v>60</v>
      </c>
      <c r="M26" s="54"/>
      <c r="P26" s="50"/>
      <c r="Q26" s="51" t="b">
        <f t="array" ref="Q26">XLOOKUP(R26,ItemsBlocks!$E$2:$E1285,ItemsBlocks!$C$2:$C1285)</f>
        <v>0</v>
      </c>
      <c r="R26" s="82" t="s">
        <v>61</v>
      </c>
      <c r="U26" s="83" t="s">
        <v>62</v>
      </c>
      <c r="V26" s="84"/>
      <c r="W26" s="85"/>
    </row>
    <row r="27">
      <c r="B27" s="50" t="str">
        <f t="shared" si="1"/>
        <v/>
      </c>
      <c r="D27" s="51" t="b">
        <f t="array" ref="D27">XLOOKUP(E27,Advancements!$I$2:$I1285,Advancements!$G$2:$G1285)</f>
        <v>0</v>
      </c>
      <c r="E27" s="52" t="s">
        <v>63</v>
      </c>
      <c r="H27" s="53" t="s">
        <v>64</v>
      </c>
      <c r="M27" s="54"/>
      <c r="P27" s="50"/>
      <c r="Q27" s="51" t="b">
        <f t="array" ref="Q27">XLOOKUP(R27,ItemsBlocks!$E$2:$E1285,ItemsBlocks!$C$2:$C1285)</f>
        <v>0</v>
      </c>
      <c r="R27" s="82" t="s">
        <v>65</v>
      </c>
      <c r="U27" s="86" t="s">
        <v>66</v>
      </c>
      <c r="V27" s="87"/>
      <c r="W27" s="88"/>
    </row>
    <row r="28">
      <c r="B28" s="89" t="str">
        <f t="shared" si="1"/>
        <v/>
      </c>
      <c r="C28" s="4"/>
      <c r="D28" s="90" t="b">
        <f t="array" ref="D28">XLOOKUP(E28,Advancements!$I$2:$I1285,Advancements!$G$2:$G1285)</f>
        <v>0</v>
      </c>
      <c r="E28" s="91" t="s">
        <v>67</v>
      </c>
      <c r="F28" s="4"/>
      <c r="G28" s="4"/>
      <c r="H28" s="92" t="s">
        <v>68</v>
      </c>
      <c r="I28" s="4"/>
      <c r="J28" s="4"/>
      <c r="K28" s="4"/>
      <c r="L28" s="4"/>
      <c r="M28" s="93"/>
      <c r="P28" s="89"/>
      <c r="Q28" s="90" t="b">
        <f t="array" ref="Q28">XLOOKUP(R28,ItemsBlocks!$E$2:$E1285,ItemsBlocks!$C$2:$C1285)</f>
        <v>0</v>
      </c>
      <c r="R28" s="94" t="s">
        <v>69</v>
      </c>
      <c r="U28" s="95" t="s">
        <v>70</v>
      </c>
      <c r="V28" s="96"/>
      <c r="W28" s="97"/>
    </row>
    <row r="30">
      <c r="B30" s="98" t="s">
        <v>71</v>
      </c>
      <c r="C30" s="15"/>
      <c r="D30" s="15"/>
      <c r="E30" s="15"/>
      <c r="F30" s="15"/>
      <c r="G30" s="15"/>
      <c r="H30" s="15"/>
      <c r="I30" s="15"/>
      <c r="J30" s="15"/>
      <c r="K30" s="15"/>
      <c r="L30" s="15"/>
      <c r="M30" s="16"/>
      <c r="P30" s="98" t="s">
        <v>72</v>
      </c>
      <c r="Q30" s="15"/>
      <c r="R30" s="15"/>
      <c r="S30" s="15"/>
      <c r="T30" s="15"/>
      <c r="U30" s="15"/>
      <c r="V30" s="15"/>
      <c r="W30" s="15"/>
      <c r="X30" s="99"/>
    </row>
    <row r="32">
      <c r="B32" s="41"/>
      <c r="C32" s="42"/>
      <c r="D32" s="100" t="b">
        <f t="array" ref="D32">XLOOKUP("Axolotl of them",Advancements!$I$2:$I1285,Advancements!$G$2:$G1285)</f>
        <v>0</v>
      </c>
      <c r="E32" s="101" t="s">
        <v>73</v>
      </c>
      <c r="F32" s="42"/>
      <c r="G32" s="46"/>
      <c r="I32" s="41"/>
      <c r="J32" s="100" t="b">
        <f t="array" ref="J32">XLOOKUP("Heavy duty caravan",Advancements!$I$2:$I1285,Advancements!$G$2:$G1285)</f>
        <v>0</v>
      </c>
      <c r="K32" s="101" t="s">
        <v>74</v>
      </c>
      <c r="L32" s="42"/>
      <c r="M32" s="46"/>
      <c r="O32" s="102" t="s">
        <v>75</v>
      </c>
      <c r="P32" s="103" t="str">
        <f t="array" ref="P32">XLOOKUP(R32,Advancements!$I$2:$I1285,Advancements!$H$2:$H1285)</f>
        <v/>
      </c>
      <c r="Q32" s="104" t="b">
        <f t="array" ref="Q32">XLOOKUP(R32,Advancements!$I$2:$I1285,Advancements!$G$2:$G1285)</f>
        <v>0</v>
      </c>
      <c r="R32" s="105" t="s">
        <v>76</v>
      </c>
      <c r="S32" s="106"/>
      <c r="T32" s="51" t="s">
        <v>77</v>
      </c>
      <c r="U32" s="103" t="str">
        <f t="array" ref="U32">XLOOKUP(W32,Advancements!$I$2:$I1285,Advancements!$H$2:$H1285)</f>
        <v/>
      </c>
      <c r="V32" s="104" t="b">
        <f t="array" ref="V32">XLOOKUP(W32,Advancements!$I$2:$I1285,Advancements!$G$2:$G1285)</f>
        <v>0</v>
      </c>
      <c r="W32" s="107" t="s">
        <v>78</v>
      </c>
      <c r="X32" s="21"/>
    </row>
    <row r="33">
      <c r="B33" s="108"/>
      <c r="G33" s="54"/>
      <c r="I33" s="108"/>
      <c r="M33" s="54"/>
      <c r="P33" s="109"/>
      <c r="Q33" s="4"/>
      <c r="R33" s="110" t="str">
        <f t="array" ref="R33">CONCATENATE(floor(XLOOKUP(O32,Stats!$A$2:$A1285,Stats!$D$2:$D1285)/10000,1)/10,"km / ",floor(XLOOKUP(O32,Stats!$A$2:$A1285,Stats!$B$2:$B1285)/10000,1)/10,"km by Elytra")</f>
        <v>0km / 1000km by Elytra</v>
      </c>
      <c r="S33" s="106"/>
      <c r="U33" s="109"/>
      <c r="V33" s="4"/>
      <c r="W33" s="110" t="str">
        <f t="array" ref="W33">CONCATENATE(floor(XLOOKUP(T32,Stats!$A$2:$A1285,Stats!$D$2:$D1285)/10000,1)/10,"km / ",floor(XLOOKUP(T32,Stats!$A$2:$A1285,Stats!$B$2:$B1285)/10000,1)/10,"km walked") </f>
        <v>0km / 250km walked</v>
      </c>
      <c r="X33" s="21"/>
    </row>
    <row r="34">
      <c r="B34" s="111" t="s">
        <v>79</v>
      </c>
      <c r="F34" s="112"/>
      <c r="G34" s="113">
        <v>1200.0</v>
      </c>
      <c r="I34" s="111" t="s">
        <v>79</v>
      </c>
      <c r="L34" s="112"/>
      <c r="M34" s="113">
        <v>125.0</v>
      </c>
    </row>
    <row r="35">
      <c r="B35" s="114" t="s">
        <v>80</v>
      </c>
      <c r="G35" s="115">
        <f t="array" ref="G35">XLOOKUP("stats_axolotls_bred",Stats!$A$2:$A1285,Stats!$D$2:$D1285 )</f>
        <v>0</v>
      </c>
      <c r="I35" s="114" t="s">
        <v>81</v>
      </c>
      <c r="M35" s="115">
        <f t="array" ref="M35">XLOOKUP("stats_llamas_tamed",Stats!$A$2:$A1285,Stats!$D$2:$D1285 )</f>
        <v>0</v>
      </c>
      <c r="O35" s="51" t="s">
        <v>82</v>
      </c>
      <c r="P35" s="103" t="str">
        <f t="array" ref="P35">XLOOKUP(R35,Advancements!$I$2:$I1285,Advancements!$H$2:$H1285)</f>
        <v/>
      </c>
      <c r="Q35" s="104" t="b">
        <f t="array" ref="Q35">XLOOKUP(R35,Advancements!$I$2:$I1285,Advancements!$G$2:$G1285)</f>
        <v>0</v>
      </c>
      <c r="R35" s="105" t="s">
        <v>83</v>
      </c>
      <c r="S35" s="106"/>
      <c r="T35" s="51" t="s">
        <v>84</v>
      </c>
      <c r="U35" s="103" t="str">
        <f t="array" ref="U35">XLOOKUP(W35,Advancements!$I$2:$I1285,Advancements!$H$2:$H1285)</f>
        <v/>
      </c>
      <c r="V35" s="104" t="b">
        <f t="array" ref="V35">XLOOKUP(W35,Advancements!$I$2:$I1285,Advancements!$G$2:$G1285)</f>
        <v>0</v>
      </c>
      <c r="W35" s="107" t="s">
        <v>85</v>
      </c>
    </row>
    <row r="36">
      <c r="B36" s="109"/>
      <c r="C36" s="4"/>
      <c r="D36" s="4"/>
      <c r="E36" s="4"/>
      <c r="F36" s="4"/>
      <c r="G36" s="93"/>
      <c r="I36" s="109"/>
      <c r="J36" s="4"/>
      <c r="K36" s="4"/>
      <c r="L36" s="4"/>
      <c r="M36" s="93"/>
      <c r="P36" s="109"/>
      <c r="Q36" s="4"/>
      <c r="R36" s="110" t="str">
        <f t="array" ref="R36">CONCATENATE(floor(XLOOKUP(O35,Stats!$A$2:$A1285,Stats!$D$2:$D1285)/10000,1)/10,"km / ",floor(XLOOKUP(O35,Stats!$A$2:$A1285,Stats!$B$2:$B1285)/10000,1)/10,"km sprinted")</f>
        <v>0km / 250km sprinted</v>
      </c>
      <c r="S36" s="106"/>
      <c r="U36" s="109"/>
      <c r="V36" s="4"/>
      <c r="W36" s="110" t="str">
        <f t="array" ref="W36">CONCATENATE(XLOOKUP(T35,Stats!$A$2:$A1285,Stats!$D$2:$D1285)," / ", floor(XLOOKUP(T35,Stats!$A$2:$A1285,Stats!$B$2:$B1285)/100,1)/10,"k Jumps")</f>
        <v>0 / 100k Jumps</v>
      </c>
    </row>
    <row r="38">
      <c r="B38" s="41"/>
      <c r="C38" s="42"/>
      <c r="D38" s="116" t="b">
        <f>Challenges!W6</f>
        <v>0</v>
      </c>
      <c r="E38" s="101" t="s">
        <v>86</v>
      </c>
      <c r="F38" s="42"/>
      <c r="G38" s="46"/>
      <c r="I38" s="41"/>
      <c r="J38" s="100" t="b">
        <f t="array" ref="J38">XLOOKUP("qinling",Advancements!$I$2:$I1285,Advancements!$G$2:$G1285)</f>
        <v>0</v>
      </c>
      <c r="K38" s="101" t="s">
        <v>87</v>
      </c>
      <c r="L38" s="42"/>
      <c r="M38" s="46"/>
      <c r="O38" s="117" t="s">
        <v>88</v>
      </c>
      <c r="P38" s="103" t="str">
        <f t="array" ref="P38">XLOOKUP(R38,Advancements!$I$2:$I1285,Advancements!$H$2:$H1285)</f>
        <v/>
      </c>
      <c r="Q38" s="104" t="b">
        <f t="array" ref="Q38">XLOOKUP(R38,Advancements!$I$2:$I1285,Advancements!$G$2:$G1285)</f>
        <v>0</v>
      </c>
      <c r="R38" s="105" t="s">
        <v>89</v>
      </c>
      <c r="S38" s="106"/>
      <c r="T38" s="51" t="s">
        <v>90</v>
      </c>
      <c r="U38" s="103" t="str">
        <f t="array" ref="U38">XLOOKUP(W38,Advancements!$I$2:$I1285,Advancements!$H$2:$H1285)</f>
        <v/>
      </c>
      <c r="V38" s="104" t="b">
        <f t="array" ref="V38">XLOOKUP(W38,Advancements!$I$2:$I1285,Advancements!$G$2:$G1285)</f>
        <v>0</v>
      </c>
      <c r="W38" s="118" t="s">
        <v>91</v>
      </c>
    </row>
    <row r="39">
      <c r="B39" s="109"/>
      <c r="C39" s="4"/>
      <c r="D39" s="4"/>
      <c r="E39" s="4"/>
      <c r="F39" s="4"/>
      <c r="G39" s="93"/>
      <c r="I39" s="109"/>
      <c r="J39" s="4"/>
      <c r="K39" s="4"/>
      <c r="L39" s="4"/>
      <c r="M39" s="93"/>
      <c r="P39" s="109"/>
      <c r="Q39" s="4"/>
      <c r="R39" s="110" t="str">
        <f t="array" ref="R39">CONCATENATE(floor(XLOOKUP(O38,Stats!$A$2:$A1285,Stats!$D$2:$D1285)/10000,1)/10,"km / ",floor(XLOOKUP(O38,Stats!$A$2:$A1285,Stats!$B$2:$B1285)/10000,1)/10,"km sneaking")</f>
        <v>0km / 10km sneaking</v>
      </c>
      <c r="S39" s="106"/>
      <c r="U39" s="109"/>
      <c r="V39" s="4"/>
      <c r="W39" s="110" t="str">
        <f t="array" ref="W39">CONCATENATE(floor(XLOOKUP(T38,Stats!$A$2:$A1285,Stats!$D$2:$D1285)/10000,1)/10,"km / ",floor(XLOOKUP(T38,Stats!$A$2:$A1285,Stats!$B$2:$B1285)/10000,1)/10,"km")</f>
        <v>0km / 50km</v>
      </c>
    </row>
    <row r="40">
      <c r="D40" s="21"/>
    </row>
    <row r="41">
      <c r="B41" s="41"/>
      <c r="C41" s="42"/>
      <c r="D41" s="116" t="b">
        <f>Challenges!V6</f>
        <v>0</v>
      </c>
      <c r="E41" s="101" t="s">
        <v>92</v>
      </c>
      <c r="F41" s="42"/>
      <c r="G41" s="46"/>
      <c r="I41" s="41"/>
      <c r="J41" s="100" t="b">
        <f t="array" ref="J41">XLOOKUP("screaming milk",Advancements!$I$2:$I1285,Advancements!$G$2:$G1285)</f>
        <v>0</v>
      </c>
      <c r="K41" s="101" t="s">
        <v>93</v>
      </c>
      <c r="L41" s="42"/>
      <c r="M41" s="46"/>
      <c r="O41" s="51" t="s">
        <v>94</v>
      </c>
      <c r="P41" s="103" t="str">
        <f t="array" ref="P41">XLOOKUP(R41,Advancements!$I$2:$I1285,Advancements!$H$2:$H1285)</f>
        <v/>
      </c>
      <c r="Q41" s="104" t="b">
        <f t="array" ref="Q41">XLOOKUP(R41,Advancements!$I$2:$I1285,Advancements!$G$2:$G1285)</f>
        <v>0</v>
      </c>
      <c r="R41" s="105" t="s">
        <v>95</v>
      </c>
      <c r="S41" s="106"/>
      <c r="T41" s="51" t="s">
        <v>96</v>
      </c>
      <c r="U41" s="103" t="str">
        <f t="array" ref="U41">XLOOKUP(W41,Advancements!$I$2:$I1285,Advancements!$H$2:$H1285)</f>
        <v/>
      </c>
      <c r="V41" s="104" t="b">
        <f t="array" ref="V41">XLOOKUP(W41,Advancements!$I$2:$I1285,Advancements!$G$2:$G1285)</f>
        <v>0</v>
      </c>
      <c r="W41" s="118" t="s">
        <v>97</v>
      </c>
    </row>
    <row r="42">
      <c r="B42" s="109"/>
      <c r="C42" s="4"/>
      <c r="D42" s="4"/>
      <c r="E42" s="4"/>
      <c r="F42" s="4"/>
      <c r="G42" s="93"/>
      <c r="I42" s="109"/>
      <c r="J42" s="4"/>
      <c r="K42" s="4"/>
      <c r="L42" s="4"/>
      <c r="M42" s="93"/>
      <c r="P42" s="109"/>
      <c r="Q42" s="4"/>
      <c r="R42" s="110" t="str">
        <f t="array" ref="R42">CONCATENATE(floor(XLOOKUP(O41,Stats!$A$2:$A1285,Stats!$D$2:$D1285)/10000,1)/10,"km / ",floor(XLOOKUP(O41,Stats!$A$2:$A1285,Stats!$B$2:$B1285)/10000,1)/10,"km by Minecart")</f>
        <v>0km / 50km by Minecart</v>
      </c>
      <c r="S42" s="106"/>
      <c r="U42" s="109"/>
      <c r="V42" s="4"/>
      <c r="W42" s="110" t="str">
        <f t="array" ref="W42">CONCATENATE(floor(XLOOKUP(T41,Stats!$A$2:$A1285,Stats!$D$2:$D1285)/10000,1)/10,"km / ",floor(XLOOKUP(T41,Stats!$A$2:$A1285,Stats!$B$2:$B1285)/10000,1)/10,"km by Pig")</f>
        <v>0km / 10km by Pig</v>
      </c>
    </row>
    <row r="44">
      <c r="B44" s="119"/>
      <c r="C44" s="42"/>
      <c r="D44" s="100" t="b">
        <f t="array" ref="D44">XLOOKUP("deepslate emerald ore", ItemsBlocks!$E$2:$E1285, ItemsBlocks!$C$2:$C1285)</f>
        <v>0</v>
      </c>
      <c r="E44" s="101" t="s">
        <v>98</v>
      </c>
      <c r="F44" s="42"/>
      <c r="G44" s="42"/>
      <c r="H44" s="42"/>
      <c r="I44" s="42"/>
      <c r="J44" s="120" t="s">
        <v>99</v>
      </c>
      <c r="K44" s="42"/>
      <c r="L44" s="42"/>
      <c r="M44" s="46"/>
      <c r="O44" s="51" t="s">
        <v>100</v>
      </c>
      <c r="P44" s="103" t="str">
        <f t="array" ref="P44">XLOOKUP(R44,Advancements!$I$2:$I1285,Advancements!$H$2:$H1285)</f>
        <v/>
      </c>
      <c r="Q44" s="104" t="b">
        <f t="array" ref="Q44">XLOOKUP(R44,Advancements!$I$2:$I1285,Advancements!$G$2:$G1285)</f>
        <v>0</v>
      </c>
      <c r="R44" s="105" t="s">
        <v>101</v>
      </c>
      <c r="S44" s="106"/>
      <c r="T44" s="51" t="s">
        <v>102</v>
      </c>
      <c r="U44" s="103" t="str">
        <f t="array" ref="U44">XLOOKUP(W44,Advancements!$I$2:$I1285,Advancements!$H$2:$H1285)</f>
        <v/>
      </c>
      <c r="V44" s="104" t="b">
        <f t="array" ref="V44">XLOOKUP(W44,Advancements!$I$2:$I1285,Advancements!$G$2:$G1285)</f>
        <v>0</v>
      </c>
      <c r="W44" s="118" t="s">
        <v>103</v>
      </c>
    </row>
    <row r="45">
      <c r="B45" s="109"/>
      <c r="C45" s="4"/>
      <c r="D45" s="4"/>
      <c r="E45" s="4"/>
      <c r="F45" s="4"/>
      <c r="G45" s="4"/>
      <c r="H45" s="4"/>
      <c r="I45" s="4"/>
      <c r="J45" s="4"/>
      <c r="K45" s="4"/>
      <c r="L45" s="4"/>
      <c r="M45" s="93"/>
      <c r="P45" s="109"/>
      <c r="Q45" s="4"/>
      <c r="R45" s="110" t="str">
        <f t="array" ref="R45">CONCATENATE(floor(XLOOKUP(O44,Stats!$A$2:$A1285,Stats!$D$2:$D1285)/10000,1)/10,"km / ",floor(XLOOKUP(O44,Stats!$A$2:$A1285,Stats!$B$2:$B1285)/10000,1)/10,"km by Horse")</f>
        <v>0km / 50km by Horse</v>
      </c>
      <c r="S45" s="106"/>
      <c r="U45" s="109"/>
      <c r="V45" s="4"/>
      <c r="W45" s="110" t="str">
        <f t="array" ref="W45">CONCATENATE(floor(XLOOKUP(T44,Stats!$A$2:$A1285,Stats!$D$2:$D1285)/10000,1)/10,"km / ",floor(XLOOKUP(T44,Stats!$A$2:$A1285,Stats!$B$2:$B1285)/10000,1)/10,"km by Boat")</f>
        <v>0km / 50km by Boat</v>
      </c>
    </row>
    <row r="46">
      <c r="P46" s="121"/>
      <c r="Q46" s="121"/>
      <c r="R46" s="122"/>
      <c r="S46" s="122"/>
      <c r="T46" s="122"/>
      <c r="U46" s="122"/>
      <c r="V46" s="122"/>
      <c r="W46" s="122"/>
      <c r="X46" s="121"/>
    </row>
    <row r="47">
      <c r="B47" s="119"/>
      <c r="C47" s="42"/>
      <c r="D47" s="123" t="b">
        <f>Challenges!J21</f>
        <v>0</v>
      </c>
      <c r="E47" s="101" t="s">
        <v>104</v>
      </c>
      <c r="F47" s="42"/>
      <c r="G47" s="42"/>
      <c r="H47" s="42"/>
      <c r="I47" s="42"/>
      <c r="J47" s="120" t="s">
        <v>105</v>
      </c>
      <c r="K47" s="42"/>
      <c r="L47" s="42"/>
      <c r="M47" s="46"/>
      <c r="O47" s="51" t="s">
        <v>106</v>
      </c>
      <c r="P47" s="103" t="str">
        <f t="array" ref="P47">XLOOKUP(R47,Advancements!$I$2:$I1285,Advancements!$H$2:$H1285)</f>
        <v/>
      </c>
      <c r="Q47" s="104" t="b">
        <f t="array" ref="Q47">XLOOKUP(R47,Advancements!$I$2:$I1285,Advancements!$G$2:$G1285)</f>
        <v>0</v>
      </c>
      <c r="R47" s="105" t="s">
        <v>107</v>
      </c>
      <c r="S47" s="106"/>
      <c r="T47" s="51" t="s">
        <v>108</v>
      </c>
      <c r="U47" s="103" t="str">
        <f t="array" ref="U47">XLOOKUP(W47,Advancements!$I$2:$I1285,Advancements!$H$2:$H1285)</f>
        <v/>
      </c>
      <c r="V47" s="104" t="b">
        <f t="array" ref="V47">XLOOKUP(W47,Advancements!$I$2:$I1285,Advancements!$G$2:$G1285)</f>
        <v>0</v>
      </c>
      <c r="W47" s="118" t="s">
        <v>109</v>
      </c>
      <c r="X47" s="121"/>
    </row>
    <row r="48">
      <c r="B48" s="109"/>
      <c r="C48" s="4"/>
      <c r="D48" s="4"/>
      <c r="E48" s="4"/>
      <c r="F48" s="4"/>
      <c r="G48" s="4"/>
      <c r="H48" s="4"/>
      <c r="I48" s="4"/>
      <c r="J48" s="4"/>
      <c r="K48" s="4"/>
      <c r="L48" s="4"/>
      <c r="M48" s="93"/>
      <c r="P48" s="109"/>
      <c r="Q48" s="4"/>
      <c r="R48" s="110" t="str">
        <f t="array" ref="R48">CONCATENATE(floor(XLOOKUP(O47,Stats!$A$2:$A1285,Stats!$D$2:$D1285)/10000,1)/10,"km / ",floor(XLOOKUP(O47,Stats!$A$2:$A1285,Stats!$B$2:$B1285)/10000,1)/10,"km by Strider")</f>
        <v>0km / 10km by Strider</v>
      </c>
      <c r="S48" s="106"/>
      <c r="T48" s="122"/>
      <c r="U48" s="109"/>
      <c r="V48" s="4"/>
      <c r="W48" s="110" t="str">
        <f t="array" ref="W48">CONCATENATE(XLOOKUP(T47,Stats!$A$2:$A1285,Stats!$D$2:$D1285)," / ", floor(XLOOKUP(T47,Stats!$A$2:$A1285,Stats!$B$2:$B1285)/100,1)/10,"k Mob Kills")</f>
        <v>0 / 25k Mob Kills</v>
      </c>
      <c r="X48" s="121"/>
    </row>
    <row r="49">
      <c r="P49" s="121"/>
      <c r="Q49" s="121"/>
      <c r="R49" s="122"/>
      <c r="S49" s="122"/>
      <c r="T49" s="122"/>
      <c r="U49" s="122"/>
      <c r="V49" s="122"/>
      <c r="W49" s="122"/>
      <c r="X49" s="121"/>
    </row>
    <row r="50">
      <c r="B50" s="124" t="s">
        <v>110</v>
      </c>
      <c r="C50" s="42"/>
      <c r="D50" s="42"/>
      <c r="E50" s="42"/>
      <c r="F50" s="42"/>
      <c r="G50" s="46"/>
      <c r="I50" s="124" t="s">
        <v>111</v>
      </c>
      <c r="J50" s="42"/>
      <c r="K50" s="42"/>
      <c r="L50" s="42"/>
      <c r="M50" s="46"/>
      <c r="O50" s="51" t="s">
        <v>112</v>
      </c>
      <c r="P50" s="103" t="str">
        <f t="array" ref="P50">XLOOKUP(R50,Advancements!$I$2:$I1285,Advancements!$H$2:$H1285)</f>
        <v/>
      </c>
      <c r="Q50" s="104" t="b">
        <f t="array" ref="Q50">XLOOKUP(R50,Advancements!$I$2:$I1285,Advancements!$G$2:$G1285)</f>
        <v>0</v>
      </c>
      <c r="R50" s="105" t="s">
        <v>113</v>
      </c>
      <c r="S50" s="106"/>
      <c r="T50" s="51" t="s">
        <v>114</v>
      </c>
      <c r="U50" s="103" t="str">
        <f t="array" ref="U50">XLOOKUP(W50,Advancements!$I$2:$I1285,Advancements!$H$2:$H1285)</f>
        <v/>
      </c>
      <c r="V50" s="104" t="b">
        <f t="array" ref="V50">XLOOKUP(W50,Advancements!$I$2:$I1285,Advancements!$G$2:$G1285)</f>
        <v>0</v>
      </c>
      <c r="W50" s="118" t="s">
        <v>115</v>
      </c>
      <c r="X50" s="121"/>
    </row>
    <row r="51">
      <c r="B51" s="125"/>
      <c r="C51" s="126"/>
      <c r="D51" s="126"/>
      <c r="E51" s="126"/>
      <c r="F51" s="126"/>
      <c r="G51" s="127"/>
      <c r="I51" s="125"/>
      <c r="J51" s="126"/>
      <c r="K51" s="126"/>
      <c r="L51" s="126"/>
      <c r="M51" s="127"/>
      <c r="P51" s="109"/>
      <c r="Q51" s="4"/>
      <c r="R51" s="110" t="str">
        <f t="array" ref="R51">CONCATENATE(XLOOKUP(O50,Stats!$A$2:$A1285,Stats!$D$2:$D1285)," / ", XLOOKUP(O50,Stats!$A$2:$A1285,Stats!$B$2:$B1285)," Animals Bred")</f>
        <v>0 / 2500 Animals Bred</v>
      </c>
      <c r="S51" s="106"/>
      <c r="U51" s="109"/>
      <c r="V51" s="4"/>
      <c r="W51" s="110" t="str">
        <f t="array" ref="W51">CONCATENATE(XLOOKUP(T50,Stats!$A$2:$A1285,Stats!$D$2:$D1285)," / ", XLOOKUP(T50,Stats!$A$2:$A1285,Stats!$B$2:$B1285)," Items Enchanted")</f>
        <v>0 / 250 Items Enchanted</v>
      </c>
      <c r="X51" s="121"/>
    </row>
    <row r="52">
      <c r="B52" s="128"/>
      <c r="C52" s="129"/>
      <c r="D52" s="130">
        <f>STAT_LOOKUP("used.firework_rocket")</f>
        <v>0</v>
      </c>
      <c r="E52" s="129"/>
      <c r="F52" s="131"/>
      <c r="G52" s="132">
        <f t="array" ref="G52">XLOOKUP("used.totem_of_undying",Stats!$A$3:$A1285,Stats!$D$3:$D1285 )</f>
        <v>0</v>
      </c>
      <c r="I52" s="133" t="s">
        <v>116</v>
      </c>
      <c r="J52" s="134"/>
      <c r="K52" s="129"/>
      <c r="L52" s="135" t="s">
        <v>117</v>
      </c>
      <c r="M52" s="136"/>
      <c r="P52" s="121"/>
      <c r="Q52" s="121"/>
      <c r="R52" s="122"/>
      <c r="S52" s="122"/>
      <c r="T52" s="122"/>
      <c r="U52" s="122"/>
      <c r="V52" s="122"/>
      <c r="W52" s="122"/>
      <c r="X52" s="121"/>
    </row>
    <row r="53">
      <c r="B53" s="125"/>
      <c r="C53" s="137"/>
      <c r="D53" s="138"/>
      <c r="E53" s="137"/>
      <c r="F53" s="139"/>
      <c r="G53" s="140"/>
      <c r="I53" s="125"/>
      <c r="J53" s="126"/>
      <c r="K53" s="137"/>
      <c r="L53" s="138"/>
      <c r="M53" s="127"/>
      <c r="O53" s="51" t="s">
        <v>118</v>
      </c>
      <c r="P53" s="103" t="str">
        <f t="array" ref="P53">XLOOKUP(R53,Advancements!$I$2:$I1285,Advancements!$H$2:$H1285)</f>
        <v/>
      </c>
      <c r="Q53" s="104" t="b">
        <f t="array" ref="Q53">XLOOKUP(R53,Advancements!$I$2:$I1285,Advancements!$G$2:$G1285)</f>
        <v>0</v>
      </c>
      <c r="R53" s="105" t="s">
        <v>119</v>
      </c>
      <c r="S53" s="106"/>
      <c r="T53" s="51" t="s">
        <v>120</v>
      </c>
      <c r="U53" s="103" t="str">
        <f t="array" ref="U53">XLOOKUP(W53,Advancements!$I$2:$I1285,Advancements!$H$2:$H1285)</f>
        <v/>
      </c>
      <c r="V53" s="104" t="b">
        <f t="array" ref="V53">XLOOKUP(W53,Advancements!$I$2:$I1285,Advancements!$G$2:$G1285)</f>
        <v>0</v>
      </c>
      <c r="W53" s="118" t="s">
        <v>121</v>
      </c>
      <c r="X53" s="121"/>
    </row>
    <row r="54">
      <c r="B54" s="141"/>
      <c r="C54" s="129"/>
      <c r="D54" s="130">
        <f t="array" ref="D54">XLOOKUP("used.spider_eye",Stats!$A$3:$A1285,Stats!$D$3:$D1285 )</f>
        <v>0</v>
      </c>
      <c r="E54" s="129"/>
      <c r="F54" s="131"/>
      <c r="G54" s="132">
        <f t="array" ref="G54">XLOOKUP("used.ominous_trial_key",Stats!$A$3:$A1285,Stats!$D$3:$D1285 )</f>
        <v>0</v>
      </c>
      <c r="I54" s="142"/>
      <c r="J54" s="130">
        <f>STAT_LOOKUP("stats_buried_treasures")</f>
        <v>0</v>
      </c>
      <c r="K54" s="129"/>
      <c r="L54" s="143"/>
      <c r="M54" s="132">
        <f>STAT_LOOKUP("stats_ancient_city_chests")</f>
        <v>0</v>
      </c>
      <c r="P54" s="109"/>
      <c r="Q54" s="4"/>
      <c r="R54" s="110" t="str">
        <f t="array" ref="R54">CONCATENATE(XLOOKUP(O53,Stats!$A$2:$A1285,Stats!$D$2:$D1285)," / ", XLOOKUP(O53,Stats!$A$2:$A1285,Stats!$B$2:$B1285)," Villager Trades")</f>
        <v>0 / 2500 Villager Trades</v>
      </c>
      <c r="S54" s="106"/>
      <c r="U54" s="109"/>
      <c r="V54" s="4"/>
      <c r="W54" s="110" t="str">
        <f t="array" ref="W54">CONCATENATE(XLOOKUP(T53,Stats!$A$2:$A1285,Stats!$D$2:$D1285)," / ", floor(XLOOKUP(T53,Stats!$A$2:$A1285,Stats!$B$2:$B1285)/100,1)/10,"k Food Eaten")</f>
        <v>0 / 5k Food Eaten</v>
      </c>
    </row>
    <row r="55">
      <c r="B55" s="109"/>
      <c r="C55" s="144"/>
      <c r="D55" s="145"/>
      <c r="E55" s="144"/>
      <c r="F55" s="146"/>
      <c r="G55" s="147"/>
      <c r="I55" s="148"/>
      <c r="J55" s="145"/>
      <c r="K55" s="144"/>
      <c r="L55" s="146"/>
      <c r="M55" s="147"/>
      <c r="P55" s="149"/>
    </row>
    <row r="56">
      <c r="O56" s="51" t="s">
        <v>122</v>
      </c>
      <c r="P56" s="103" t="str">
        <f t="array" ref="P56">XLOOKUP(R56,Advancements!$I$2:$I1285,Advancements!$H$2:$H1285)</f>
        <v/>
      </c>
      <c r="Q56" s="104" t="b">
        <f t="array" ref="Q56">XLOOKUP(R56,Advancements!$I$2:$I1285,Advancements!$G$2:$G1285)</f>
        <v>0</v>
      </c>
      <c r="R56" s="105" t="s">
        <v>123</v>
      </c>
      <c r="S56" s="106"/>
      <c r="T56" s="51" t="s">
        <v>124</v>
      </c>
      <c r="U56" s="103" t="str">
        <f t="array" ref="U56">XLOOKUP(W56,Advancements!$I$2:$I1285,Advancements!$H$2:$H1285)</f>
        <v/>
      </c>
      <c r="V56" s="104" t="b">
        <f t="array" ref="V56">XLOOKUP(W56,Advancements!$I$2:$I1285,Advancements!$G$2:$G1285)</f>
        <v>0</v>
      </c>
      <c r="W56" s="118" t="s">
        <v>125</v>
      </c>
    </row>
    <row r="57">
      <c r="B57" s="124" t="s">
        <v>126</v>
      </c>
      <c r="C57" s="42"/>
      <c r="D57" s="42"/>
      <c r="E57" s="42"/>
      <c r="F57" s="42"/>
      <c r="G57" s="46"/>
      <c r="I57" s="124" t="s">
        <v>127</v>
      </c>
      <c r="J57" s="42"/>
      <c r="K57" s="42"/>
      <c r="L57" s="42"/>
      <c r="M57" s="46"/>
      <c r="P57" s="109"/>
      <c r="Q57" s="4"/>
      <c r="R57" s="110" t="str">
        <f t="array" ref="R57">CONCATENATE(XLOOKUP(O56,Stats!$A$2:$A1285,Stats!$D$2:$D1285)," / ", XLOOKUP(O56,Stats!$A$2:$A1285,Stats!$B$2:$B1285)," Loot Chests Opened")</f>
        <v>0 / 500 Loot Chests Opened</v>
      </c>
      <c r="S57" s="106"/>
      <c r="U57" s="109"/>
      <c r="V57" s="4"/>
      <c r="W57" s="110" t="str">
        <f t="array" ref="W57">CONCATENATE(XLOOKUP(T56,Stats!$A$2:$A1285,Stats!$D$2:$D1285)," / ", XLOOKUP(T56,Stats!$A$2:$A1285,Stats!$B$2:$B1285)," Minecraft Days")</f>
        <v>0 / 365 Minecraft Days</v>
      </c>
      <c r="X57" s="121"/>
    </row>
    <row r="58">
      <c r="B58" s="125"/>
      <c r="C58" s="126"/>
      <c r="D58" s="126"/>
      <c r="E58" s="126"/>
      <c r="F58" s="126"/>
      <c r="G58" s="127"/>
      <c r="I58" s="125"/>
      <c r="J58" s="126"/>
      <c r="K58" s="126"/>
      <c r="L58" s="126"/>
      <c r="M58" s="127"/>
      <c r="P58" s="121"/>
      <c r="Q58" s="121"/>
      <c r="R58" s="121"/>
      <c r="S58" s="121"/>
      <c r="T58" s="121"/>
      <c r="U58" s="121"/>
      <c r="V58" s="121"/>
      <c r="W58" s="121"/>
      <c r="X58" s="121"/>
    </row>
    <row r="59">
      <c r="B59" s="150"/>
      <c r="C59" s="129"/>
      <c r="D59" s="130">
        <f>STAT_LOOKUP("mined.diamond_ore")</f>
        <v>0</v>
      </c>
      <c r="E59" s="129"/>
      <c r="F59" s="143"/>
      <c r="G59" s="132">
        <f>STAT_LOOKUP("mined.deepslate_coal_ore")</f>
        <v>0</v>
      </c>
      <c r="I59" s="151"/>
      <c r="J59" s="152"/>
      <c r="K59" s="153">
        <f>STAT_LOOKUP("mined.small_amethyst_bud")</f>
        <v>0</v>
      </c>
      <c r="L59" s="154"/>
      <c r="M59" s="155">
        <f>STAT_LOOKUP("mined.medium_amethyst_bud")</f>
        <v>0</v>
      </c>
      <c r="P59" s="121"/>
      <c r="Q59" s="121"/>
      <c r="R59" s="121"/>
      <c r="S59" s="121"/>
      <c r="T59" s="121"/>
      <c r="U59" s="121"/>
      <c r="V59" s="121"/>
      <c r="W59" s="121"/>
      <c r="X59" s="121"/>
    </row>
    <row r="60">
      <c r="B60" s="156"/>
      <c r="C60" s="157"/>
      <c r="D60" s="158">
        <f>STAT_LOOKUP("mined.emerald_ore")</f>
        <v>0</v>
      </c>
      <c r="E60" s="157"/>
      <c r="F60" s="159"/>
      <c r="G60" s="160">
        <f>STAT_LOOKUP("mined.bee_nest")</f>
        <v>0</v>
      </c>
      <c r="I60" s="156"/>
      <c r="J60" s="157"/>
      <c r="K60" s="158">
        <f>STAT_LOOKUP("mined.large_amethyst_bud")</f>
        <v>0</v>
      </c>
      <c r="L60" s="159"/>
      <c r="M60" s="160">
        <f>STAT_LOOKUP("mined.amethyst_cluster")</f>
        <v>0</v>
      </c>
      <c r="P60" s="121"/>
      <c r="Q60" s="121"/>
      <c r="R60" s="121"/>
      <c r="S60" s="121"/>
      <c r="T60" s="121"/>
      <c r="U60" s="121"/>
      <c r="V60" s="121"/>
      <c r="W60" s="121"/>
      <c r="X60" s="121"/>
    </row>
    <row r="61">
      <c r="B61" s="161"/>
      <c r="C61" s="161"/>
      <c r="D61" s="161"/>
      <c r="E61" s="161"/>
      <c r="F61" s="161"/>
      <c r="G61" s="161"/>
      <c r="P61" s="121"/>
      <c r="Q61" s="121"/>
      <c r="R61" s="121"/>
      <c r="S61" s="121"/>
      <c r="T61" s="121"/>
      <c r="U61" s="121"/>
      <c r="V61" s="121"/>
      <c r="W61" s="121"/>
      <c r="X61" s="121"/>
    </row>
    <row r="62">
      <c r="B62" s="162"/>
      <c r="C62" s="15"/>
      <c r="D62" s="163" t="s">
        <v>128</v>
      </c>
      <c r="E62" s="164"/>
      <c r="F62" s="165">
        <f t="array" ref="F62">XLOOKUP("custom.deaths",Stats!$A$2:$A1285,Stats!$D$2:$D1285 )</f>
        <v>0</v>
      </c>
      <c r="G62" s="16"/>
      <c r="I62" s="166" t="s">
        <v>129</v>
      </c>
      <c r="J62" s="15"/>
      <c r="K62" s="15"/>
      <c r="L62" s="15"/>
      <c r="M62" s="16"/>
      <c r="P62" s="121"/>
      <c r="Q62" s="121"/>
      <c r="R62" s="121"/>
      <c r="S62" s="121"/>
      <c r="T62" s="121"/>
      <c r="U62" s="121"/>
      <c r="V62" s="121"/>
      <c r="W62" s="121"/>
      <c r="X62" s="121"/>
    </row>
    <row r="63">
      <c r="F63" s="167"/>
      <c r="Q63" s="168"/>
      <c r="R63" s="168"/>
      <c r="S63" s="168"/>
      <c r="T63" s="168"/>
      <c r="U63" s="168"/>
      <c r="V63" s="168"/>
      <c r="W63" s="168"/>
    </row>
    <row r="64">
      <c r="B64" s="98" t="s">
        <v>130</v>
      </c>
      <c r="C64" s="15"/>
      <c r="D64" s="15"/>
      <c r="E64" s="15"/>
      <c r="F64" s="15"/>
      <c r="G64" s="15"/>
      <c r="H64" s="15"/>
      <c r="I64" s="15"/>
      <c r="J64" s="15"/>
      <c r="K64" s="15"/>
      <c r="L64" s="15"/>
      <c r="M64" s="15"/>
      <c r="N64" s="15"/>
      <c r="O64" s="15"/>
      <c r="P64" s="15"/>
      <c r="Q64" s="15"/>
      <c r="R64" s="16"/>
      <c r="S64" s="121"/>
      <c r="T64" s="121"/>
      <c r="U64" s="14" t="s">
        <v>131</v>
      </c>
      <c r="V64" s="15"/>
      <c r="W64" s="16"/>
      <c r="X64" s="121"/>
    </row>
    <row r="65">
      <c r="B65" s="169" t="str">
        <f>IFERROR(__xludf.DUMMYFUNCTION("FILTER({Advancements!$H:$H}, Advancements!$B:$B=""Unique"", Advancements!$G:$G=False)"),"")</f>
        <v/>
      </c>
      <c r="D65" s="170" t="str">
        <f>IFERROR(__xludf.DUMMYFUNCTION("FILTER({Advancements!$I:$I}, Advancements!$B:$B=""Unique"", Advancements!$G:$G=False)"),"Blind as a Bat")</f>
        <v>Blind as a Bat</v>
      </c>
      <c r="H65" s="171" t="str">
        <f>IFERROR(__xludf.DUMMYFUNCTION("FILTER({Advancements!$J:$J}, Advancements!$B:$B=""Unique"", Advancements!$G:$G=False)"),"Kill a Bat while under the blindness or darkness effect")</f>
        <v>Kill a Bat while under the blindness or darkness effect</v>
      </c>
      <c r="R65" s="54"/>
      <c r="S65" s="121"/>
      <c r="T65" s="121"/>
      <c r="U65" s="172" t="str">
        <f>IFERROR(__xludf.DUMMYFUNCTION("FILTER({ItemsBlocks!D:E}, ItemsBlocks!C:C=False)"),"")</f>
        <v/>
      </c>
      <c r="V65" s="173" t="str">
        <f>IFERROR(__xludf.DUMMYFUNCTION("""COMPUTED_VALUE"""),"Acacia Boat")</f>
        <v>Acacia Boat</v>
      </c>
      <c r="W65" s="174"/>
      <c r="X65" s="121"/>
    </row>
    <row r="66">
      <c r="B66" s="169" t="str">
        <f>IFERROR(__xludf.DUMMYFUNCTION("""COMPUTED_VALUE"""),"")</f>
        <v/>
      </c>
      <c r="D66" s="170" t="str">
        <f>IFERROR(__xludf.DUMMYFUNCTION("""COMPUTED_VALUE"""),"Pixel Perfect")</f>
        <v>Pixel Perfect</v>
      </c>
      <c r="H66" s="171" t="str">
        <f>IFERROR(__xludf.DUMMYFUNCTION("""COMPUTED_VALUE"""),"Use a Spyglass to stare at a bat from at least 50 blocks away")</f>
        <v>Use a Spyglass to stare at a bat from at least 50 blocks away</v>
      </c>
      <c r="R66" s="54"/>
      <c r="S66" s="121"/>
      <c r="T66" s="121"/>
      <c r="U66" s="172" t="str">
        <f>IFERROR(__xludf.DUMMYFUNCTION("""COMPUTED_VALUE"""),"")</f>
        <v/>
      </c>
      <c r="V66" s="173" t="str">
        <f>IFERROR(__xludf.DUMMYFUNCTION("""COMPUTED_VALUE"""),"Acacia Button")</f>
        <v>Acacia Button</v>
      </c>
      <c r="W66" s="174"/>
      <c r="X66" s="121"/>
    </row>
    <row r="67">
      <c r="B67" s="169" t="str">
        <f>IFERROR(__xludf.DUMMYFUNCTION("""COMPUTED_VALUE"""),"")</f>
        <v/>
      </c>
      <c r="D67" s="170" t="str">
        <f>IFERROR(__xludf.DUMMYFUNCTION("""COMPUTED_VALUE"""),"Dripstone Drop")</f>
        <v>Dripstone Drop</v>
      </c>
      <c r="H67" s="171" t="str">
        <f>IFERROR(__xludf.DUMMYFUNCTION("""COMPUTED_VALUE"""),"Survive a fall of at least 10 blocks onto some Pointed Dripstone (The pointed dripstone cannot be waterlogged)")</f>
        <v>Survive a fall of at least 10 blocks onto some Pointed Dripstone (The pointed dripstone cannot be waterlogged)</v>
      </c>
      <c r="R67" s="54"/>
      <c r="S67" s="121"/>
      <c r="T67" s="121"/>
      <c r="U67" s="172" t="str">
        <f>IFERROR(__xludf.DUMMYFUNCTION("""COMPUTED_VALUE"""),"")</f>
        <v/>
      </c>
      <c r="V67" s="173" t="str">
        <f>IFERROR(__xludf.DUMMYFUNCTION("""COMPUTED_VALUE"""),"Acacia Chest Boat")</f>
        <v>Acacia Chest Boat</v>
      </c>
      <c r="W67" s="174"/>
      <c r="X67" s="121"/>
    </row>
    <row r="68">
      <c r="B68" s="169" t="str">
        <f>IFERROR(__xludf.DUMMYFUNCTION("""COMPUTED_VALUE"""),"")</f>
        <v/>
      </c>
      <c r="D68" s="170" t="str">
        <f>IFERROR(__xludf.DUMMYFUNCTION("""COMPUTED_VALUE"""),"Lucky Break")</f>
        <v>Lucky Break</v>
      </c>
      <c r="H68" s="171" t="str">
        <f>IFERROR(__xludf.DUMMYFUNCTION("""COMPUTED_VALUE"""),"Survive a long fall with just a sliver of health remaining (Fall at least 15 blocks and have 1 or 2 health remaining upon landing)")</f>
        <v>Survive a long fall with just a sliver of health remaining (Fall at least 15 blocks and have 1 or 2 health remaining upon landing)</v>
      </c>
      <c r="R68" s="54"/>
      <c r="S68" s="121"/>
      <c r="T68" s="121"/>
      <c r="U68" s="172" t="str">
        <f>IFERROR(__xludf.DUMMYFUNCTION("""COMPUTED_VALUE"""),"")</f>
        <v/>
      </c>
      <c r="V68" s="173" t="str">
        <f>IFERROR(__xludf.DUMMYFUNCTION("""COMPUTED_VALUE"""),"Acacia Door")</f>
        <v>Acacia Door</v>
      </c>
      <c r="W68" s="174"/>
      <c r="X68" s="121"/>
    </row>
    <row r="69">
      <c r="B69" s="169" t="str">
        <f>IFERROR(__xludf.DUMMYFUNCTION("""COMPUTED_VALUE"""),"")</f>
        <v/>
      </c>
      <c r="D69" s="170" t="str">
        <f>IFERROR(__xludf.DUMMYFUNCTION("""COMPUTED_VALUE"""),"Caves &amp; Cliffs")</f>
        <v>Caves &amp; Cliffs</v>
      </c>
      <c r="H69" s="171" t="str">
        <f>IFERROR(__xludf.DUMMYFUNCTION("""COMPUTED_VALUE"""),"Free fall from the top of the world (build limit) to the bottom of the world and survive‌ (Drop from a point above y-level 319 and land below y-level -59)")</f>
        <v>Free fall from the top of the world (build limit) to the bottom of the world and survive‌ (Drop from a point above y-level 319 and land below y-level -59)</v>
      </c>
      <c r="R69" s="54"/>
      <c r="S69" s="121"/>
      <c r="T69" s="121"/>
      <c r="U69" s="172" t="str">
        <f>IFERROR(__xludf.DUMMYFUNCTION("""COMPUTED_VALUE"""),"")</f>
        <v/>
      </c>
      <c r="V69" s="173" t="str">
        <f>IFERROR(__xludf.DUMMYFUNCTION("""COMPUTED_VALUE"""),"Acacia Fence")</f>
        <v>Acacia Fence</v>
      </c>
      <c r="W69" s="174"/>
      <c r="X69" s="121"/>
    </row>
    <row r="70">
      <c r="B70" s="169" t="str">
        <f>IFERROR(__xludf.DUMMYFUNCTION("""COMPUTED_VALUE"""),"")</f>
        <v/>
      </c>
      <c r="D70" s="170" t="str">
        <f>IFERROR(__xludf.DUMMYFUNCTION("""COMPUTED_VALUE"""),"Chestful of Cobblestone")</f>
        <v>Chestful of Cobblestone</v>
      </c>
      <c r="H70" s="171" t="str">
        <f>IFERROR(__xludf.DUMMYFUNCTION("""COMPUTED_VALUE"""),"Mine 1728 cobblestone, place it in a chest, then stand on it in victory (27 stacks of 64 cobblestone in a single chest. You must stand on top of the chest)")</f>
        <v>Mine 1728 cobblestone, place it in a chest, then stand on it in victory (27 stacks of 64 cobblestone in a single chest. You must stand on top of the chest)</v>
      </c>
      <c r="R70" s="54"/>
      <c r="S70" s="121"/>
      <c r="T70" s="121"/>
      <c r="U70" s="172" t="str">
        <f>IFERROR(__xludf.DUMMYFUNCTION("""COMPUTED_VALUE"""),"")</f>
        <v/>
      </c>
      <c r="V70" s="173" t="str">
        <f>IFERROR(__xludf.DUMMYFUNCTION("""COMPUTED_VALUE"""),"Acacia Fence Gate")</f>
        <v>Acacia Fence Gate</v>
      </c>
      <c r="W70" s="174"/>
      <c r="X70" s="121"/>
    </row>
    <row r="71">
      <c r="B71" s="169" t="str">
        <f>IFERROR(__xludf.DUMMYFUNCTION("""COMPUTED_VALUE"""),"")</f>
        <v/>
      </c>
      <c r="D71" s="170" t="str">
        <f>IFERROR(__xludf.DUMMYFUNCTION("""COMPUTED_VALUE"""),"Bulldozer")</f>
        <v>Bulldozer</v>
      </c>
      <c r="H71" s="171" t="str">
        <f>IFERROR(__xludf.DUMMYFUNCTION("""COMPUTED_VALUE"""),"Destroy a total of 10,000 blocks of stone (Mine a total of 10,000 blocks of stone)")</f>
        <v>Destroy a total of 10,000 blocks of stone (Mine a total of 10,000 blocks of stone)</v>
      </c>
      <c r="R71" s="54"/>
      <c r="S71" s="121"/>
      <c r="T71" s="121"/>
      <c r="U71" s="172" t="str">
        <f>IFERROR(__xludf.DUMMYFUNCTION("""COMPUTED_VALUE"""),"")</f>
        <v/>
      </c>
      <c r="V71" s="173" t="str">
        <f>IFERROR(__xludf.DUMMYFUNCTION("""COMPUTED_VALUE"""),"Acacia Hanging Sign")</f>
        <v>Acacia Hanging Sign</v>
      </c>
      <c r="W71" s="174"/>
      <c r="X71" s="121"/>
    </row>
    <row r="72">
      <c r="B72" s="169" t="str">
        <f>IFERROR(__xludf.DUMMYFUNCTION("""COMPUTED_VALUE"""),"")</f>
        <v/>
      </c>
      <c r="D72" s="170" t="str">
        <f>IFERROR(__xludf.DUMMYFUNCTION("""COMPUTED_VALUE"""),"Surge Protector")</f>
        <v>Surge Protector</v>
      </c>
      <c r="H72" s="171" t="str">
        <f>IFERROR(__xludf.DUMMYFUNCTION("""COMPUTED_VALUE"""),"Protect a villager from an undesired shock without starting a fire (Have lightning strike a lightning rod with a villager standing at a safe distance away)")</f>
        <v>Protect a villager from an undesired shock without starting a fire (Have lightning strike a lightning rod with a villager standing at a safe distance away)</v>
      </c>
      <c r="R72" s="54"/>
      <c r="S72" s="121"/>
      <c r="T72" s="121"/>
      <c r="U72" s="172" t="str">
        <f>IFERROR(__xludf.DUMMYFUNCTION("""COMPUTED_VALUE"""),"")</f>
        <v/>
      </c>
      <c r="V72" s="173" t="str">
        <f>IFERROR(__xludf.DUMMYFUNCTION("""COMPUTED_VALUE"""),"Acacia Leaves")</f>
        <v>Acacia Leaves</v>
      </c>
      <c r="W72" s="174"/>
      <c r="X72" s="121"/>
    </row>
    <row r="73">
      <c r="B73" s="169" t="str">
        <f>IFERROR(__xludf.DUMMYFUNCTION("""COMPUTED_VALUE"""),"")</f>
        <v/>
      </c>
      <c r="D73" s="170" t="str">
        <f>IFERROR(__xludf.DUMMYFUNCTION("""COMPUTED_VALUE"""),"Called Shot")</f>
        <v>Called Shot</v>
      </c>
      <c r="H73" s="171" t="str">
        <f>IFERROR(__xludf.DUMMYFUNCTION("""COMPUTED_VALUE"""),"Get struck by lightning while standing on a Lightning Rod")</f>
        <v>Get struck by lightning while standing on a Lightning Rod</v>
      </c>
      <c r="R73" s="54"/>
      <c r="S73" s="121"/>
      <c r="T73" s="121"/>
      <c r="U73" s="172" t="str">
        <f>IFERROR(__xludf.DUMMYFUNCTION("""COMPUTED_VALUE"""),"")</f>
        <v/>
      </c>
      <c r="V73" s="173" t="str">
        <f>IFERROR(__xludf.DUMMYFUNCTION("""COMPUTED_VALUE"""),"Acacia Log")</f>
        <v>Acacia Log</v>
      </c>
      <c r="W73" s="174"/>
      <c r="X73" s="121"/>
    </row>
    <row r="74">
      <c r="B74" s="169" t="str">
        <f>IFERROR(__xludf.DUMMYFUNCTION("""COMPUTED_VALUE"""),"")</f>
        <v/>
      </c>
      <c r="D74" s="170" t="str">
        <f>IFERROR(__xludf.DUMMYFUNCTION("""COMPUTED_VALUE"""),"MOAR Broken Tools")</f>
        <v>MOAR Broken Tools</v>
      </c>
      <c r="H74" s="171" t="str">
        <f>IFERROR(__xludf.DUMMYFUNCTION("""COMPUTED_VALUE"""),"Break every single tool in the game (See requirement notes below)")</f>
        <v>Break every single tool in the game (See requirement notes below)</v>
      </c>
      <c r="R74" s="54"/>
      <c r="S74" s="121"/>
      <c r="T74" s="121"/>
      <c r="U74" s="172" t="str">
        <f>IFERROR(__xludf.DUMMYFUNCTION("""COMPUTED_VALUE"""),"")</f>
        <v/>
      </c>
      <c r="V74" s="173" t="str">
        <f>IFERROR(__xludf.DUMMYFUNCTION("""COMPUTED_VALUE"""),"Acacia Planks")</f>
        <v>Acacia Planks</v>
      </c>
      <c r="W74" s="174"/>
      <c r="X74" s="121"/>
    </row>
    <row r="75">
      <c r="B75" s="169" t="str">
        <f>IFERROR(__xludf.DUMMYFUNCTION("""COMPUTED_VALUE"""),"")</f>
        <v/>
      </c>
      <c r="D75" s="170" t="str">
        <f>IFERROR(__xludf.DUMMYFUNCTION("""COMPUTED_VALUE"""),"Where are all your clothes?")</f>
        <v>Where are all your clothes?</v>
      </c>
      <c r="H75" s="171" t="str">
        <f>IFERROR(__xludf.DUMMYFUNCTION("""COMPUTED_VALUE"""),"Break every type of armor piece in the game (See requirement notes below)")</f>
        <v>Break every type of armor piece in the game (See requirement notes below)</v>
      </c>
      <c r="R75" s="54"/>
      <c r="S75" s="121"/>
      <c r="T75" s="121"/>
      <c r="U75" s="172" t="str">
        <f>IFERROR(__xludf.DUMMYFUNCTION("""COMPUTED_VALUE"""),"")</f>
        <v/>
      </c>
      <c r="V75" s="173" t="str">
        <f>IFERROR(__xludf.DUMMYFUNCTION("""COMPUTED_VALUE"""),"Acacia Pressure Plate")</f>
        <v>Acacia Pressure Plate</v>
      </c>
      <c r="W75" s="174"/>
      <c r="X75" s="121"/>
    </row>
    <row r="76">
      <c r="B76" s="169" t="str">
        <f>IFERROR(__xludf.DUMMYFUNCTION("""COMPUTED_VALUE"""),"")</f>
        <v/>
      </c>
      <c r="D76" s="170" t="str">
        <f>IFERROR(__xludf.DUMMYFUNCTION("""COMPUTED_VALUE"""),"Delicious, Hot Schmoes!")</f>
        <v>Delicious, Hot Schmoes!</v>
      </c>
      <c r="H76" s="171" t="str">
        <f>IFERROR(__xludf.DUMMYFUNCTION("""COMPUTED_VALUE"""),"Place every type of cookable food on a campfire (See requirement notes below)")</f>
        <v>Place every type of cookable food on a campfire (See requirement notes below)</v>
      </c>
      <c r="R76" s="54"/>
      <c r="S76" s="121"/>
      <c r="T76" s="121"/>
      <c r="U76" s="172" t="str">
        <f>IFERROR(__xludf.DUMMYFUNCTION("""COMPUTED_VALUE"""),"")</f>
        <v/>
      </c>
      <c r="V76" s="173" t="str">
        <f>IFERROR(__xludf.DUMMYFUNCTION("""COMPUTED_VALUE"""),"Acacia Sapling")</f>
        <v>Acacia Sapling</v>
      </c>
      <c r="W76" s="174"/>
      <c r="X76" s="121"/>
    </row>
    <row r="77">
      <c r="B77" s="169" t="str">
        <f>IFERROR(__xludf.DUMMYFUNCTION("""COMPUTED_VALUE"""),"")</f>
        <v/>
      </c>
      <c r="D77" s="170" t="str">
        <f>IFERROR(__xludf.DUMMYFUNCTION("""COMPUTED_VALUE"""),"Spawn Camping")</f>
        <v>Spawn Camping</v>
      </c>
      <c r="H77" s="171" t="str">
        <f>IFERROR(__xludf.DUMMYFUNCTION("""COMPUTED_VALUE"""),"Travel close to 0,0 coordinates and place down a campfire (Place a campfire with x and z coordinates both being between -10 and 10)")</f>
        <v>Travel close to 0,0 coordinates and place down a campfire (Place a campfire with x and z coordinates both being between -10 and 10)</v>
      </c>
      <c r="R77" s="54"/>
      <c r="S77" s="121"/>
      <c r="T77" s="121"/>
      <c r="U77" s="172" t="str">
        <f>IFERROR(__xludf.DUMMYFUNCTION("""COMPUTED_VALUE"""),"")</f>
        <v/>
      </c>
      <c r="V77" s="173" t="str">
        <f>IFERROR(__xludf.DUMMYFUNCTION("""COMPUTED_VALUE"""),"Acacia Sign")</f>
        <v>Acacia Sign</v>
      </c>
      <c r="W77" s="174"/>
      <c r="X77" s="121"/>
    </row>
    <row r="78">
      <c r="B78" s="169" t="str">
        <f>IFERROR(__xludf.DUMMYFUNCTION("""COMPUTED_VALUE"""),"")</f>
        <v/>
      </c>
      <c r="D78" s="170" t="str">
        <f>IFERROR(__xludf.DUMMYFUNCTION("""COMPUTED_VALUE"""),"Living Dummy")</f>
        <v>Living Dummy</v>
      </c>
      <c r="H78" s="171" t="str">
        <f>IFERROR(__xludf.DUMMYFUNCTION("""COMPUTED_VALUE"""),"Get killed from hitting an Armor Stand (Get killed by thorns damage from an Armor Stand that is equipped with Thorns-enchanted armor)")</f>
        <v>Get killed from hitting an Armor Stand (Get killed by thorns damage from an Armor Stand that is equipped with Thorns-enchanted armor)</v>
      </c>
      <c r="R78" s="54"/>
      <c r="S78" s="121"/>
      <c r="T78" s="121"/>
      <c r="U78" s="172" t="str">
        <f>IFERROR(__xludf.DUMMYFUNCTION("""COMPUTED_VALUE"""),"")</f>
        <v/>
      </c>
      <c r="V78" s="173" t="str">
        <f>IFERROR(__xludf.DUMMYFUNCTION("""COMPUTED_VALUE"""),"Acacia Slab")</f>
        <v>Acacia Slab</v>
      </c>
      <c r="W78" s="174"/>
      <c r="X78" s="121"/>
    </row>
    <row r="79">
      <c r="B79" s="169" t="str">
        <f>IFERROR(__xludf.DUMMYFUNCTION("""COMPUTED_VALUE"""),"")</f>
        <v/>
      </c>
      <c r="D79" s="170" t="str">
        <f>IFERROR(__xludf.DUMMYFUNCTION("""COMPUTED_VALUE"""),"A Mangrove Grove")</f>
        <v>A Mangrove Grove</v>
      </c>
      <c r="H79" s="171" t="str">
        <f>IFERROR(__xludf.DUMMYFUNCTION("""COMPUTED_VALUE"""),"Plant a Mangrove Propagule in a Grove biome")</f>
        <v>Plant a Mangrove Propagule in a Grove biome</v>
      </c>
      <c r="R79" s="54"/>
      <c r="S79" s="121"/>
      <c r="T79" s="121"/>
      <c r="U79" s="172" t="str">
        <f>IFERROR(__xludf.DUMMYFUNCTION("""COMPUTED_VALUE"""),"")</f>
        <v/>
      </c>
      <c r="V79" s="173" t="str">
        <f>IFERROR(__xludf.DUMMYFUNCTION("""COMPUTED_VALUE"""),"Acacia Stairs")</f>
        <v>Acacia Stairs</v>
      </c>
      <c r="W79" s="174"/>
      <c r="X79" s="121"/>
    </row>
    <row r="80">
      <c r="B80" s="169" t="str">
        <f>IFERROR(__xludf.DUMMYFUNCTION("""COMPUTED_VALUE"""),"")</f>
        <v/>
      </c>
      <c r="D80" s="170" t="str">
        <f>IFERROR(__xludf.DUMMYFUNCTION("""COMPUTED_VALUE"""),"An Apple a Day")</f>
        <v>An Apple a Day</v>
      </c>
      <c r="H80" s="171" t="str">
        <f>IFERROR(__xludf.DUMMYFUNCTION("""COMPUTED_VALUE"""),"Eat an Apple every day for 30 in-game days (See requirement notes below)")</f>
        <v>Eat an Apple every day for 30 in-game days (See requirement notes below)</v>
      </c>
      <c r="R80" s="54"/>
      <c r="S80" s="121"/>
      <c r="T80" s="121"/>
      <c r="U80" s="172" t="str">
        <f>IFERROR(__xludf.DUMMYFUNCTION("""COMPUTED_VALUE"""),"")</f>
        <v/>
      </c>
      <c r="V80" s="173" t="str">
        <f>IFERROR(__xludf.DUMMYFUNCTION("""COMPUTED_VALUE"""),"Acacia Trapdoor")</f>
        <v>Acacia Trapdoor</v>
      </c>
      <c r="W80" s="174"/>
      <c r="X80" s="121"/>
    </row>
    <row r="81">
      <c r="B81" s="169" t="str">
        <f>IFERROR(__xludf.DUMMYFUNCTION("""COMPUTED_VALUE"""),"")</f>
        <v/>
      </c>
      <c r="D81" s="170" t="str">
        <f>IFERROR(__xludf.DUMMYFUNCTION("""COMPUTED_VALUE"""),"I'm gonna be sick!")</f>
        <v>I'm gonna be sick!</v>
      </c>
      <c r="H81" s="171" t="str">
        <f>IFERROR(__xludf.DUMMYFUNCTION("""COMPUTED_VALUE"""),"Slurp every type of suspicious stew (See requirement notes below)")</f>
        <v>Slurp every type of suspicious stew (See requirement notes below)</v>
      </c>
      <c r="R81" s="54"/>
      <c r="S81" s="121"/>
      <c r="T81" s="121"/>
      <c r="U81" s="172" t="str">
        <f>IFERROR(__xludf.DUMMYFUNCTION("""COMPUTED_VALUE"""),"")</f>
        <v/>
      </c>
      <c r="V81" s="173" t="str">
        <f>IFERROR(__xludf.DUMMYFUNCTION("""COMPUTED_VALUE"""),"Acacia Wood")</f>
        <v>Acacia Wood</v>
      </c>
      <c r="W81" s="174"/>
      <c r="X81" s="121"/>
    </row>
    <row r="82">
      <c r="B82" s="169" t="str">
        <f>IFERROR(__xludf.DUMMYFUNCTION("""COMPUTED_VALUE"""),"")</f>
        <v/>
      </c>
      <c r="D82" s="170" t="str">
        <f>IFERROR(__xludf.DUMMYFUNCTION("""COMPUTED_VALUE"""),"Castaway")</f>
        <v>Castaway</v>
      </c>
      <c r="H82" s="171" t="str">
        <f>IFERROR(__xludf.DUMMYFUNCTION("""COMPUTED_VALUE"""),"Eat nothing but dried kelp for three in-game days (Eat dried kelp once; in the following three in-game days, eat nothing but dried kelp.)")</f>
        <v>Eat nothing but dried kelp for three in-game days (Eat dried kelp once; in the following three in-game days, eat nothing but dried kelp.)</v>
      </c>
      <c r="R82" s="54"/>
      <c r="S82" s="121"/>
      <c r="T82" s="121"/>
      <c r="U82" s="172" t="str">
        <f>IFERROR(__xludf.DUMMYFUNCTION("""COMPUTED_VALUE"""),"")</f>
        <v/>
      </c>
      <c r="V82" s="173" t="str">
        <f>IFERROR(__xludf.DUMMYFUNCTION("""COMPUTED_VALUE"""),"Activator Rail")</f>
        <v>Activator Rail</v>
      </c>
      <c r="W82" s="174"/>
      <c r="X82" s="121"/>
    </row>
    <row r="83">
      <c r="B83" s="169" t="str">
        <f>IFERROR(__xludf.DUMMYFUNCTION("""COMPUTED_VALUE"""),"")</f>
        <v/>
      </c>
      <c r="D83" s="170" t="str">
        <f>IFERROR(__xludf.DUMMYFUNCTION("""COMPUTED_VALUE"""),"Must be your birthday")</f>
        <v>Must be your birthday</v>
      </c>
      <c r="H83" s="171" t="str">
        <f>IFERROR(__xludf.DUMMYFUNCTION("""COMPUTED_VALUE"""),"Eat 100 slices of cake")</f>
        <v>Eat 100 slices of cake</v>
      </c>
      <c r="R83" s="54"/>
      <c r="S83" s="121"/>
      <c r="T83" s="121"/>
      <c r="U83" s="172" t="str">
        <f>IFERROR(__xludf.DUMMYFUNCTION("""COMPUTED_VALUE"""),"")</f>
        <v/>
      </c>
      <c r="V83" s="173" t="str">
        <f>IFERROR(__xludf.DUMMYFUNCTION("""COMPUTED_VALUE"""),"Allium")</f>
        <v>Allium</v>
      </c>
      <c r="W83" s="174"/>
      <c r="X83" s="121"/>
    </row>
    <row r="84">
      <c r="B84" s="169" t="str">
        <f>IFERROR(__xludf.DUMMYFUNCTION("""COMPUTED_VALUE"""),"")</f>
        <v/>
      </c>
      <c r="D84" s="170" t="str">
        <f>IFERROR(__xludf.DUMMYFUNCTION("""COMPUTED_VALUE"""),"Combine Harvester")</f>
        <v>Combine Harvester</v>
      </c>
      <c r="H84" s="171" t="str">
        <f>IFERROR(__xludf.DUMMYFUNCTION("""COMPUTED_VALUE"""),"Use bone meal on everything that can be grown (See requirement notes below)")</f>
        <v>Use bone meal on everything that can be grown (See requirement notes below)</v>
      </c>
      <c r="R84" s="54"/>
      <c r="S84" s="121"/>
      <c r="T84" s="121"/>
      <c r="U84" s="172" t="str">
        <f>IFERROR(__xludf.DUMMYFUNCTION("""COMPUTED_VALUE"""),"")</f>
        <v/>
      </c>
      <c r="V84" s="173" t="str">
        <f>IFERROR(__xludf.DUMMYFUNCTION("""COMPUTED_VALUE"""),"Amethyst Block")</f>
        <v>Amethyst Block</v>
      </c>
      <c r="W84" s="174"/>
      <c r="X84" s="121"/>
    </row>
    <row r="85">
      <c r="B85" s="169" t="str">
        <f>IFERROR(__xludf.DUMMYFUNCTION("""COMPUTED_VALUE"""),"")</f>
        <v/>
      </c>
      <c r="D85" s="170" t="str">
        <f>IFERROR(__xludf.DUMMYFUNCTION("""COMPUTED_VALUE"""),"What's new with composting?")</f>
        <v>What's new with composting?</v>
      </c>
      <c r="H85" s="171" t="str">
        <f>IFERROR(__xludf.DUMMYFUNCTION("""COMPUTED_VALUE"""),"Compost every type of compostable item in a Composter (See requirement notes below)")</f>
        <v>Compost every type of compostable item in a Composter (See requirement notes below)</v>
      </c>
      <c r="R85" s="54"/>
      <c r="S85" s="121"/>
      <c r="T85" s="121"/>
      <c r="U85" s="172" t="str">
        <f>IFERROR(__xludf.DUMMYFUNCTION("""COMPUTED_VALUE"""),"")</f>
        <v/>
      </c>
      <c r="V85" s="173" t="str">
        <f>IFERROR(__xludf.DUMMYFUNCTION("""COMPUTED_VALUE"""),"Amethyst Cluster")</f>
        <v>Amethyst Cluster</v>
      </c>
      <c r="W85" s="174"/>
      <c r="X85" s="121"/>
    </row>
    <row r="86">
      <c r="B86" s="169" t="str">
        <f>IFERROR(__xludf.DUMMYFUNCTION("""COMPUTED_VALUE"""),"")</f>
        <v/>
      </c>
      <c r="D86" s="170" t="str">
        <f>IFERROR(__xludf.DUMMYFUNCTION("""COMPUTED_VALUE"""),"A Balanced Diet")</f>
        <v>A Balanced Diet</v>
      </c>
      <c r="H86" s="171" t="str">
        <f>IFERROR(__xludf.DUMMYFUNCTION("""COMPUTED_VALUE"""),"Eat everything that is edible, even if it's not good for you (Eat every food required for ""Vegetarian"" and ""Meat Lovers"")")</f>
        <v>Eat everything that is edible, even if it's not good for you (Eat every food required for "Vegetarian" and "Meat Lovers")</v>
      </c>
      <c r="R86" s="54"/>
      <c r="S86" s="121"/>
      <c r="T86" s="121"/>
      <c r="U86" s="172" t="str">
        <f>IFERROR(__xludf.DUMMYFUNCTION("""COMPUTED_VALUE"""),"")</f>
        <v/>
      </c>
      <c r="V86" s="173" t="str">
        <f>IFERROR(__xludf.DUMMYFUNCTION("""COMPUTED_VALUE"""),"Amethyst Shard")</f>
        <v>Amethyst Shard</v>
      </c>
      <c r="W86" s="174"/>
      <c r="X86" s="121"/>
    </row>
    <row r="87">
      <c r="B87" s="169" t="str">
        <f>IFERROR(__xludf.DUMMYFUNCTION("""COMPUTED_VALUE"""),"")</f>
        <v/>
      </c>
      <c r="D87" s="170" t="str">
        <f>IFERROR(__xludf.DUMMYFUNCTION("""COMPUTED_VALUE"""),"Bunny Lover")</f>
        <v>Bunny Lover</v>
      </c>
      <c r="H87" s="171" t="str">
        <f>IFERROR(__xludf.DUMMYFUNCTION("""COMPUTED_VALUE"""),"Breed a baby bunny of every variant (See requirement notes below)")</f>
        <v>Breed a baby bunny of every variant (See requirement notes below)</v>
      </c>
      <c r="R87" s="54"/>
      <c r="S87" s="121"/>
      <c r="T87" s="121"/>
      <c r="U87" s="172" t="str">
        <f>IFERROR(__xludf.DUMMYFUNCTION("""COMPUTED_VALUE"""),"")</f>
        <v/>
      </c>
      <c r="V87" s="173" t="str">
        <f>IFERROR(__xludf.DUMMYFUNCTION("""COMPUTED_VALUE"""),"Ancient Debris")</f>
        <v>Ancient Debris</v>
      </c>
      <c r="W87" s="174"/>
      <c r="X87" s="121"/>
    </row>
    <row r="88">
      <c r="B88" s="169" t="str">
        <f>IFERROR(__xludf.DUMMYFUNCTION("""COMPUTED_VALUE"""),"")</f>
        <v/>
      </c>
      <c r="D88" s="170" t="str">
        <f>IFERROR(__xludf.DUMMYFUNCTION("""COMPUTED_VALUE"""),"Going Down the Rabbit Hole")</f>
        <v>Going Down the Rabbit Hole</v>
      </c>
      <c r="H88" s="171" t="str">
        <f>IFERROR(__xludf.DUMMYFUNCTION("""COMPUTED_VALUE"""),"Bring a rabbit to the bottom of the world, then kill it (Kill a rabbit that is below y-level -59.5)")</f>
        <v>Bring a rabbit to the bottom of the world, then kill it (Kill a rabbit that is below y-level -59.5)</v>
      </c>
      <c r="R88" s="54"/>
      <c r="S88" s="121"/>
      <c r="T88" s="121"/>
      <c r="U88" s="172" t="str">
        <f>IFERROR(__xludf.DUMMYFUNCTION("""COMPUTED_VALUE"""),"")</f>
        <v/>
      </c>
      <c r="V88" s="173" t="str">
        <f>IFERROR(__xludf.DUMMYFUNCTION("""COMPUTED_VALUE"""),"Andesite")</f>
        <v>Andesite</v>
      </c>
      <c r="W88" s="174"/>
      <c r="X88" s="121"/>
    </row>
    <row r="89">
      <c r="B89" s="169" t="str">
        <f>IFERROR(__xludf.DUMMYFUNCTION("""COMPUTED_VALUE"""),"")</f>
        <v/>
      </c>
      <c r="D89" s="170" t="str">
        <f>IFERROR(__xludf.DUMMYFUNCTION("""COMPUTED_VALUE"""),"Just Keeps Going")</f>
        <v>Just Keeps Going</v>
      </c>
      <c r="H89" s="171" t="str">
        <f>IFERROR(__xludf.DUMMYFUNCTION("""COMPUTED_VALUE"""),"Eat Rabbit Stew, then avoid eating for the next 3 in-game days (Eat Rabbit Stew once; in the following 3 days, eat nothing else)")</f>
        <v>Eat Rabbit Stew, then avoid eating for the next 3 in-game days (Eat Rabbit Stew once; in the following 3 days, eat nothing else)</v>
      </c>
      <c r="R89" s="54"/>
      <c r="S89" s="121"/>
      <c r="T89" s="121"/>
      <c r="U89" s="172" t="str">
        <f>IFERROR(__xludf.DUMMYFUNCTION("""COMPUTED_VALUE"""),"")</f>
        <v/>
      </c>
      <c r="V89" s="173" t="str">
        <f>IFERROR(__xludf.DUMMYFUNCTION("""COMPUTED_VALUE"""),"Andesite Slab")</f>
        <v>Andesite Slab</v>
      </c>
      <c r="W89" s="174"/>
      <c r="X89" s="121"/>
    </row>
    <row r="90">
      <c r="B90" s="169" t="str">
        <f>IFERROR(__xludf.DUMMYFUNCTION("""COMPUTED_VALUE"""),"")</f>
        <v/>
      </c>
      <c r="D90" s="170" t="str">
        <f>IFERROR(__xludf.DUMMYFUNCTION("""COMPUTED_VALUE"""),"Milkshroom")</f>
        <v>Milkshroom</v>
      </c>
      <c r="H90" s="171" t="str">
        <f>IFERROR(__xludf.DUMMYFUNCTION("""COMPUTED_VALUE"""),"Milk a mooshroom with a bowl to get mushroom stew")</f>
        <v>Milk a mooshroom with a bowl to get mushroom stew</v>
      </c>
      <c r="R90" s="54"/>
      <c r="S90" s="121"/>
      <c r="T90" s="121"/>
      <c r="U90" s="172" t="str">
        <f>IFERROR(__xludf.DUMMYFUNCTION("""COMPUTED_VALUE"""),"")</f>
        <v/>
      </c>
      <c r="V90" s="173" t="str">
        <f>IFERROR(__xludf.DUMMYFUNCTION("""COMPUTED_VALUE"""),"Andesite Stairs")</f>
        <v>Andesite Stairs</v>
      </c>
      <c r="W90" s="174"/>
      <c r="X90" s="121"/>
    </row>
    <row r="91">
      <c r="B91" s="169" t="str">
        <f>IFERROR(__xludf.DUMMYFUNCTION("""COMPUTED_VALUE"""),"")</f>
        <v/>
      </c>
      <c r="D91" s="170" t="str">
        <f>IFERROR(__xludf.DUMMYFUNCTION("""COMPUTED_VALUE"""),"Overpopulation")</f>
        <v>Overpopulation</v>
      </c>
      <c r="H91" s="171" t="str">
        <f>IFERROR(__xludf.DUMMYFUNCTION("""COMPUTED_VALUE"""),"Breed every type of animal (See requirement notes below)")</f>
        <v>Breed every type of animal (See requirement notes below)</v>
      </c>
      <c r="R91" s="54"/>
      <c r="S91" s="121"/>
      <c r="T91" s="121"/>
      <c r="U91" s="172" t="str">
        <f>IFERROR(__xludf.DUMMYFUNCTION("""COMPUTED_VALUE"""),"")</f>
        <v/>
      </c>
      <c r="V91" s="173" t="str">
        <f>IFERROR(__xludf.DUMMYFUNCTION("""COMPUTED_VALUE"""),"Andesite Wall")</f>
        <v>Andesite Wall</v>
      </c>
      <c r="W91" s="174"/>
      <c r="X91" s="121"/>
    </row>
    <row r="92">
      <c r="B92" s="169" t="str">
        <f>IFERROR(__xludf.DUMMYFUNCTION("""COMPUTED_VALUE"""),"")</f>
        <v/>
      </c>
      <c r="D92" s="170" t="str">
        <f>IFERROR(__xludf.DUMMYFUNCTION("""COMPUTED_VALUE"""),"Animal Kingdom")</f>
        <v>Animal Kingdom</v>
      </c>
      <c r="H92" s="171" t="str">
        <f>IFERROR(__xludf.DUMMYFUNCTION("""COMPUTED_VALUE"""),"Bring one of every type of animal to one place (have them all within 32 blocks of you) (See requirement notes below)")</f>
        <v>Bring one of every type of animal to one place (have them all within 32 blocks of you) (See requirement notes below)</v>
      </c>
      <c r="R92" s="54"/>
      <c r="S92" s="121"/>
      <c r="T92" s="121"/>
      <c r="U92" s="172" t="str">
        <f>IFERROR(__xludf.DUMMYFUNCTION("""COMPUTED_VALUE"""),"")</f>
        <v/>
      </c>
      <c r="V92" s="173" t="str">
        <f>IFERROR(__xludf.DUMMYFUNCTION("""COMPUTED_VALUE"""),"Angler Pottery Sherd")</f>
        <v>Angler Pottery Sherd</v>
      </c>
      <c r="W92" s="174"/>
      <c r="X92" s="121"/>
    </row>
    <row r="93">
      <c r="B93" s="169" t="str">
        <f>IFERROR(__xludf.DUMMYFUNCTION("""COMPUTED_VALUE"""),"")</f>
        <v/>
      </c>
      <c r="D93" s="170" t="str">
        <f>IFERROR(__xludf.DUMMYFUNCTION("""COMPUTED_VALUE"""),"Birdkeeper")</f>
        <v>Birdkeeper</v>
      </c>
      <c r="H93" s="171" t="str">
        <f>IFERROR(__xludf.DUMMYFUNCTION("""COMPUTED_VALUE"""),"Tame all parrot variants (You have to tame: Red, Blue, Cyan, Green and Gray parrots)")</f>
        <v>Tame all parrot variants (You have to tame: Red, Blue, Cyan, Green and Gray parrots)</v>
      </c>
      <c r="R93" s="54"/>
      <c r="S93" s="121"/>
      <c r="T93" s="121"/>
      <c r="U93" s="172" t="str">
        <f>IFERROR(__xludf.DUMMYFUNCTION("""COMPUTED_VALUE"""),"")</f>
        <v/>
      </c>
      <c r="V93" s="173" t="str">
        <f>IFERROR(__xludf.DUMMYFUNCTION("""COMPUTED_VALUE"""),"Anvil")</f>
        <v>Anvil</v>
      </c>
      <c r="W93" s="174"/>
      <c r="X93" s="121"/>
    </row>
    <row r="94">
      <c r="B94" s="169" t="str">
        <f>IFERROR(__xludf.DUMMYFUNCTION("""COMPUTED_VALUE"""),"")</f>
        <v/>
      </c>
      <c r="D94" s="170" t="str">
        <f>IFERROR(__xludf.DUMMYFUNCTION("""COMPUTED_VALUE"""),"Whatever Floats Your Goat!")</f>
        <v>Whatever Floats Your Goat!</v>
      </c>
      <c r="H94" s="171" t="str">
        <f>IFERROR(__xludf.DUMMYFUNCTION("""COMPUTED_VALUE"""),"Get in a Boat and float with a Goat (Ride a boat that has a goat in it as well)")</f>
        <v>Get in a Boat and float with a Goat (Ride a boat that has a goat in it as well)</v>
      </c>
      <c r="R94" s="54"/>
      <c r="U94" s="172" t="str">
        <f>IFERROR(__xludf.DUMMYFUNCTION("""COMPUTED_VALUE"""),"")</f>
        <v/>
      </c>
      <c r="V94" s="173" t="str">
        <f>IFERROR(__xludf.DUMMYFUNCTION("""COMPUTED_VALUE"""),"Apple")</f>
        <v>Apple</v>
      </c>
      <c r="W94" s="174"/>
    </row>
    <row r="95">
      <c r="B95" s="169" t="str">
        <f>IFERROR(__xludf.DUMMYFUNCTION("""COMPUTED_VALUE"""),"")</f>
        <v/>
      </c>
      <c r="D95" s="170" t="str">
        <f>IFERROR(__xludf.DUMMYFUNCTION("""COMPUTED_VALUE"""),"Screaming Milk")</f>
        <v>Screaming Milk</v>
      </c>
      <c r="H95" s="171" t="str">
        <f>IFERROR(__xludf.DUMMYFUNCTION("""COMPUTED_VALUE"""),"Milk a screaming Goat")</f>
        <v>Milk a screaming Goat</v>
      </c>
      <c r="R95" s="54"/>
      <c r="U95" s="172" t="str">
        <f>IFERROR(__xludf.DUMMYFUNCTION("""COMPUTED_VALUE"""),"")</f>
        <v/>
      </c>
      <c r="V95" s="173" t="str">
        <f>IFERROR(__xludf.DUMMYFUNCTION("""COMPUTED_VALUE"""),"Archer Pottery Sherd")</f>
        <v>Archer Pottery Sherd</v>
      </c>
      <c r="W95" s="174"/>
    </row>
    <row r="96">
      <c r="B96" s="169" t="str">
        <f>IFERROR(__xludf.DUMMYFUNCTION("""COMPUTED_VALUE"""),"")</f>
        <v/>
      </c>
      <c r="D96" s="170" t="str">
        <f>IFERROR(__xludf.DUMMYFUNCTION("""COMPUTED_VALUE"""),"Loud and Proud")</f>
        <v>Loud and Proud</v>
      </c>
      <c r="H96" s="171" t="str">
        <f>IFERROR(__xludf.DUMMYFUNCTION("""COMPUTED_VALUE"""),"Play a Goat Horn in the Deep Dark (Play a Goat Horn in the Deep Dark or an Ancient City)")</f>
        <v>Play a Goat Horn in the Deep Dark (Play a Goat Horn in the Deep Dark or an Ancient City)</v>
      </c>
      <c r="R96" s="54"/>
      <c r="U96" s="172" t="str">
        <f>IFERROR(__xludf.DUMMYFUNCTION("""COMPUTED_VALUE"""),"")</f>
        <v/>
      </c>
      <c r="V96" s="173" t="str">
        <f>IFERROR(__xludf.DUMMYFUNCTION("""COMPUTED_VALUE"""),"Armadillo Scute")</f>
        <v>Armadillo Scute</v>
      </c>
      <c r="W96" s="174"/>
    </row>
    <row r="97">
      <c r="B97" s="169" t="str">
        <f>IFERROR(__xludf.DUMMYFUNCTION("""COMPUTED_VALUE"""),"")</f>
        <v/>
      </c>
      <c r="D97" s="170" t="str">
        <f>IFERROR(__xludf.DUMMYFUNCTION("""COMPUTED_VALUE"""),"Silence of the Lambs")</f>
        <v>Silence of the Lambs</v>
      </c>
      <c r="H97" s="171" t="str">
        <f>IFERROR(__xludf.DUMMYFUNCTION("""COMPUTED_VALUE"""),"Bring a Sheep into an Ancient City and silence it (Kill a Sheep in an Ancient City)")</f>
        <v>Bring a Sheep into an Ancient City and silence it (Kill a Sheep in an Ancient City)</v>
      </c>
      <c r="R97" s="54"/>
      <c r="U97" s="172" t="str">
        <f>IFERROR(__xludf.DUMMYFUNCTION("""COMPUTED_VALUE"""),"")</f>
        <v/>
      </c>
      <c r="V97" s="173" t="str">
        <f>IFERROR(__xludf.DUMMYFUNCTION("""COMPUTED_VALUE"""),"Armor Stand")</f>
        <v>Armor Stand</v>
      </c>
      <c r="W97" s="174"/>
    </row>
    <row r="98">
      <c r="B98" s="169" t="str">
        <f>IFERROR(__xludf.DUMMYFUNCTION("""COMPUTED_VALUE"""),"")</f>
        <v/>
      </c>
      <c r="D98" s="170" t="str">
        <f>IFERROR(__xludf.DUMMYFUNCTION("""COMPUTED_VALUE"""),"Battle of the Bands")</f>
        <v>Battle of the Bands</v>
      </c>
      <c r="H98" s="171" t="str">
        <f>IFERROR(__xludf.DUMMYFUNCTION("""COMPUTED_VALUE"""),"Blow into a Goat Horn during a raid (Play a Goat Horn while a raid mob is within 50 mobs)")</f>
        <v>Blow into a Goat Horn during a raid (Play a Goat Horn while a raid mob is within 50 mobs)</v>
      </c>
      <c r="R98" s="54"/>
      <c r="U98" s="172" t="str">
        <f>IFERROR(__xludf.DUMMYFUNCTION("""COMPUTED_VALUE"""),"")</f>
        <v/>
      </c>
      <c r="V98" s="173" t="str">
        <f>IFERROR(__xludf.DUMMYFUNCTION("""COMPUTED_VALUE"""),"Arms Up Pottery Sherd")</f>
        <v>Arms Up Pottery Sherd</v>
      </c>
      <c r="W98" s="174"/>
    </row>
    <row r="99">
      <c r="B99" s="169" t="str">
        <f>IFERROR(__xludf.DUMMYFUNCTION("""COMPUTED_VALUE"""),"")</f>
        <v/>
      </c>
      <c r="D99" s="170" t="str">
        <f>IFERROR(__xludf.DUMMYFUNCTION("""COMPUTED_VALUE"""),"WHERE'S THE HONEY LEBOWSKI")</f>
        <v>WHERE'S THE HONEY LEBOWSKI</v>
      </c>
      <c r="H99" s="171" t="str">
        <f>IFERROR(__xludf.DUMMYFUNCTION("""COMPUTED_VALUE"""),"Drink 100 bottles of honey")</f>
        <v>Drink 100 bottles of honey</v>
      </c>
      <c r="R99" s="54"/>
      <c r="U99" s="172" t="str">
        <f>IFERROR(__xludf.DUMMYFUNCTION("""COMPUTED_VALUE"""),"")</f>
        <v/>
      </c>
      <c r="V99" s="173" t="str">
        <f>IFERROR(__xludf.DUMMYFUNCTION("""COMPUTED_VALUE"""),"Arrow")</f>
        <v>Arrow</v>
      </c>
      <c r="W99" s="174"/>
    </row>
    <row r="100">
      <c r="B100" s="169" t="str">
        <f>IFERROR(__xludf.DUMMYFUNCTION("""COMPUTED_VALUE"""),"")</f>
        <v/>
      </c>
      <c r="D100" s="170" t="str">
        <f>IFERROR(__xludf.DUMMYFUNCTION("""COMPUTED_VALUE"""),"It's High Noon")</f>
        <v>It's High Noon</v>
      </c>
      <c r="H100" s="171" t="str">
        <f>IFERROR(__xludf.DUMMYFUNCTION("""COMPUTED_VALUE"""),"Snipe a Husk from 50 blocks away while riding a Horse (Kill a Husk with a projectile from at least 50 blocks away while you are riding a Horse)")</f>
        <v>Snipe a Husk from 50 blocks away while riding a Horse (Kill a Husk with a projectile from at least 50 blocks away while you are riding a Horse)</v>
      </c>
      <c r="R100" s="54"/>
      <c r="U100" s="172" t="str">
        <f>IFERROR(__xludf.DUMMYFUNCTION("""COMPUTED_VALUE"""),"")</f>
        <v/>
      </c>
      <c r="V100" s="173" t="str">
        <f>IFERROR(__xludf.DUMMYFUNCTION("""COMPUTED_VALUE"""),"Axolotl Bucket")</f>
        <v>Axolotl Bucket</v>
      </c>
      <c r="W100" s="174"/>
    </row>
    <row r="101">
      <c r="B101" s="169" t="str">
        <f>IFERROR(__xludf.DUMMYFUNCTION("""COMPUTED_VALUE"""),"")</f>
        <v/>
      </c>
      <c r="D101" s="170" t="str">
        <f>IFERROR(__xludf.DUMMYFUNCTION("""COMPUTED_VALUE"""),"Master Farrier")</f>
        <v>Master Farrier</v>
      </c>
      <c r="H101" s="171" t="str">
        <f>IFERROR(__xludf.DUMMYFUNCTION("""COMPUTED_VALUE"""),"Tame all horse variants (See requirement notes below)")</f>
        <v>Tame all horse variants (See requirement notes below)</v>
      </c>
      <c r="R101" s="54"/>
      <c r="U101" s="172" t="str">
        <f>IFERROR(__xludf.DUMMYFUNCTION("""COMPUTED_VALUE"""),"")</f>
        <v/>
      </c>
      <c r="V101" s="173" t="str">
        <f>IFERROR(__xludf.DUMMYFUNCTION("""COMPUTED_VALUE"""),"Azalea")</f>
        <v>Azalea</v>
      </c>
      <c r="W101" s="174"/>
    </row>
    <row r="102">
      <c r="B102" s="169" t="str">
        <f>IFERROR(__xludf.DUMMYFUNCTION("""COMPUTED_VALUE"""),"")</f>
        <v/>
      </c>
      <c r="D102" s="170" t="str">
        <f>IFERROR(__xludf.DUMMYFUNCTION("""COMPUTED_VALUE"""),"The High Road")</f>
        <v>The High Road</v>
      </c>
      <c r="H102" s="171" t="str">
        <f>IFERROR(__xludf.DUMMYFUNCTION("""COMPUTED_VALUE"""),"Kill a hostile monster with a melee attack while riding a Camel (The same mobs as what triggers ""Monster Hunter"" can be killed for this advancement)")</f>
        <v>Kill a hostile monster with a melee attack while riding a Camel (The same mobs as what triggers "Monster Hunter" can be killed for this advancement)</v>
      </c>
      <c r="R102" s="54"/>
      <c r="U102" s="172" t="str">
        <f>IFERROR(__xludf.DUMMYFUNCTION("""COMPUTED_VALUE"""),"")</f>
        <v/>
      </c>
      <c r="V102" s="173" t="str">
        <f>IFERROR(__xludf.DUMMYFUNCTION("""COMPUTED_VALUE"""),"Azalea Leaves")</f>
        <v>Azalea Leaves</v>
      </c>
      <c r="W102" s="174"/>
    </row>
    <row r="103">
      <c r="B103" s="169" t="str">
        <f>IFERROR(__xludf.DUMMYFUNCTION("""COMPUTED_VALUE"""),"")</f>
        <v/>
      </c>
      <c r="D103" s="170" t="str">
        <f>IFERROR(__xludf.DUMMYFUNCTION("""COMPUTED_VALUE"""),"Llama Llama Duck King")</f>
        <v>Llama Llama Duck King</v>
      </c>
      <c r="H103" s="171" t="str">
        <f>IFERROR(__xludf.DUMMYFUNCTION("""COMPUTED_VALUE"""),"Tame all llama variants (You have to tame: Creamy, White, Brown and Gray Llamas OR Trader Llamas)")</f>
        <v>Tame all llama variants (You have to tame: Creamy, White, Brown and Gray Llamas OR Trader Llamas)</v>
      </c>
      <c r="R103" s="54"/>
      <c r="U103" s="172" t="str">
        <f>IFERROR(__xludf.DUMMYFUNCTION("""COMPUTED_VALUE"""),"")</f>
        <v/>
      </c>
      <c r="V103" s="173" t="str">
        <f>IFERROR(__xludf.DUMMYFUNCTION("""COMPUTED_VALUE"""),"Azure Bluet")</f>
        <v>Azure Bluet</v>
      </c>
      <c r="W103" s="174"/>
    </row>
    <row r="104">
      <c r="B104" s="169" t="str">
        <f>IFERROR(__xludf.DUMMYFUNCTION("""COMPUTED_VALUE"""),"")</f>
        <v/>
      </c>
      <c r="D104" s="170" t="str">
        <f>IFERROR(__xludf.DUMMYFUNCTION("""COMPUTED_VALUE"""),"Llama Festival")</f>
        <v>Llama Festival</v>
      </c>
      <c r="H104" s="171" t="str">
        <f>IFERROR(__xludf.DUMMYFUNCTION("""COMPUTED_VALUE"""),"Sit on Llamas with all 16 colors of carpet. Getting off will reset your progress (This works with either Llamas or Trader Llamas)")</f>
        <v>Sit on Llamas with all 16 colors of carpet. Getting off will reset your progress (This works with either Llamas or Trader Llamas)</v>
      </c>
      <c r="R104" s="54"/>
      <c r="U104" s="172" t="str">
        <f>IFERROR(__xludf.DUMMYFUNCTION("""COMPUTED_VALUE"""),"")</f>
        <v/>
      </c>
      <c r="V104" s="173" t="str">
        <f>IFERROR(__xludf.DUMMYFUNCTION("""COMPUTED_VALUE"""),"Baked Potato")</f>
        <v>Baked Potato</v>
      </c>
      <c r="W104" s="174"/>
    </row>
    <row r="105">
      <c r="B105" s="169" t="str">
        <f>IFERROR(__xludf.DUMMYFUNCTION("""COMPUTED_VALUE"""),"")</f>
        <v/>
      </c>
      <c r="D105" s="170" t="str">
        <f>IFERROR(__xludf.DUMMYFUNCTION("""COMPUTED_VALUE"""),"Heavy Duty Caravan")</f>
        <v>Heavy Duty Caravan</v>
      </c>
      <c r="H105" s="171" t="str">
        <f>IFERROR(__xludf.DUMMYFUNCTION("""COMPUTED_VALUE"""),"Tame a llama with a strength of 5 (Tame a Llama or Trader Llama with a strength of 5)")</f>
        <v>Tame a llama with a strength of 5 (Tame a Llama or Trader Llama with a strength of 5)</v>
      </c>
      <c r="R105" s="54"/>
      <c r="U105" s="172" t="str">
        <f>IFERROR(__xludf.DUMMYFUNCTION("""COMPUTED_VALUE"""),"")</f>
        <v/>
      </c>
      <c r="V105" s="173" t="str">
        <f>IFERROR(__xludf.DUMMYFUNCTION("""COMPUTED_VALUE"""),"Bamboo")</f>
        <v>Bamboo</v>
      </c>
      <c r="W105" s="174"/>
    </row>
    <row r="106">
      <c r="B106" s="169" t="str">
        <f>IFERROR(__xludf.DUMMYFUNCTION("""COMPUTED_VALUE"""),"")</f>
        <v/>
      </c>
      <c r="D106" s="170" t="str">
        <f>IFERROR(__xludf.DUMMYFUNCTION("""COMPUTED_VALUE"""),"Follow the Leader")</f>
        <v>Follow the Leader</v>
      </c>
      <c r="H106" s="171" t="str">
        <f>IFERROR(__xludf.DUMMYFUNCTION("""COMPUTED_VALUE"""),"Attach a lead to every mob that can be leashed (See requirement notes below)")</f>
        <v>Attach a lead to every mob that can be leashed (See requirement notes below)</v>
      </c>
      <c r="R106" s="54"/>
      <c r="U106" s="172" t="str">
        <f>IFERROR(__xludf.DUMMYFUNCTION("""COMPUTED_VALUE"""),"")</f>
        <v/>
      </c>
      <c r="V106" s="173" t="str">
        <f>IFERROR(__xludf.DUMMYFUNCTION("""COMPUTED_VALUE"""),"Bamboo Block")</f>
        <v>Bamboo Block</v>
      </c>
      <c r="W106" s="174"/>
    </row>
    <row r="107">
      <c r="B107" s="169" t="str">
        <f>IFERROR(__xludf.DUMMYFUNCTION("""COMPUTED_VALUE"""),"")</f>
        <v/>
      </c>
      <c r="D107" s="170" t="str">
        <f>IFERROR(__xludf.DUMMYFUNCTION("""COMPUTED_VALUE"""),"Good as New")</f>
        <v>Good as New</v>
      </c>
      <c r="H107" s="171" t="str">
        <f>IFERROR(__xludf.DUMMYFUNCTION("""COMPUTED_VALUE"""),"Repair damaged Wolf Armor using Armadillo Scutes")</f>
        <v>Repair damaged Wolf Armor using Armadillo Scutes</v>
      </c>
      <c r="R107" s="54"/>
      <c r="U107" s="172" t="str">
        <f>IFERROR(__xludf.DUMMYFUNCTION("""COMPUTED_VALUE"""),"")</f>
        <v/>
      </c>
      <c r="V107" s="173" t="str">
        <f>IFERROR(__xludf.DUMMYFUNCTION("""COMPUTED_VALUE"""),"Bamboo Button")</f>
        <v>Bamboo Button</v>
      </c>
      <c r="W107" s="174"/>
    </row>
    <row r="108">
      <c r="B108" s="169" t="str">
        <f>IFERROR(__xludf.DUMMYFUNCTION("""COMPUTED_VALUE"""),"")</f>
        <v/>
      </c>
      <c r="D108" s="170" t="str">
        <f>IFERROR(__xludf.DUMMYFUNCTION("""COMPUTED_VALUE"""),"Shear Brilliance")</f>
        <v>Shear Brilliance</v>
      </c>
      <c r="H108" s="171" t="str">
        <f>IFERROR(__xludf.DUMMYFUNCTION("""COMPUTED_VALUE"""),"Remove Wolf Armor from a Wolf using Shears")</f>
        <v>Remove Wolf Armor from a Wolf using Shears</v>
      </c>
      <c r="R108" s="54"/>
      <c r="U108" s="172" t="str">
        <f>IFERROR(__xludf.DUMMYFUNCTION("""COMPUTED_VALUE"""),"")</f>
        <v/>
      </c>
      <c r="V108" s="173" t="str">
        <f>IFERROR(__xludf.DUMMYFUNCTION("""COMPUTED_VALUE"""),"Bamboo Chest Raft")</f>
        <v>Bamboo Chest Raft</v>
      </c>
      <c r="W108" s="174"/>
    </row>
    <row r="109">
      <c r="B109" s="169" t="str">
        <f>IFERROR(__xludf.DUMMYFUNCTION("""COMPUTED_VALUE"""),"")</f>
        <v/>
      </c>
      <c r="D109" s="170" t="str">
        <f>IFERROR(__xludf.DUMMYFUNCTION("""COMPUTED_VALUE"""),"Paw Patrol")</f>
        <v>Paw Patrol</v>
      </c>
      <c r="H109" s="171" t="str">
        <f>IFERROR(__xludf.DUMMYFUNCTION("""COMPUTED_VALUE"""),"Equip Wolves with Wolf Armor dyed blue, red, yellow, lime, pink and orange (Place Wolf Armor of each colour on wolves)")</f>
        <v>Equip Wolves with Wolf Armor dyed blue, red, yellow, lime, pink and orange (Place Wolf Armor of each colour on wolves)</v>
      </c>
      <c r="R109" s="54"/>
      <c r="U109" s="172" t="str">
        <f>IFERROR(__xludf.DUMMYFUNCTION("""COMPUTED_VALUE"""),"")</f>
        <v/>
      </c>
      <c r="V109" s="173" t="str">
        <f>IFERROR(__xludf.DUMMYFUNCTION("""COMPUTED_VALUE"""),"Bamboo Door")</f>
        <v>Bamboo Door</v>
      </c>
      <c r="W109" s="174"/>
    </row>
    <row r="110">
      <c r="B110" s="169" t="str">
        <f>IFERROR(__xludf.DUMMYFUNCTION("""COMPUTED_VALUE"""),"")</f>
        <v/>
      </c>
      <c r="D110" s="170" t="str">
        <f>IFERROR(__xludf.DUMMYFUNCTION("""COMPUTED_VALUE"""),"The Whole Pack")</f>
        <v>The Whole Pack</v>
      </c>
      <c r="H110" s="171" t="str">
        <f>IFERROR(__xludf.DUMMYFUNCTION("""COMPUTED_VALUE"""),"Tame one of each Wolf variant (Tame the wolf variants: Ashen, Black, Chestnut, Pale, Rusty, Snowy, Spotted, Striped and Woods)")</f>
        <v>Tame one of each Wolf variant (Tame the wolf variants: Ashen, Black, Chestnut, Pale, Rusty, Snowy, Spotted, Striped and Woods)</v>
      </c>
      <c r="R110" s="54"/>
      <c r="U110" s="172" t="str">
        <f>IFERROR(__xludf.DUMMYFUNCTION("""COMPUTED_VALUE"""),"")</f>
        <v/>
      </c>
      <c r="V110" s="173" t="str">
        <f>IFERROR(__xludf.DUMMYFUNCTION("""COMPUTED_VALUE"""),"Bamboo Fence")</f>
        <v>Bamboo Fence</v>
      </c>
      <c r="W110" s="174"/>
    </row>
    <row r="111">
      <c r="B111" s="169" t="str">
        <f>IFERROR(__xludf.DUMMYFUNCTION("""COMPUTED_VALUE"""),"")</f>
        <v/>
      </c>
      <c r="D111" s="170" t="str">
        <f>IFERROR(__xludf.DUMMYFUNCTION("""COMPUTED_VALUE"""),"Snow Fox 64")</f>
        <v>Snow Fox 64</v>
      </c>
      <c r="H111" s="171" t="str">
        <f>IFERROR(__xludf.DUMMYFUNCTION("""COMPUTED_VALUE"""),"Breed two snow foxes with sweet berries")</f>
        <v>Breed two snow foxes with sweet berries</v>
      </c>
      <c r="R111" s="54"/>
      <c r="U111" s="172" t="str">
        <f>IFERROR(__xludf.DUMMYFUNCTION("""COMPUTED_VALUE"""),"")</f>
        <v/>
      </c>
      <c r="V111" s="173" t="str">
        <f>IFERROR(__xludf.DUMMYFUNCTION("""COMPUTED_VALUE"""),"Bamboo Fence Gate")</f>
        <v>Bamboo Fence Gate</v>
      </c>
      <c r="W111" s="174"/>
    </row>
    <row r="112">
      <c r="B112" s="169" t="str">
        <f>IFERROR(__xludf.DUMMYFUNCTION("""COMPUTED_VALUE"""),"")</f>
        <v/>
      </c>
      <c r="D112" s="170" t="str">
        <f>IFERROR(__xludf.DUMMYFUNCTION("""COMPUTED_VALUE"""),"Blackberry Market")</f>
        <v>Blackberry Market</v>
      </c>
      <c r="H112" s="171" t="str">
        <f>IFERROR(__xludf.DUMMYFUNCTION("""COMPUTED_VALUE"""),"Trade some sweet berries to a Fox with an emerald in their mouth (Have a fox with an Emerald in its mouth pick up Sweet Berries that you dropped)")</f>
        <v>Trade some sweet berries to a Fox with an emerald in their mouth (Have a fox with an Emerald in its mouth pick up Sweet Berries that you dropped)</v>
      </c>
      <c r="R112" s="54"/>
      <c r="U112" s="172" t="str">
        <f>IFERROR(__xludf.DUMMYFUNCTION("""COMPUTED_VALUE"""),"")</f>
        <v/>
      </c>
      <c r="V112" s="173" t="str">
        <f>IFERROR(__xludf.DUMMYFUNCTION("""COMPUTED_VALUE"""),"Bamboo Hanging Sign")</f>
        <v>Bamboo Hanging Sign</v>
      </c>
      <c r="W112" s="174"/>
    </row>
    <row r="113">
      <c r="B113" s="169" t="str">
        <f>IFERROR(__xludf.DUMMYFUNCTION("""COMPUTED_VALUE"""),"")</f>
        <v/>
      </c>
      <c r="D113" s="170" t="str">
        <f>IFERROR(__xludf.DUMMYFUNCTION("""COMPUTED_VALUE"""),"Foxy Thievery")</f>
        <v>Foxy Thievery</v>
      </c>
      <c r="H113" s="171" t="str">
        <f>IFERROR(__xludf.DUMMYFUNCTION("""COMPUTED_VALUE"""),"Give a fox a Totem of Undying (Have a fox pick up a Totem of Undying that you dropped)")</f>
        <v>Give a fox a Totem of Undying (Have a fox pick up a Totem of Undying that you dropped)</v>
      </c>
      <c r="R113" s="54"/>
      <c r="U113" s="172" t="str">
        <f>IFERROR(__xludf.DUMMYFUNCTION("""COMPUTED_VALUE"""),"")</f>
        <v/>
      </c>
      <c r="V113" s="173" t="str">
        <f>IFERROR(__xludf.DUMMYFUNCTION("""COMPUTED_VALUE"""),"Bamboo Mosaic")</f>
        <v>Bamboo Mosaic</v>
      </c>
      <c r="W113" s="174"/>
    </row>
    <row r="114">
      <c r="B114" s="169" t="str">
        <f>IFERROR(__xludf.DUMMYFUNCTION("""COMPUTED_VALUE"""),"")</f>
        <v/>
      </c>
      <c r="D114" s="170" t="str">
        <f>IFERROR(__xludf.DUMMYFUNCTION("""COMPUTED_VALUE"""),"Iceologer Should've Won")</f>
        <v>Iceologer Should've Won</v>
      </c>
      <c r="H114" s="171" t="str">
        <f>IFERROR(__xludf.DUMMYFUNCTION("""COMPUTED_VALUE"""),"Kill 100 Glow Squids")</f>
        <v>Kill 100 Glow Squids</v>
      </c>
      <c r="R114" s="54"/>
      <c r="U114" s="172" t="str">
        <f>IFERROR(__xludf.DUMMYFUNCTION("""COMPUTED_VALUE"""),"")</f>
        <v/>
      </c>
      <c r="V114" s="173" t="str">
        <f>IFERROR(__xludf.DUMMYFUNCTION("""COMPUTED_VALUE"""),"Bamboo Mosaic Slab")</f>
        <v>Bamboo Mosaic Slab</v>
      </c>
      <c r="W114" s="174"/>
    </row>
    <row r="115">
      <c r="B115" s="169" t="str">
        <f>IFERROR(__xludf.DUMMYFUNCTION("""COMPUTED_VALUE"""),"")</f>
        <v/>
      </c>
      <c r="D115" s="170" t="str">
        <f>IFERROR(__xludf.DUMMYFUNCTION("""COMPUTED_VALUE"""),"Aquarium")</f>
        <v>Aquarium</v>
      </c>
      <c r="H115" s="171" t="str">
        <f>IFERROR(__xludf.DUMMYFUNCTION("""COMPUTED_VALUE"""),"Catch all four types of fish and set them free in an aquarium (Place a cod, salmon, pufferfish and tropical fish bucket)")</f>
        <v>Catch all four types of fish and set them free in an aquarium (Place a cod, salmon, pufferfish and tropical fish bucket)</v>
      </c>
      <c r="R115" s="54"/>
      <c r="U115" s="172" t="str">
        <f>IFERROR(__xludf.DUMMYFUNCTION("""COMPUTED_VALUE"""),"")</f>
        <v/>
      </c>
      <c r="V115" s="173" t="str">
        <f>IFERROR(__xludf.DUMMYFUNCTION("""COMPUTED_VALUE"""),"Bamboo Mosaic Stairs")</f>
        <v>Bamboo Mosaic Stairs</v>
      </c>
      <c r="W115" s="174"/>
    </row>
    <row r="116">
      <c r="B116" s="169" t="str">
        <f>IFERROR(__xludf.DUMMYFUNCTION("""COMPUTED_VALUE"""),"")</f>
        <v/>
      </c>
      <c r="D116" s="170" t="str">
        <f>IFERROR(__xludf.DUMMYFUNCTION("""COMPUTED_VALUE"""),"Tropical Collection")</f>
        <v>Tropical Collection</v>
      </c>
      <c r="H116" s="171" t="str">
        <f>IFERROR(__xludf.DUMMYFUNCTION("""COMPUTED_VALUE"""),"Collect all 22 of the common types of tropical fish (See requirement notes below)")</f>
        <v>Collect all 22 of the common types of tropical fish (See requirement notes below)</v>
      </c>
      <c r="R116" s="54"/>
      <c r="U116" s="172" t="str">
        <f>IFERROR(__xludf.DUMMYFUNCTION("""COMPUTED_VALUE"""),"")</f>
        <v/>
      </c>
      <c r="V116" s="173" t="str">
        <f>IFERROR(__xludf.DUMMYFUNCTION("""COMPUTED_VALUE"""),"Bamboo Planks")</f>
        <v>Bamboo Planks</v>
      </c>
      <c r="W116" s="174"/>
    </row>
    <row r="117">
      <c r="B117" s="169" t="str">
        <f>IFERROR(__xludf.DUMMYFUNCTION("""COMPUTED_VALUE"""),"")</f>
        <v/>
      </c>
      <c r="D117" s="170" t="str">
        <f>IFERROR(__xludf.DUMMYFUNCTION("""COMPUTED_VALUE"""),"Thanks a lotl")</f>
        <v>Thanks a lotl</v>
      </c>
      <c r="H117" s="171" t="str">
        <f>IFERROR(__xludf.DUMMYFUNCTION("""COMPUTED_VALUE"""),"Feed an Axolotl within an Ocean Monument and watch it go on a Guardian killing spree (Same as The Healing Power of Friendship but both you and the Axolotl must be inside an Ocean Monument)")</f>
        <v>Feed an Axolotl within an Ocean Monument and watch it go on a Guardian killing spree (Same as The Healing Power of Friendship but both you and the Axolotl must be inside an Ocean Monument)</v>
      </c>
      <c r="R117" s="54"/>
      <c r="U117" s="172" t="str">
        <f>IFERROR(__xludf.DUMMYFUNCTION("""COMPUTED_VALUE"""),"")</f>
        <v/>
      </c>
      <c r="V117" s="173" t="str">
        <f>IFERROR(__xludf.DUMMYFUNCTION("""COMPUTED_VALUE"""),"Bamboo Pressure Plate")</f>
        <v>Bamboo Pressure Plate</v>
      </c>
      <c r="W117" s="174"/>
    </row>
    <row r="118">
      <c r="B118" s="169" t="str">
        <f>IFERROR(__xludf.DUMMYFUNCTION("""COMPUTED_VALUE"""),"")</f>
        <v/>
      </c>
      <c r="D118" s="170" t="str">
        <f>IFERROR(__xludf.DUMMYFUNCTION("""COMPUTED_VALUE"""),"Axolotl of them")</f>
        <v>Axolotl of them</v>
      </c>
      <c r="H118" s="171" t="str">
        <f>IFERROR(__xludf.DUMMYFUNCTION("""COMPUTED_VALUE"""),"Catch all variants of Axolotls inside a Bucket (Catch a Leucistic, Wild, Gold, Cyan and Blue Axolotl)")</f>
        <v>Catch all variants of Axolotls inside a Bucket (Catch a Leucistic, Wild, Gold, Cyan and Blue Axolotl)</v>
      </c>
      <c r="R118" s="54"/>
      <c r="U118" s="172" t="str">
        <f>IFERROR(__xludf.DUMMYFUNCTION("""COMPUTED_VALUE"""),"")</f>
        <v/>
      </c>
      <c r="V118" s="173" t="str">
        <f>IFERROR(__xludf.DUMMYFUNCTION("""COMPUTED_VALUE"""),"Bamboo Raft")</f>
        <v>Bamboo Raft</v>
      </c>
      <c r="W118" s="174"/>
    </row>
    <row r="119">
      <c r="B119" s="169" t="str">
        <f>IFERROR(__xludf.DUMMYFUNCTION("""COMPUTED_VALUE"""),"")</f>
        <v/>
      </c>
      <c r="D119" s="170" t="str">
        <f>IFERROR(__xludf.DUMMYFUNCTION("""COMPUTED_VALUE"""),"Totally not an AFK fisher!")</f>
        <v>Totally not an AFK fisher!</v>
      </c>
      <c r="H119" s="171" t="str">
        <f>IFERROR(__xludf.DUMMYFUNCTION("""COMPUTED_VALUE"""),"Fish out all types of items (See requirement notes below)")</f>
        <v>Fish out all types of items (See requirement notes below)</v>
      </c>
      <c r="R119" s="54"/>
      <c r="U119" s="172" t="str">
        <f>IFERROR(__xludf.DUMMYFUNCTION("""COMPUTED_VALUE"""),"")</f>
        <v/>
      </c>
      <c r="V119" s="173" t="str">
        <f>IFERROR(__xludf.DUMMYFUNCTION("""COMPUTED_VALUE"""),"Bamboo Sign")</f>
        <v>Bamboo Sign</v>
      </c>
      <c r="W119" s="174"/>
    </row>
    <row r="120">
      <c r="B120" s="169" t="str">
        <f>IFERROR(__xludf.DUMMYFUNCTION("""COMPUTED_VALUE"""),"")</f>
        <v/>
      </c>
      <c r="D120" s="170" t="str">
        <f>IFERROR(__xludf.DUMMYFUNCTION("""COMPUTED_VALUE"""),"Dead Really Don’t Die")</f>
        <v>Dead Really Don’t Die</v>
      </c>
      <c r="H120" s="171" t="str">
        <f>IFERROR(__xludf.DUMMYFUNCTION("""COMPUTED_VALUE"""),"Give a zombie a Totem... so that you have to kill it twice (Have a zombie pick up a Totem of Undying that you dropped)")</f>
        <v>Give a zombie a Totem... so that you have to kill it twice (Have a zombie pick up a Totem of Undying that you dropped)</v>
      </c>
      <c r="R120" s="54"/>
      <c r="U120" s="172" t="str">
        <f>IFERROR(__xludf.DUMMYFUNCTION("""COMPUTED_VALUE"""),"")</f>
        <v/>
      </c>
      <c r="V120" s="173" t="str">
        <f>IFERROR(__xludf.DUMMYFUNCTION("""COMPUTED_VALUE"""),"Bamboo Slab")</f>
        <v>Bamboo Slab</v>
      </c>
      <c r="W120" s="174"/>
    </row>
    <row r="121">
      <c r="B121" s="169" t="str">
        <f>IFERROR(__xludf.DUMMYFUNCTION("""COMPUTED_VALUE"""),"")</f>
        <v/>
      </c>
      <c r="D121" s="170" t="str">
        <f>IFERROR(__xludf.DUMMYFUNCTION("""COMPUTED_VALUE"""),"Freezing")</f>
        <v>Freezing</v>
      </c>
      <c r="H121" s="171" t="str">
        <f>IFERROR(__xludf.DUMMYFUNCTION("""COMPUTED_VALUE"""),"Bring a husk to a tundra biome and then kill it (Kill a husk in a snowy tundra or ice spikes biome above y-level 56)")</f>
        <v>Bring a husk to a tundra biome and then kill it (Kill a husk in a snowy tundra or ice spikes biome above y-level 56)</v>
      </c>
      <c r="R121" s="54"/>
      <c r="U121" s="172" t="str">
        <f>IFERROR(__xludf.DUMMYFUNCTION("""COMPUTED_VALUE"""),"")</f>
        <v/>
      </c>
      <c r="V121" s="173" t="str">
        <f>IFERROR(__xludf.DUMMYFUNCTION("""COMPUTED_VALUE"""),"Bamboo Stairs")</f>
        <v>Bamboo Stairs</v>
      </c>
      <c r="W121" s="174"/>
    </row>
    <row r="122">
      <c r="B122" s="169" t="str">
        <f>IFERROR(__xludf.DUMMYFUNCTION("""COMPUTED_VALUE"""),"")</f>
        <v/>
      </c>
      <c r="D122" s="170" t="str">
        <f>IFERROR(__xludf.DUMMYFUNCTION("""COMPUTED_VALUE"""),"Family Reunion")</f>
        <v>Family Reunion</v>
      </c>
      <c r="H122" s="171" t="str">
        <f>IFERROR(__xludf.DUMMYFUNCTION("""COMPUTED_VALUE"""),"Reunite all zombie variants (and their baby forms) in one place (See requirement notes below)")</f>
        <v>Reunite all zombie variants (and their baby forms) in one place (See requirement notes below)</v>
      </c>
      <c r="R122" s="54"/>
      <c r="U122" s="172" t="str">
        <f>IFERROR(__xludf.DUMMYFUNCTION("""COMPUTED_VALUE"""),"")</f>
        <v/>
      </c>
      <c r="V122" s="173" t="str">
        <f>IFERROR(__xludf.DUMMYFUNCTION("""COMPUTED_VALUE"""),"Bamboo Trapdoor")</f>
        <v>Bamboo Trapdoor</v>
      </c>
      <c r="W122" s="174"/>
    </row>
    <row r="123">
      <c r="B123" s="169" t="str">
        <f>IFERROR(__xludf.DUMMYFUNCTION("""COMPUTED_VALUE"""),"")</f>
        <v/>
      </c>
      <c r="D123" s="170" t="str">
        <f>IFERROR(__xludf.DUMMYFUNCTION("""COMPUTED_VALUE"""),"Custom Boss Fight!")</f>
        <v>Custom Boss Fight!</v>
      </c>
      <c r="H123" s="171" t="str">
        <f>IFERROR(__xludf.DUMMYFUNCTION("""COMPUTED_VALUE"""),"Give a zombie full diamond armor and a diamond sword... then kill it")</f>
        <v>Give a zombie full diamond armor and a diamond sword... then kill it</v>
      </c>
      <c r="R123" s="54"/>
      <c r="U123" s="172" t="str">
        <f>IFERROR(__xludf.DUMMYFUNCTION("""COMPUTED_VALUE"""),"")</f>
        <v/>
      </c>
      <c r="V123" s="173" t="str">
        <f>IFERROR(__xludf.DUMMYFUNCTION("""COMPUTED_VALUE"""),"Barrel")</f>
        <v>Barrel</v>
      </c>
      <c r="W123" s="174"/>
    </row>
    <row r="124">
      <c r="B124" s="169" t="str">
        <f>IFERROR(__xludf.DUMMYFUNCTION("""COMPUTED_VALUE"""),"")</f>
        <v/>
      </c>
      <c r="D124" s="170" t="str">
        <f>IFERROR(__xludf.DUMMYFUNCTION("""COMPUTED_VALUE"""),"Trick or Treat!")</f>
        <v>Trick or Treat!</v>
      </c>
      <c r="H124" s="171" t="str">
        <f>IFERROR(__xludf.DUMMYFUNCTION("""COMPUTED_VALUE"""),"Defeat a mob wearing a pumpkin")</f>
        <v>Defeat a mob wearing a pumpkin</v>
      </c>
      <c r="R124" s="54"/>
      <c r="U124" s="172" t="str">
        <f>IFERROR(__xludf.DUMMYFUNCTION("""COMPUTED_VALUE"""),"")</f>
        <v/>
      </c>
      <c r="V124" s="173" t="str">
        <f>IFERROR(__xludf.DUMMYFUNCTION("""COMPUTED_VALUE"""),"Basalt")</f>
        <v>Basalt</v>
      </c>
      <c r="W124" s="174"/>
    </row>
    <row r="125">
      <c r="B125" s="169" t="str">
        <f>IFERROR(__xludf.DUMMYFUNCTION("""COMPUTED_VALUE"""),"")</f>
        <v/>
      </c>
      <c r="D125" s="170" t="str">
        <f>IFERROR(__xludf.DUMMYFUNCTION("""COMPUTED_VALUE"""),"Melting")</f>
        <v>Melting</v>
      </c>
      <c r="H125" s="171" t="str">
        <f>IFERROR(__xludf.DUMMYFUNCTION("""COMPUTED_VALUE"""),"Bring a stray to a desert biome and then kill it (Kill a stray in a desert biome above y-level 56)")</f>
        <v>Bring a stray to a desert biome and then kill it (Kill a stray in a desert biome above y-level 56)</v>
      </c>
      <c r="R125" s="54"/>
      <c r="U125" s="172" t="str">
        <f>IFERROR(__xludf.DUMMYFUNCTION("""COMPUTED_VALUE"""),"")</f>
        <v/>
      </c>
      <c r="V125" s="173" t="str">
        <f>IFERROR(__xludf.DUMMYFUNCTION("""COMPUTED_VALUE"""),"Beacon")</f>
        <v>Beacon</v>
      </c>
      <c r="W125" s="174"/>
    </row>
    <row r="126">
      <c r="B126" s="169" t="str">
        <f>IFERROR(__xludf.DUMMYFUNCTION("""COMPUTED_VALUE"""),"")</f>
        <v/>
      </c>
      <c r="D126" s="170" t="str">
        <f>IFERROR(__xludf.DUMMYFUNCTION("""COMPUTED_VALUE"""),"Bone-to-party")</f>
        <v>Bone-to-party</v>
      </c>
      <c r="H126" s="171" t="str">
        <f>IFERROR(__xludf.DUMMYFUNCTION("""COMPUTED_VALUE"""),"Reunite all skeleton variants and their three-headed overlord in one place (See requirement notes below)")</f>
        <v>Reunite all skeleton variants and their three-headed overlord in one place (See requirement notes below)</v>
      </c>
      <c r="R126" s="54"/>
      <c r="U126" s="172" t="str">
        <f>IFERROR(__xludf.DUMMYFUNCTION("""COMPUTED_VALUE"""),"")</f>
        <v/>
      </c>
      <c r="V126" s="173" t="str">
        <f>IFERROR(__xludf.DUMMYFUNCTION("""COMPUTED_VALUE"""),"Bee Nest")</f>
        <v>Bee Nest</v>
      </c>
      <c r="W126" s="174"/>
    </row>
    <row r="127">
      <c r="B127" s="169" t="str">
        <f>IFERROR(__xludf.DUMMYFUNCTION("""COMPUTED_VALUE"""),"")</f>
        <v/>
      </c>
      <c r="D127" s="170" t="str">
        <f>IFERROR(__xludf.DUMMYFUNCTION("""COMPUTED_VALUE"""),"The Ghastly Eyes")</f>
        <v>The Ghastly Eyes</v>
      </c>
      <c r="H127" s="171" t="str">
        <f>IFERROR(__xludf.DUMMYFUNCTION("""COMPUTED_VALUE"""),"Kill an invisible spider (Kill an invisible spider or cave spider)")</f>
        <v>Kill an invisible spider (Kill an invisible spider or cave spider)</v>
      </c>
      <c r="R127" s="54"/>
      <c r="U127" s="172" t="str">
        <f>IFERROR(__xludf.DUMMYFUNCTION("""COMPUTED_VALUE"""),"")</f>
        <v/>
      </c>
      <c r="V127" s="173" t="str">
        <f>IFERROR(__xludf.DUMMYFUNCTION("""COMPUTED_VALUE"""),"Beef")</f>
        <v>Beef</v>
      </c>
      <c r="W127" s="174"/>
    </row>
    <row r="128">
      <c r="B128" s="169" t="str">
        <f>IFERROR(__xludf.DUMMYFUNCTION("""COMPUTED_VALUE"""),"")</f>
        <v/>
      </c>
      <c r="D128" s="170" t="str">
        <f>IFERROR(__xludf.DUMMYFUNCTION("""COMPUTED_VALUE"""),"Pupil Poppers")</f>
        <v>Pupil Poppers</v>
      </c>
      <c r="H128" s="171" t="str">
        <f>IFERROR(__xludf.DUMMYFUNCTION("""COMPUTED_VALUE"""),"Eat 1000 Spider Eyes")</f>
        <v>Eat 1000 Spider Eyes</v>
      </c>
      <c r="R128" s="54"/>
      <c r="U128" s="172" t="str">
        <f>IFERROR(__xludf.DUMMYFUNCTION("""COMPUTED_VALUE"""),"")</f>
        <v/>
      </c>
      <c r="V128" s="173" t="str">
        <f>IFERROR(__xludf.DUMMYFUNCTION("""COMPUTED_VALUE"""),"Beehive")</f>
        <v>Beehive</v>
      </c>
      <c r="W128" s="174"/>
    </row>
    <row r="129">
      <c r="B129" s="169" t="str">
        <f>IFERROR(__xludf.DUMMYFUNCTION("""COMPUTED_VALUE"""),"")</f>
        <v/>
      </c>
      <c r="D129" s="170" t="str">
        <f>IFERROR(__xludf.DUMMYFUNCTION("""COMPUTED_VALUE"""),"Camouflage")</f>
        <v>Camouflage</v>
      </c>
      <c r="H129" s="171" t="str">
        <f>IFERROR(__xludf.DUMMYFUNCTION("""COMPUTED_VALUE"""),"Kill a mob while wearing the same type of mob head (This works for: Creepers, Zombies, Skeletons, Wither Skeletons and Piglins)")</f>
        <v>Kill a mob while wearing the same type of mob head (This works for: Creepers, Zombies, Skeletons, Wither Skeletons and Piglins)</v>
      </c>
      <c r="R129" s="54"/>
      <c r="U129" s="172" t="str">
        <f>IFERROR(__xludf.DUMMYFUNCTION("""COMPUTED_VALUE"""),"")</f>
        <v/>
      </c>
      <c r="V129" s="173" t="str">
        <f>IFERROR(__xludf.DUMMYFUNCTION("""COMPUTED_VALUE"""),"Beetroot")</f>
        <v>Beetroot</v>
      </c>
      <c r="W129" s="174"/>
    </row>
    <row r="130">
      <c r="B130" s="169" t="str">
        <f>IFERROR(__xludf.DUMMYFUNCTION("""COMPUTED_VALUE"""),"")</f>
        <v/>
      </c>
      <c r="D130" s="170" t="str">
        <f>IFERROR(__xludf.DUMMYFUNCTION("""COMPUTED_VALUE"""),"Plane Walker")</f>
        <v>Plane Walker</v>
      </c>
      <c r="H130" s="171" t="str">
        <f>IFERROR(__xludf.DUMMYFUNCTION("""COMPUTED_VALUE"""),"Find and kill an enderman in all three dimensions")</f>
        <v>Find and kill an enderman in all three dimensions</v>
      </c>
      <c r="R130" s="54"/>
      <c r="U130" s="172" t="str">
        <f>IFERROR(__xludf.DUMMYFUNCTION("""COMPUTED_VALUE"""),"")</f>
        <v/>
      </c>
      <c r="V130" s="173" t="str">
        <f>IFERROR(__xludf.DUMMYFUNCTION("""COMPUTED_VALUE"""),"Beetroot Seeds")</f>
        <v>Beetroot Seeds</v>
      </c>
      <c r="W130" s="174"/>
    </row>
    <row r="131">
      <c r="B131" s="169" t="str">
        <f>IFERROR(__xludf.DUMMYFUNCTION("""COMPUTED_VALUE"""),"")</f>
        <v/>
      </c>
      <c r="D131" s="170" t="str">
        <f>IFERROR(__xludf.DUMMYFUNCTION("""COMPUTED_VALUE"""),"Basketblock Championship")</f>
        <v>Basketblock Championship</v>
      </c>
      <c r="H131" s="171" t="str">
        <f>IFERROR(__xludf.DUMMYFUNCTION("""COMPUTED_VALUE"""),"Kill Endermen that are holding every block that they can hold (See requirement notes below)")</f>
        <v>Kill Endermen that are holding every block that they can hold (See requirement notes below)</v>
      </c>
      <c r="R131" s="54"/>
      <c r="U131" s="172" t="str">
        <f>IFERROR(__xludf.DUMMYFUNCTION("""COMPUTED_VALUE"""),"")</f>
        <v/>
      </c>
      <c r="V131" s="173" t="str">
        <f>IFERROR(__xludf.DUMMYFUNCTION("""COMPUTED_VALUE"""),"Beetroot Soup")</f>
        <v>Beetroot Soup</v>
      </c>
      <c r="W131" s="174"/>
    </row>
    <row r="132">
      <c r="B132" s="169" t="str">
        <f>IFERROR(__xludf.DUMMYFUNCTION("""COMPUTED_VALUE"""),"")</f>
        <v/>
      </c>
      <c r="D132" s="170" t="str">
        <f>IFERROR(__xludf.DUMMYFUNCTION("""COMPUTED_VALUE"""),"Miracle Drink")</f>
        <v>Miracle Drink</v>
      </c>
      <c r="H132" s="171" t="str">
        <f>IFERROR(__xludf.DUMMYFUNCTION("""COMPUTED_VALUE"""),"Drink milk or honey to cure poison when on half a heart (Drink milk or honey when poisoned AND on half a heart of health)")</f>
        <v>Drink milk or honey to cure poison when on half a heart (Drink milk or honey when poisoned AND on half a heart of health)</v>
      </c>
      <c r="R132" s="54"/>
      <c r="U132" s="172" t="str">
        <f>IFERROR(__xludf.DUMMYFUNCTION("""COMPUTED_VALUE"""),"")</f>
        <v/>
      </c>
      <c r="V132" s="173" t="str">
        <f>IFERROR(__xludf.DUMMYFUNCTION("""COMPUTED_VALUE"""),"Bell")</f>
        <v>Bell</v>
      </c>
      <c r="W132" s="174"/>
    </row>
    <row r="133">
      <c r="B133" s="169" t="str">
        <f>IFERROR(__xludf.DUMMYFUNCTION("""COMPUTED_VALUE"""),"")</f>
        <v/>
      </c>
      <c r="D133" s="170" t="str">
        <f>IFERROR(__xludf.DUMMYFUNCTION("""COMPUTED_VALUE"""),"Trampoline")</f>
        <v>Trampoline</v>
      </c>
      <c r="H133" s="171" t="str">
        <f>IFERROR(__xludf.DUMMYFUNCTION("""COMPUTED_VALUE"""),"Bounce onto a slime block from at least 30 blocks high (Land on a slime block after falling at least 30 blocks)")</f>
        <v>Bounce onto a slime block from at least 30 blocks high (Land on a slime block after falling at least 30 blocks)</v>
      </c>
      <c r="R133" s="54"/>
      <c r="U133" s="172" t="str">
        <f>IFERROR(__xludf.DUMMYFUNCTION("""COMPUTED_VALUE"""),"")</f>
        <v/>
      </c>
      <c r="V133" s="173" t="str">
        <f>IFERROR(__xludf.DUMMYFUNCTION("""COMPUTED_VALUE"""),"Big Dripleaf")</f>
        <v>Big Dripleaf</v>
      </c>
      <c r="W133" s="174"/>
    </row>
    <row r="134">
      <c r="B134" s="169" t="str">
        <f>IFERROR(__xludf.DUMMYFUNCTION("""COMPUTED_VALUE"""),"")</f>
        <v/>
      </c>
      <c r="D134" s="170" t="str">
        <f>IFERROR(__xludf.DUMMYFUNCTION("""COMPUTED_VALUE"""),"Anti-Air")</f>
        <v>Anti-Air</v>
      </c>
      <c r="H134" s="171" t="str">
        <f>IFERROR(__xludf.DUMMYFUNCTION("""COMPUTED_VALUE"""),"Shoot down a phantom with a bow from 30 blocks away (Kill a Phantom from at least 30 blocks away)")</f>
        <v>Shoot down a phantom with a bow from 30 blocks away (Kill a Phantom from at least 30 blocks away)</v>
      </c>
      <c r="R134" s="54"/>
      <c r="U134" s="172" t="str">
        <f>IFERROR(__xludf.DUMMYFUNCTION("""COMPUTED_VALUE"""),"")</f>
        <v/>
      </c>
      <c r="V134" s="173" t="str">
        <f>IFERROR(__xludf.DUMMYFUNCTION("""COMPUTED_VALUE"""),"Birch Boat")</f>
        <v>Birch Boat</v>
      </c>
      <c r="W134" s="174"/>
    </row>
    <row r="135">
      <c r="B135" s="169" t="str">
        <f>IFERROR(__xludf.DUMMYFUNCTION("""COMPUTED_VALUE"""),"")</f>
        <v/>
      </c>
      <c r="D135" s="170" t="str">
        <f>IFERROR(__xludf.DUMMYFUNCTION("""COMPUTED_VALUE"""),"Two Birds, One Arrow")</f>
        <v>Two Birds, One Arrow</v>
      </c>
      <c r="H135" s="171" t="str">
        <f>IFERROR(__xludf.DUMMYFUNCTION("""COMPUTED_VALUE"""),"Kill two Phantoms with a piercing arrow (Kill two Phantoms with the same piercing arrow from a crossbow)")</f>
        <v>Kill two Phantoms with a piercing arrow (Kill two Phantoms with the same piercing arrow from a crossbow)</v>
      </c>
      <c r="R135" s="54"/>
      <c r="U135" s="172" t="str">
        <f>IFERROR(__xludf.DUMMYFUNCTION("""COMPUTED_VALUE"""),"")</f>
        <v/>
      </c>
      <c r="V135" s="173" t="str">
        <f>IFERROR(__xludf.DUMMYFUNCTION("""COMPUTED_VALUE"""),"Birch Button")</f>
        <v>Birch Button</v>
      </c>
      <c r="W135" s="174"/>
    </row>
    <row r="136">
      <c r="B136" s="169" t="str">
        <f>IFERROR(__xludf.DUMMYFUNCTION("""COMPUTED_VALUE"""),"")</f>
        <v/>
      </c>
      <c r="D136" s="170" t="str">
        <f>IFERROR(__xludf.DUMMYFUNCTION("""COMPUTED_VALUE"""),"Warden Frostbite")</f>
        <v>Warden Frostbite</v>
      </c>
      <c r="H136" s="171" t="str">
        <f>IFERROR(__xludf.DUMMYFUNCTION("""COMPUTED_VALUE"""),"Bring a Warden to the surface of a snowy plains biome and kill it (Kill a Warden in a Snowy Plains or Ice Spikes biome above y-level 64)")</f>
        <v>Bring a Warden to the surface of a snowy plains biome and kill it (Kill a Warden in a Snowy Plains or Ice Spikes biome above y-level 64)</v>
      </c>
      <c r="R136" s="54"/>
      <c r="U136" s="172" t="str">
        <f>IFERROR(__xludf.DUMMYFUNCTION("""COMPUTED_VALUE"""),"")</f>
        <v/>
      </c>
      <c r="V136" s="173" t="str">
        <f>IFERROR(__xludf.DUMMYFUNCTION("""COMPUTED_VALUE"""),"Birch Chest Boat")</f>
        <v>Birch Chest Boat</v>
      </c>
      <c r="W136" s="174"/>
    </row>
    <row r="137">
      <c r="B137" s="169" t="str">
        <f>IFERROR(__xludf.DUMMYFUNCTION("""COMPUTED_VALUE"""),"")</f>
        <v/>
      </c>
      <c r="D137" s="170" t="str">
        <f>IFERROR(__xludf.DUMMYFUNCTION("""COMPUTED_VALUE"""),"Maximum Resistance")</f>
        <v>Maximum Resistance</v>
      </c>
      <c r="H137" s="171" t="str">
        <f>IFERROR(__xludf.DUMMYFUNCTION("""COMPUTED_VALUE"""),"Take a hit from the Warden with the maximum possible protection (Take damage from a Warden while wearing full Netherite Armor enchanted with Protection IV and are under the Resistance IV effect (from a Turtle Master potion))")</f>
        <v>Take a hit from the Warden with the maximum possible protection (Take damage from a Warden while wearing full Netherite Armor enchanted with Protection IV and are under the Resistance IV effect (from a Turtle Master potion))</v>
      </c>
      <c r="R137" s="54"/>
      <c r="U137" s="172" t="str">
        <f>IFERROR(__xludf.DUMMYFUNCTION("""COMPUTED_VALUE"""),"")</f>
        <v/>
      </c>
      <c r="V137" s="173" t="str">
        <f>IFERROR(__xludf.DUMMYFUNCTION("""COMPUTED_VALUE"""),"Birch Door")</f>
        <v>Birch Door</v>
      </c>
      <c r="W137" s="174"/>
    </row>
    <row r="138">
      <c r="B138" s="169" t="str">
        <f>IFERROR(__xludf.DUMMYFUNCTION("""COMPUTED_VALUE"""),"")</f>
        <v/>
      </c>
      <c r="D138" s="170" t="str">
        <f>IFERROR(__xludf.DUMMYFUNCTION("""COMPUTED_VALUE"""),"Not Afraid of Heights")</f>
        <v>Not Afraid of Heights</v>
      </c>
      <c r="H138" s="171" t="str">
        <f>IFERROR(__xludf.DUMMYFUNCTION("""COMPUTED_VALUE"""),"Bring a Warden to world height. It can’t be afraid of heights if it can’t see (Have a Warden at y-level 319 or above within 10 blocks of you)")</f>
        <v>Bring a Warden to world height. It can’t be afraid of heights if it can’t see (Have a Warden at y-level 319 or above within 10 blocks of you)</v>
      </c>
      <c r="R138" s="54"/>
      <c r="U138" s="172" t="str">
        <f>IFERROR(__xludf.DUMMYFUNCTION("""COMPUTED_VALUE"""),"")</f>
        <v/>
      </c>
      <c r="V138" s="173" t="str">
        <f>IFERROR(__xludf.DUMMYFUNCTION("""COMPUTED_VALUE"""),"Birch Fence")</f>
        <v>Birch Fence</v>
      </c>
      <c r="W138" s="174"/>
    </row>
    <row r="139">
      <c r="B139" s="169" t="str">
        <f>IFERROR(__xludf.DUMMYFUNCTION("""COMPUTED_VALUE"""),"")</f>
        <v/>
      </c>
      <c r="D139" s="170" t="str">
        <f>IFERROR(__xludf.DUMMYFUNCTION("""COMPUTED_VALUE"""),"House of Freaks")</f>
        <v>House of Freaks</v>
      </c>
      <c r="H139" s="171" t="str">
        <f>IFERROR(__xludf.DUMMYFUNCTION("""COMPUTED_VALUE"""),"Summon five Wardens and have them all be within 16 blocks of the player")</f>
        <v>Summon five Wardens and have them all be within 16 blocks of the player</v>
      </c>
      <c r="R139" s="54"/>
      <c r="U139" s="172" t="str">
        <f>IFERROR(__xludf.DUMMYFUNCTION("""COMPUTED_VALUE"""),"")</f>
        <v/>
      </c>
      <c r="V139" s="173" t="str">
        <f>IFERROR(__xludf.DUMMYFUNCTION("""COMPUTED_VALUE"""),"Birch Fence Gate")</f>
        <v>Birch Fence Gate</v>
      </c>
      <c r="W139" s="174"/>
    </row>
    <row r="140">
      <c r="B140" s="169" t="str">
        <f>IFERROR(__xludf.DUMMYFUNCTION("""COMPUTED_VALUE"""),"")</f>
        <v/>
      </c>
      <c r="D140" s="170" t="str">
        <f>IFERROR(__xludf.DUMMYFUNCTION("""COMPUTED_VALUE"""),"Point Blank")</f>
        <v>Point Blank</v>
      </c>
      <c r="H140" s="171" t="str">
        <f>IFERROR(__xludf.DUMMYFUNCTION("""COMPUTED_VALUE"""),"Shoot a mob at point-blank range (Shoot a mob with an arrow from less than 2 blocks away)")</f>
        <v>Shoot a mob at point-blank range (Shoot a mob with an arrow from less than 2 blocks away)</v>
      </c>
      <c r="R140" s="54"/>
      <c r="U140" s="172" t="str">
        <f>IFERROR(__xludf.DUMMYFUNCTION("""COMPUTED_VALUE"""),"")</f>
        <v/>
      </c>
      <c r="V140" s="173" t="str">
        <f>IFERROR(__xludf.DUMMYFUNCTION("""COMPUTED_VALUE"""),"Birch Hanging Sign")</f>
        <v>Birch Hanging Sign</v>
      </c>
      <c r="W140" s="174"/>
    </row>
    <row r="141">
      <c r="B141" s="169" t="str">
        <f>IFERROR(__xludf.DUMMYFUNCTION("""COMPUTED_VALUE"""),"")</f>
        <v/>
      </c>
      <c r="D141" s="170" t="str">
        <f>IFERROR(__xludf.DUMMYFUNCTION("""COMPUTED_VALUE"""),"Bow Spammer")</f>
        <v>Bow Spammer</v>
      </c>
      <c r="H141" s="171" t="str">
        <f>IFERROR(__xludf.DUMMYFUNCTION("""COMPUTED_VALUE"""),"Take out a mob by bow-spamming (Deal less than 1 damage with an arrow)")</f>
        <v>Take out a mob by bow-spamming (Deal less than 1 damage with an arrow)</v>
      </c>
      <c r="R141" s="54"/>
      <c r="U141" s="172" t="str">
        <f>IFERROR(__xludf.DUMMYFUNCTION("""COMPUTED_VALUE"""),"")</f>
        <v/>
      </c>
      <c r="V141" s="173" t="str">
        <f>IFERROR(__xludf.DUMMYFUNCTION("""COMPUTED_VALUE"""),"Birch Leaves")</f>
        <v>Birch Leaves</v>
      </c>
      <c r="W141" s="174"/>
    </row>
    <row r="142">
      <c r="B142" s="169" t="str">
        <f>IFERROR(__xludf.DUMMYFUNCTION("""COMPUTED_VALUE"""),"")</f>
        <v/>
      </c>
      <c r="D142" s="170" t="str">
        <f>IFERROR(__xludf.DUMMYFUNCTION("""COMPUTED_VALUE"""),"Sniper Duel")</f>
        <v>Sniper Duel</v>
      </c>
      <c r="H142" s="171" t="str">
        <f>IFERROR(__xludf.DUMMYFUNCTION("""COMPUTED_VALUE"""),"Kill a skeleton with an arrow from more than 50 metres (Kill a skeleton or stray with an arrow from at least 50 metres)")</f>
        <v>Kill a skeleton with an arrow from more than 50 metres (Kill a skeleton or stray with an arrow from at least 50 metres)</v>
      </c>
      <c r="R142" s="54"/>
      <c r="U142" s="172" t="str">
        <f>IFERROR(__xludf.DUMMYFUNCTION("""COMPUTED_VALUE"""),"")</f>
        <v/>
      </c>
      <c r="V142" s="173" t="str">
        <f>IFERROR(__xludf.DUMMYFUNCTION("""COMPUTED_VALUE"""),"Birch Log")</f>
        <v>Birch Log</v>
      </c>
      <c r="W142" s="174"/>
    </row>
    <row r="143">
      <c r="B143" s="169" t="str">
        <f>IFERROR(__xludf.DUMMYFUNCTION("""COMPUTED_VALUE"""),"")</f>
        <v/>
      </c>
      <c r="D143" s="170" t="str">
        <f>IFERROR(__xludf.DUMMYFUNCTION("""COMPUTED_VALUE"""),"The Mighty Hunter")</f>
        <v>The Mighty Hunter</v>
      </c>
      <c r="H143" s="171" t="str">
        <f>IFERROR(__xludf.DUMMYFUNCTION("""COMPUTED_VALUE"""),"Hunt all types of land animals with your bow (See requirement notes below)")</f>
        <v>Hunt all types of land animals with your bow (See requirement notes below)</v>
      </c>
      <c r="R143" s="54"/>
      <c r="U143" s="172" t="str">
        <f>IFERROR(__xludf.DUMMYFUNCTION("""COMPUTED_VALUE"""),"")</f>
        <v/>
      </c>
      <c r="V143" s="173" t="str">
        <f>IFERROR(__xludf.DUMMYFUNCTION("""COMPUTED_VALUE"""),"Birch Planks")</f>
        <v>Birch Planks</v>
      </c>
      <c r="W143" s="174"/>
    </row>
    <row r="144">
      <c r="B144" s="169" t="str">
        <f>IFERROR(__xludf.DUMMYFUNCTION("""COMPUTED_VALUE"""),"")</f>
        <v/>
      </c>
      <c r="D144" s="170" t="str">
        <f>IFERROR(__xludf.DUMMYFUNCTION("""COMPUTED_VALUE"""),"There it goes…")</f>
        <v>There it goes…</v>
      </c>
      <c r="H144" s="171" t="str">
        <f>IFERROR(__xludf.DUMMYFUNCTION("""COMPUTED_VALUE"""),"Kill a mob at the bottom of the world from the build limit using any kind of projectile (Using any projectile, kill a mob at y-level -59.5 or lower while you are at y-level 319 or higher (in the Overworld) or y-level 255 or higher (in the Nether or End))")</f>
        <v>Kill a mob at the bottom of the world from the build limit using any kind of projectile (Using any projectile, kill a mob at y-level -59.5 or lower while you are at y-level 319 or higher (in the Overworld) or y-level 255 or higher (in the Nether or End))</v>
      </c>
      <c r="R144" s="54"/>
      <c r="U144" s="172" t="str">
        <f>IFERROR(__xludf.DUMMYFUNCTION("""COMPUTED_VALUE"""),"")</f>
        <v/>
      </c>
      <c r="V144" s="173" t="str">
        <f>IFERROR(__xludf.DUMMYFUNCTION("""COMPUTED_VALUE"""),"Birch Pressure Plate")</f>
        <v>Birch Pressure Plate</v>
      </c>
      <c r="W144" s="174"/>
    </row>
    <row r="145">
      <c r="B145" s="169" t="str">
        <f>IFERROR(__xludf.DUMMYFUNCTION("""COMPUTED_VALUE"""),"")</f>
        <v/>
      </c>
      <c r="D145" s="170" t="str">
        <f>IFERROR(__xludf.DUMMYFUNCTION("""COMPUTED_VALUE"""),"Artillery")</f>
        <v>Artillery</v>
      </c>
      <c r="H145" s="171" t="str">
        <f>IFERROR(__xludf.DUMMYFUNCTION("""COMPUTED_VALUE"""),"Have nine loaded crossbows in your hotbar. All set!")</f>
        <v>Have nine loaded crossbows in your hotbar. All set!</v>
      </c>
      <c r="R145" s="54"/>
      <c r="U145" s="172" t="str">
        <f>IFERROR(__xludf.DUMMYFUNCTION("""COMPUTED_VALUE"""),"")</f>
        <v/>
      </c>
      <c r="V145" s="173" t="str">
        <f>IFERROR(__xludf.DUMMYFUNCTION("""COMPUTED_VALUE"""),"Birch Sapling")</f>
        <v>Birch Sapling</v>
      </c>
      <c r="W145" s="174"/>
    </row>
    <row r="146">
      <c r="B146" s="169" t="str">
        <f>IFERROR(__xludf.DUMMYFUNCTION("""COMPUTED_VALUE"""),"")</f>
        <v/>
      </c>
      <c r="D146" s="170" t="str">
        <f>IFERROR(__xludf.DUMMYFUNCTION("""COMPUTED_VALUE"""),"Pyrotechnic")</f>
        <v>Pyrotechnic</v>
      </c>
      <c r="H146" s="171" t="str">
        <f>IFERROR(__xludf.DUMMYFUNCTION("""COMPUTED_VALUE"""),"Craft a firework of every shape and additional effect (See requirement notes below)")</f>
        <v>Craft a firework of every shape and additional effect (See requirement notes below)</v>
      </c>
      <c r="R146" s="54"/>
      <c r="U146" s="172" t="str">
        <f>IFERROR(__xludf.DUMMYFUNCTION("""COMPUTED_VALUE"""),"")</f>
        <v/>
      </c>
      <c r="V146" s="173" t="str">
        <f>IFERROR(__xludf.DUMMYFUNCTION("""COMPUTED_VALUE"""),"Birch Sign")</f>
        <v>Birch Sign</v>
      </c>
      <c r="W146" s="174"/>
    </row>
    <row r="147">
      <c r="B147" s="169" t="str">
        <f>IFERROR(__xludf.DUMMYFUNCTION("""COMPUTED_VALUE"""),"")</f>
        <v/>
      </c>
      <c r="D147" s="170" t="str">
        <f>IFERROR(__xludf.DUMMYFUNCTION("""COMPUTED_VALUE"""),"Master Shieldsman")</f>
        <v>Master Shieldsman</v>
      </c>
      <c r="H147" s="171" t="str">
        <f>IFERROR(__xludf.DUMMYFUNCTION("""COMPUTED_VALUE"""),"Deflect an attack from every hostile monster (See requirement notes below)")</f>
        <v>Deflect an attack from every hostile monster (See requirement notes below)</v>
      </c>
      <c r="R147" s="54"/>
      <c r="U147" s="172" t="str">
        <f>IFERROR(__xludf.DUMMYFUNCTION("""COMPUTED_VALUE"""),"")</f>
        <v/>
      </c>
      <c r="V147" s="173" t="str">
        <f>IFERROR(__xludf.DUMMYFUNCTION("""COMPUTED_VALUE"""),"Birch Slab")</f>
        <v>Birch Slab</v>
      </c>
      <c r="W147" s="174"/>
    </row>
    <row r="148">
      <c r="B148" s="169" t="str">
        <f>IFERROR(__xludf.DUMMYFUNCTION("""COMPUTED_VALUE"""),"")</f>
        <v/>
      </c>
      <c r="D148" s="170" t="str">
        <f>IFERROR(__xludf.DUMMYFUNCTION("""COMPUTED_VALUE"""),"Spleaf")</f>
        <v>Spleaf</v>
      </c>
      <c r="H148" s="171" t="str">
        <f>IFERROR(__xludf.DUMMYFUNCTION("""COMPUTED_VALUE"""),"Kill a mob using a shovel while both of you are standing on a Big Dripleaf")</f>
        <v>Kill a mob using a shovel while both of you are standing on a Big Dripleaf</v>
      </c>
      <c r="R148" s="54"/>
      <c r="U148" s="172" t="str">
        <f>IFERROR(__xludf.DUMMYFUNCTION("""COMPUTED_VALUE"""),"")</f>
        <v/>
      </c>
      <c r="V148" s="173" t="str">
        <f>IFERROR(__xludf.DUMMYFUNCTION("""COMPUTED_VALUE"""),"Birch Stairs")</f>
        <v>Birch Stairs</v>
      </c>
      <c r="W148" s="174"/>
    </row>
    <row r="149">
      <c r="B149" s="169" t="str">
        <f>IFERROR(__xludf.DUMMYFUNCTION("""COMPUTED_VALUE"""),"")</f>
        <v/>
      </c>
      <c r="D149" s="170" t="str">
        <f>IFERROR(__xludf.DUMMYFUNCTION("""COMPUTED_VALUE"""),"Multiclassed")</f>
        <v>Multiclassed</v>
      </c>
      <c r="H149" s="171" t="str">
        <f>IFERROR(__xludf.DUMMYFUNCTION("""COMPUTED_VALUE"""),"Hit a mob with every type of weapon (See requirement notes below)")</f>
        <v>Hit a mob with every type of weapon (See requirement notes below)</v>
      </c>
      <c r="R149" s="54"/>
      <c r="U149" s="172" t="str">
        <f>IFERROR(__xludf.DUMMYFUNCTION("""COMPUTED_VALUE"""),"")</f>
        <v/>
      </c>
      <c r="V149" s="173" t="str">
        <f>IFERROR(__xludf.DUMMYFUNCTION("""COMPUTED_VALUE"""),"Birch Trapdoor")</f>
        <v>Birch Trapdoor</v>
      </c>
      <c r="W149" s="174"/>
    </row>
    <row r="150">
      <c r="B150" s="169" t="str">
        <f>IFERROR(__xludf.DUMMYFUNCTION("""COMPUTED_VALUE"""),"")</f>
        <v/>
      </c>
      <c r="D150" s="170" t="str">
        <f>IFERROR(__xludf.DUMMYFUNCTION("""COMPUTED_VALUE"""),"King of the Sea")</f>
        <v>King of the Sea</v>
      </c>
      <c r="H150" s="171" t="str">
        <f>IFERROR(__xludf.DUMMYFUNCTION("""COMPUTED_VALUE"""),"Kill a Drowned using a trident from at least 30 metres")</f>
        <v>Kill a Drowned using a trident from at least 30 metres</v>
      </c>
      <c r="R150" s="54"/>
      <c r="U150" s="172" t="str">
        <f>IFERROR(__xludf.DUMMYFUNCTION("""COMPUTED_VALUE"""),"")</f>
        <v/>
      </c>
      <c r="V150" s="173" t="str">
        <f>IFERROR(__xludf.DUMMYFUNCTION("""COMPUTED_VALUE"""),"Birch Wood")</f>
        <v>Birch Wood</v>
      </c>
      <c r="W150" s="174"/>
    </row>
    <row r="151">
      <c r="B151" s="169" t="str">
        <f>IFERROR(__xludf.DUMMYFUNCTION("""COMPUTED_VALUE"""),"")</f>
        <v/>
      </c>
      <c r="D151" s="170" t="str">
        <f>IFERROR(__xludf.DUMMYFUNCTION("""COMPUTED_VALUE"""),"The Aquatic Hunter")</f>
        <v>The Aquatic Hunter</v>
      </c>
      <c r="H151" s="171" t="str">
        <f>IFERROR(__xludf.DUMMYFUNCTION("""COMPUTED_VALUE"""),"Hunt all types of aquatic creatures using your trident (See requirement notes below)")</f>
        <v>Hunt all types of aquatic creatures using your trident (See requirement notes below)</v>
      </c>
      <c r="R151" s="54"/>
      <c r="U151" s="172" t="str">
        <f>IFERROR(__xludf.DUMMYFUNCTION("""COMPUTED_VALUE"""),"")</f>
        <v/>
      </c>
      <c r="V151" s="173" t="str">
        <f>IFERROR(__xludf.DUMMYFUNCTION("""COMPUTED_VALUE"""),"Black Banner")</f>
        <v>Black Banner</v>
      </c>
      <c r="W151" s="174"/>
    </row>
    <row r="152">
      <c r="B152" s="169" t="str">
        <f>IFERROR(__xludf.DUMMYFUNCTION("""COMPUTED_VALUE"""),"")</f>
        <v/>
      </c>
      <c r="D152" s="170" t="str">
        <f>IFERROR(__xludf.DUMMYFUNCTION("""COMPUTED_VALUE"""),"Poseidon vs. Hades")</f>
        <v>Poseidon vs. Hades</v>
      </c>
      <c r="H152" s="171" t="str">
        <f>IFERROR(__xludf.DUMMYFUNCTION("""COMPUTED_VALUE"""),"Hunt all types of nether creatures using your trident (See requirement notes below)")</f>
        <v>Hunt all types of nether creatures using your trident (See requirement notes below)</v>
      </c>
      <c r="R152" s="54"/>
      <c r="U152" s="172" t="str">
        <f>IFERROR(__xludf.DUMMYFUNCTION("""COMPUTED_VALUE"""),"")</f>
        <v/>
      </c>
      <c r="V152" s="173" t="str">
        <f>IFERROR(__xludf.DUMMYFUNCTION("""COMPUTED_VALUE"""),"Black Bed")</f>
        <v>Black Bed</v>
      </c>
      <c r="W152" s="174"/>
    </row>
    <row r="153">
      <c r="B153" s="169" t="str">
        <f>IFERROR(__xludf.DUMMYFUNCTION("""COMPUTED_VALUE"""),"")</f>
        <v/>
      </c>
      <c r="D153" s="170" t="str">
        <f>IFERROR(__xludf.DUMMYFUNCTION("""COMPUTED_VALUE"""),"Warden Extinction")</f>
        <v>Warden Extinction</v>
      </c>
      <c r="H153" s="171" t="str">
        <f>IFERROR(__xludf.DUMMYFUNCTION("""COMPUTED_VALUE"""),"Deal 250 hearts of damage in a single hit using the Mace… to one-shot a Warden (At least 250 hearts of damage must be dealt to a Warden)")</f>
        <v>Deal 250 hearts of damage in a single hit using the Mace… to one-shot a Warden (At least 250 hearts of damage must be dealt to a Warden)</v>
      </c>
      <c r="R153" s="54"/>
      <c r="U153" s="172" t="str">
        <f>IFERROR(__xludf.DUMMYFUNCTION("""COMPUTED_VALUE"""),"")</f>
        <v/>
      </c>
      <c r="V153" s="173" t="str">
        <f>IFERROR(__xludf.DUMMYFUNCTION("""COMPUTED_VALUE"""),"Black Candle")</f>
        <v>Black Candle</v>
      </c>
      <c r="W153" s="174"/>
    </row>
    <row r="154">
      <c r="B154" s="169" t="str">
        <f>IFERROR(__xludf.DUMMYFUNCTION("""COMPUTED_VALUE"""),"")</f>
        <v/>
      </c>
      <c r="D154" s="170" t="str">
        <f>IFERROR(__xludf.DUMMYFUNCTION("""COMPUTED_VALUE"""),"Demolitions Expert")</f>
        <v>Demolitions Expert</v>
      </c>
      <c r="H154" s="171" t="str">
        <f>IFERROR(__xludf.DUMMYFUNCTION("""COMPUTED_VALUE"""),"Blow up every hostile mob with TNT (See requirement notes below)")</f>
        <v>Blow up every hostile mob with TNT (See requirement notes below)</v>
      </c>
      <c r="R154" s="54"/>
      <c r="U154" s="172" t="str">
        <f>IFERROR(__xludf.DUMMYFUNCTION("""COMPUTED_VALUE"""),"")</f>
        <v/>
      </c>
      <c r="V154" s="173" t="str">
        <f>IFERROR(__xludf.DUMMYFUNCTION("""COMPUTED_VALUE"""),"Black Carpet")</f>
        <v>Black Carpet</v>
      </c>
      <c r="W154" s="174"/>
    </row>
    <row r="155">
      <c r="B155" s="169" t="str">
        <f>IFERROR(__xludf.DUMMYFUNCTION("""COMPUTED_VALUE"""),"")</f>
        <v/>
      </c>
      <c r="D155" s="170" t="str">
        <f>IFERROR(__xludf.DUMMYFUNCTION("""COMPUTED_VALUE"""),"Indiana Jones")</f>
        <v>Indiana Jones</v>
      </c>
      <c r="H155" s="171" t="str">
        <f>IFERROR(__xludf.DUMMYFUNCTION("""COMPUTED_VALUE"""),"Pull a monster using a fishing rod (Works with the same mobs as ""Monster Hunter"")")</f>
        <v>Pull a monster using a fishing rod (Works with the same mobs as "Monster Hunter")</v>
      </c>
      <c r="R155" s="54"/>
      <c r="U155" s="172" t="str">
        <f>IFERROR(__xludf.DUMMYFUNCTION("""COMPUTED_VALUE"""),"")</f>
        <v/>
      </c>
      <c r="V155" s="173" t="str">
        <f>IFERROR(__xludf.DUMMYFUNCTION("""COMPUTED_VALUE"""),"Black Concrete")</f>
        <v>Black Concrete</v>
      </c>
      <c r="W155" s="174"/>
    </row>
    <row r="156">
      <c r="B156" s="169" t="str">
        <f>IFERROR(__xludf.DUMMYFUNCTION("""COMPUTED_VALUE"""),"")</f>
        <v/>
      </c>
      <c r="D156" s="170" t="str">
        <f>IFERROR(__xludf.DUMMYFUNCTION("""COMPUTED_VALUE"""),"When Pigs Finally Fly")</f>
        <v>When Pigs Finally Fly</v>
      </c>
      <c r="H156" s="171" t="str">
        <f>IFERROR(__xludf.DUMMYFUNCTION("""COMPUTED_VALUE"""),"Pull a pig from 25 blocks below you and watch it go (Pull a pig from at least 25 blocks away)")</f>
        <v>Pull a pig from 25 blocks below you and watch it go (Pull a pig from at least 25 blocks away)</v>
      </c>
      <c r="R156" s="54"/>
      <c r="U156" s="172" t="str">
        <f>IFERROR(__xludf.DUMMYFUNCTION("""COMPUTED_VALUE"""),"")</f>
        <v/>
      </c>
      <c r="V156" s="173" t="str">
        <f>IFERROR(__xludf.DUMMYFUNCTION("""COMPUTED_VALUE"""),"Black Concrete Powder")</f>
        <v>Black Concrete Powder</v>
      </c>
      <c r="W156" s="174"/>
    </row>
    <row r="157">
      <c r="B157" s="169" t="str">
        <f>IFERROR(__xludf.DUMMYFUNCTION("""COMPUTED_VALUE"""),"")</f>
        <v/>
      </c>
      <c r="D157" s="170" t="str">
        <f>IFERROR(__xludf.DUMMYFUNCTION("""COMPUTED_VALUE"""),"A snowball's chance in hell")</f>
        <v>A snowball's chance in hell</v>
      </c>
      <c r="H157" s="171" t="str">
        <f>IFERROR(__xludf.DUMMYFUNCTION("""COMPUTED_VALUE"""),"Defeat a Blaze using snowballs (Kill a blaze with a thrown snowball)")</f>
        <v>Defeat a Blaze using snowballs (Kill a blaze with a thrown snowball)</v>
      </c>
      <c r="R157" s="54"/>
      <c r="U157" s="172" t="str">
        <f>IFERROR(__xludf.DUMMYFUNCTION("""COMPUTED_VALUE"""),"")</f>
        <v/>
      </c>
      <c r="V157" s="173" t="str">
        <f>IFERROR(__xludf.DUMMYFUNCTION("""COMPUTED_VALUE"""),"Black Dye")</f>
        <v>Black Dye</v>
      </c>
      <c r="W157" s="174"/>
    </row>
    <row r="158">
      <c r="B158" s="169" t="str">
        <f>IFERROR(__xludf.DUMMYFUNCTION("""COMPUTED_VALUE"""),"")</f>
        <v/>
      </c>
      <c r="D158" s="170" t="str">
        <f>IFERROR(__xludf.DUMMYFUNCTION("""COMPUTED_VALUE"""),"Backfire")</f>
        <v>Backfire</v>
      </c>
      <c r="H158" s="171" t="str">
        <f>IFERROR(__xludf.DUMMYFUNCTION("""COMPUTED_VALUE"""),"Kill a Blaze using a Blaze Rod while both you and it are on fire")</f>
        <v>Kill a Blaze using a Blaze Rod while both you and it are on fire</v>
      </c>
      <c r="R158" s="54"/>
      <c r="U158" s="172" t="str">
        <f>IFERROR(__xludf.DUMMYFUNCTION("""COMPUTED_VALUE"""),"")</f>
        <v/>
      </c>
      <c r="V158" s="173" t="str">
        <f>IFERROR(__xludf.DUMMYFUNCTION("""COMPUTED_VALUE"""),"Black Glazed Terracotta")</f>
        <v>Black Glazed Terracotta</v>
      </c>
      <c r="W158" s="174"/>
    </row>
    <row r="159">
      <c r="B159" s="169" t="str">
        <f>IFERROR(__xludf.DUMMYFUNCTION("""COMPUTED_VALUE"""),"")</f>
        <v/>
      </c>
      <c r="D159" s="170" t="str">
        <f>IFERROR(__xludf.DUMMYFUNCTION("""COMPUTED_VALUE"""),"There's yolk on my head")</f>
        <v>There's yolk on my head</v>
      </c>
      <c r="H159" s="171" t="str">
        <f>IFERROR(__xludf.DUMMYFUNCTION("""COMPUTED_VALUE"""),"Catapult an egg onto a zombie's head (Hit a zombie with a thrown egg)")</f>
        <v>Catapult an egg onto a zombie's head (Hit a zombie with a thrown egg)</v>
      </c>
      <c r="R159" s="54"/>
      <c r="U159" s="172" t="str">
        <f>IFERROR(__xludf.DUMMYFUNCTION("""COMPUTED_VALUE"""),"")</f>
        <v/>
      </c>
      <c r="V159" s="173" t="str">
        <f>IFERROR(__xludf.DUMMYFUNCTION("""COMPUTED_VALUE"""),"Black Shulker Box")</f>
        <v>Black Shulker Box</v>
      </c>
      <c r="W159" s="174"/>
    </row>
    <row r="160">
      <c r="B160" s="169" t="str">
        <f>IFERROR(__xludf.DUMMYFUNCTION("""COMPUTED_VALUE"""),"")</f>
        <v/>
      </c>
      <c r="D160" s="170" t="str">
        <f>IFERROR(__xludf.DUMMYFUNCTION("""COMPUTED_VALUE"""),"Loser!")</f>
        <v>Loser!</v>
      </c>
      <c r="H160" s="171" t="str">
        <f>IFERROR(__xludf.DUMMYFUNCTION("""COMPUTED_VALUE"""),"Die twice within ten seconds (Die when the last time you died was less than 10 seconds ago)")</f>
        <v>Die twice within ten seconds (Die when the last time you died was less than 10 seconds ago)</v>
      </c>
      <c r="R160" s="54"/>
      <c r="U160" s="172" t="str">
        <f>IFERROR(__xludf.DUMMYFUNCTION("""COMPUTED_VALUE"""),"")</f>
        <v/>
      </c>
      <c r="V160" s="173" t="str">
        <f>IFERROR(__xludf.DUMMYFUNCTION("""COMPUTED_VALUE"""),"Black Stained Glass")</f>
        <v>Black Stained Glass</v>
      </c>
      <c r="W160" s="174"/>
    </row>
    <row r="161">
      <c r="B161" s="169" t="str">
        <f>IFERROR(__xludf.DUMMYFUNCTION("""COMPUTED_VALUE"""),"")</f>
        <v/>
      </c>
      <c r="D161" s="170" t="str">
        <f>IFERROR(__xludf.DUMMYFUNCTION("""COMPUTED_VALUE"""),"Half Heart Life")</f>
        <v>Half Heart Life</v>
      </c>
      <c r="H161" s="171" t="str">
        <f>IFERROR(__xludf.DUMMYFUNCTION("""COMPUTED_VALUE"""),"Be on half a heart of health for a minute")</f>
        <v>Be on half a heart of health for a minute</v>
      </c>
      <c r="R161" s="54"/>
      <c r="U161" s="172" t="str">
        <f>IFERROR(__xludf.DUMMYFUNCTION("""COMPUTED_VALUE"""),"")</f>
        <v/>
      </c>
      <c r="V161" s="173" t="str">
        <f>IFERROR(__xludf.DUMMYFUNCTION("""COMPUTED_VALUE"""),"Black Stained Glass Pane")</f>
        <v>Black Stained Glass Pane</v>
      </c>
      <c r="W161" s="174"/>
    </row>
    <row r="162">
      <c r="B162" s="169" t="str">
        <f>IFERROR(__xludf.DUMMYFUNCTION("""COMPUTED_VALUE"""),"")</f>
        <v/>
      </c>
      <c r="D162" s="170" t="str">
        <f>IFERROR(__xludf.DUMMYFUNCTION("""COMPUTED_VALUE"""),"The Sound of Music")</f>
        <v>The Sound of Music</v>
      </c>
      <c r="H162" s="171" t="str">
        <f>IFERROR(__xludf.DUMMYFUNCTION("""COMPUTED_VALUE"""),"Make the Meadows come alive with the sound of music from a jukebox‌ (Play any music disc in a jukebox while you are in a Meadows biome)")</f>
        <v>Make the Meadows come alive with the sound of music from a jukebox‌ (Play any music disc in a jukebox while you are in a Meadows biome)</v>
      </c>
      <c r="R162" s="54"/>
      <c r="U162" s="172" t="str">
        <f>IFERROR(__xludf.DUMMYFUNCTION("""COMPUTED_VALUE"""),"")</f>
        <v/>
      </c>
      <c r="V162" s="173" t="str">
        <f>IFERROR(__xludf.DUMMYFUNCTION("""COMPUTED_VALUE"""),"Black Terracotta")</f>
        <v>Black Terracotta</v>
      </c>
      <c r="W162" s="174"/>
    </row>
    <row r="163">
      <c r="B163" s="169" t="str">
        <f>IFERROR(__xludf.DUMMYFUNCTION("""COMPUTED_VALUE"""),"")</f>
        <v/>
      </c>
      <c r="D163" s="170" t="str">
        <f>IFERROR(__xludf.DUMMYFUNCTION("""COMPUTED_VALUE"""),"Disc Jockey")</f>
        <v>Disc Jockey</v>
      </c>
      <c r="H163" s="171" t="str">
        <f>IFERROR(__xludf.DUMMYFUNCTION("""COMPUTED_VALUE"""),"Listen to all the music discs (See requirement notes below)")</f>
        <v>Listen to all the music discs (See requirement notes below)</v>
      </c>
      <c r="R163" s="54"/>
      <c r="U163" s="172" t="str">
        <f>IFERROR(__xludf.DUMMYFUNCTION("""COMPUTED_VALUE"""),"")</f>
        <v/>
      </c>
      <c r="V163" s="173" t="str">
        <f>IFERROR(__xludf.DUMMYFUNCTION("""COMPUTED_VALUE"""),"Black Wool")</f>
        <v>Black Wool</v>
      </c>
      <c r="W163" s="174"/>
    </row>
    <row r="164">
      <c r="B164" s="169" t="str">
        <f>IFERROR(__xludf.DUMMYFUNCTION("""COMPUTED_VALUE"""),"")</f>
        <v/>
      </c>
      <c r="D164" s="170" t="str">
        <f>IFERROR(__xludf.DUMMYFUNCTION("""COMPUTED_VALUE"""),"Raidin' Master")</f>
        <v>Raidin' Master</v>
      </c>
      <c r="H164" s="171" t="str">
        <f>IFERROR(__xludf.DUMMYFUNCTION("""COMPUTED_VALUE"""),"Discover every structure type (See requirement notes below)")</f>
        <v>Discover every structure type (See requirement notes below)</v>
      </c>
      <c r="R164" s="54"/>
      <c r="U164" s="172" t="str">
        <f>IFERROR(__xludf.DUMMYFUNCTION("""COMPUTED_VALUE"""),"")</f>
        <v/>
      </c>
      <c r="V164" s="173" t="str">
        <f>IFERROR(__xludf.DUMMYFUNCTION("""COMPUTED_VALUE"""),"Blackstone")</f>
        <v>Blackstone</v>
      </c>
      <c r="W164" s="174"/>
    </row>
    <row r="165">
      <c r="B165" s="169" t="str">
        <f>IFERROR(__xludf.DUMMYFUNCTION("""COMPUTED_VALUE"""),"")</f>
        <v/>
      </c>
      <c r="D165" s="170" t="str">
        <f>IFERROR(__xludf.DUMMYFUNCTION("""COMPUTED_VALUE"""),"A Suspicious Advancement")</f>
        <v>A Suspicious Advancement</v>
      </c>
      <c r="H165" s="171" t="str">
        <f>IFERROR(__xludf.DUMMYFUNCTION("""COMPUTED_VALUE"""),"Obtain a block of Suspicious Sand or Gravel (This can be done by having a sus block fall into a line of cobwebs. After a minute the falling block entity will despawn and drop the sus block as an item)")</f>
        <v>Obtain a block of Suspicious Sand or Gravel (This can be done by having a sus block fall into a line of cobwebs. After a minute the falling block entity will despawn and drop the sus block as an item)</v>
      </c>
      <c r="R165" s="54"/>
      <c r="U165" s="172" t="str">
        <f>IFERROR(__xludf.DUMMYFUNCTION("""COMPUTED_VALUE"""),"")</f>
        <v/>
      </c>
      <c r="V165" s="173" t="str">
        <f>IFERROR(__xludf.DUMMYFUNCTION("""COMPUTED_VALUE"""),"Blackstone Slab")</f>
        <v>Blackstone Slab</v>
      </c>
      <c r="W165" s="174"/>
    </row>
    <row r="166">
      <c r="B166" s="169" t="str">
        <f>IFERROR(__xludf.DUMMYFUNCTION("""COMPUTED_VALUE"""),"")</f>
        <v/>
      </c>
      <c r="D166" s="170" t="str">
        <f>IFERROR(__xludf.DUMMYFUNCTION("""COMPUTED_VALUE"""),"Little Sniffs")</f>
        <v>Little Sniffs</v>
      </c>
      <c r="H166" s="171" t="str">
        <f>IFERROR(__xludf.DUMMYFUNCTION("""COMPUTED_VALUE"""),"Feed a Snifflet (Feed a baby Sniffer with Torchflower Seeds)")</f>
        <v>Feed a Snifflet (Feed a baby Sniffer with Torchflower Seeds)</v>
      </c>
      <c r="R166" s="54"/>
      <c r="U166" s="172" t="str">
        <f>IFERROR(__xludf.DUMMYFUNCTION("""COMPUTED_VALUE"""),"")</f>
        <v/>
      </c>
      <c r="V166" s="173" t="str">
        <f>IFERROR(__xludf.DUMMYFUNCTION("""COMPUTED_VALUE"""),"Blackstone Stairs")</f>
        <v>Blackstone Stairs</v>
      </c>
      <c r="W166" s="174"/>
    </row>
    <row r="167">
      <c r="B167" s="169" t="str">
        <f>IFERROR(__xludf.DUMMYFUNCTION("""COMPUTED_VALUE"""),"")</f>
        <v/>
      </c>
      <c r="D167" s="170" t="str">
        <f>IFERROR(__xludf.DUMMYFUNCTION("""COMPUTED_VALUE"""),"Coordinated Flair")</f>
        <v>Coordinated Flair</v>
      </c>
      <c r="H167" s="171" t="str">
        <f>IFERROR(__xludf.DUMMYFUNCTION("""COMPUTED_VALUE"""),"Wear a suit of armor with all four pieces trimmed with the same material")</f>
        <v>Wear a suit of armor with all four pieces trimmed with the same material</v>
      </c>
      <c r="R167" s="54"/>
      <c r="U167" s="172" t="str">
        <f>IFERROR(__xludf.DUMMYFUNCTION("""COMPUTED_VALUE"""),"")</f>
        <v/>
      </c>
      <c r="V167" s="173" t="str">
        <f>IFERROR(__xludf.DUMMYFUNCTION("""COMPUTED_VALUE"""),"Blackstone Wall")</f>
        <v>Blackstone Wall</v>
      </c>
      <c r="W167" s="174"/>
    </row>
    <row r="168">
      <c r="B168" s="169" t="str">
        <f>IFERROR(__xludf.DUMMYFUNCTION("""COMPUTED_VALUE"""),"")</f>
        <v/>
      </c>
      <c r="D168" s="170" t="str">
        <f>IFERROR(__xludf.DUMMYFUNCTION("""COMPUTED_VALUE"""),"Chromatic Armory")</f>
        <v>Chromatic Armory</v>
      </c>
      <c r="H168" s="171" t="str">
        <f>IFERROR(__xludf.DUMMYFUNCTION("""COMPUTED_VALUE"""),"Trim pieces of armor with all types of materials (See requirement notes below)")</f>
        <v>Trim pieces of armor with all types of materials (See requirement notes below)</v>
      </c>
      <c r="R168" s="54"/>
      <c r="U168" s="172" t="str">
        <f>IFERROR(__xludf.DUMMYFUNCTION("""COMPUTED_VALUE"""),"")</f>
        <v/>
      </c>
      <c r="V168" s="173" t="str">
        <f>IFERROR(__xludf.DUMMYFUNCTION("""COMPUTED_VALUE"""),"Blade Pottery Sherd")</f>
        <v>Blade Pottery Sherd</v>
      </c>
      <c r="W168" s="174"/>
    </row>
    <row r="169">
      <c r="B169" s="169" t="str">
        <f>IFERROR(__xludf.DUMMYFUNCTION("""COMPUTED_VALUE"""),"")</f>
        <v/>
      </c>
      <c r="D169" s="170" t="str">
        <f>IFERROR(__xludf.DUMMYFUNCTION("""COMPUTED_VALUE"""),"Redemption Arc")</f>
        <v>Redemption Arc</v>
      </c>
      <c r="H169" s="171" t="str">
        <f>IFERROR(__xludf.DUMMYFUNCTION("""COMPUTED_VALUE"""),"Befriend a Pillager that doesn’t have a crossbow (Be within 5 blocks of a Pillager that is not holding a crossbow)")</f>
        <v>Befriend a Pillager that doesn’t have a crossbow (Be within 5 blocks of a Pillager that is not holding a crossbow)</v>
      </c>
      <c r="R169" s="54"/>
      <c r="U169" s="172" t="str">
        <f>IFERROR(__xludf.DUMMYFUNCTION("""COMPUTED_VALUE"""),"")</f>
        <v/>
      </c>
      <c r="V169" s="173" t="str">
        <f>IFERROR(__xludf.DUMMYFUNCTION("""COMPUTED_VALUE"""),"Blast Furnace")</f>
        <v>Blast Furnace</v>
      </c>
      <c r="W169" s="174"/>
    </row>
    <row r="170">
      <c r="B170" s="169" t="str">
        <f>IFERROR(__xludf.DUMMYFUNCTION("""COMPUTED_VALUE"""),"")</f>
        <v/>
      </c>
      <c r="D170" s="170" t="str">
        <f>IFERROR(__xludf.DUMMYFUNCTION("""COMPUTED_VALUE"""),"Sound the Alarm!")</f>
        <v>Sound the Alarm!</v>
      </c>
      <c r="H170" s="171" t="str">
        <f>IFERROR(__xludf.DUMMYFUNCTION("""COMPUTED_VALUE"""),"Ring the bell with a hostile enemy in the village (Ring a bell while at least one illager that is part of a raid is within 32 blocks of you)")</f>
        <v>Ring the bell with a hostile enemy in the village (Ring a bell while at least one illager that is part of a raid is within 32 blocks of you)</v>
      </c>
      <c r="R170" s="54"/>
      <c r="U170" s="172" t="str">
        <f>IFERROR(__xludf.DUMMYFUNCTION("""COMPUTED_VALUE"""),"")</f>
        <v/>
      </c>
      <c r="V170" s="173" t="str">
        <f>IFERROR(__xludf.DUMMYFUNCTION("""COMPUTED_VALUE"""),"Blaze Powder")</f>
        <v>Blaze Powder</v>
      </c>
      <c r="W170" s="174"/>
    </row>
    <row r="171">
      <c r="B171" s="169" t="str">
        <f>IFERROR(__xludf.DUMMYFUNCTION("""COMPUTED_VALUE"""),"")</f>
        <v/>
      </c>
      <c r="D171" s="170" t="str">
        <f>IFERROR(__xludf.DUMMYFUNCTION("""COMPUTED_VALUE"""),"Justice")</f>
        <v>Justice</v>
      </c>
      <c r="H171" s="171" t="str">
        <f>IFERROR(__xludf.DUMMYFUNCTION("""COMPUTED_VALUE"""),"Kill each type of Illager with a single crossbow arrow (Kill a Pillager, Vindicator, Witch, Evoker and Ravager with a single crossbow arrow)")</f>
        <v>Kill each type of Illager with a single crossbow arrow (Kill a Pillager, Vindicator, Witch, Evoker and Ravager with a single crossbow arrow)</v>
      </c>
      <c r="R171" s="54"/>
      <c r="U171" s="172" t="str">
        <f>IFERROR(__xludf.DUMMYFUNCTION("""COMPUTED_VALUE"""),"")</f>
        <v/>
      </c>
      <c r="V171" s="173" t="str">
        <f>IFERROR(__xludf.DUMMYFUNCTION("""COMPUTED_VALUE"""),"Blaze Rod")</f>
        <v>Blaze Rod</v>
      </c>
      <c r="W171" s="174"/>
    </row>
    <row r="172">
      <c r="B172" s="169" t="str">
        <f>IFERROR(__xludf.DUMMYFUNCTION("""COMPUTED_VALUE"""),"")</f>
        <v/>
      </c>
      <c r="D172" s="170" t="str">
        <f>IFERROR(__xludf.DUMMYFUNCTION("""COMPUTED_VALUE"""),"Undying Fandom")</f>
        <v>Undying Fandom</v>
      </c>
      <c r="H172" s="171" t="str">
        <f>IFERROR(__xludf.DUMMYFUNCTION("""COMPUTED_VALUE"""),"Receive every type of gift from Villagers as a Hero of the Village (See requirement notes below)")</f>
        <v>Receive every type of gift from Villagers as a Hero of the Village (See requirement notes below)</v>
      </c>
      <c r="R172" s="54"/>
      <c r="U172" s="172" t="str">
        <f>IFERROR(__xludf.DUMMYFUNCTION("""COMPUTED_VALUE"""),"")</f>
        <v/>
      </c>
      <c r="V172" s="173" t="str">
        <f>IFERROR(__xludf.DUMMYFUNCTION("""COMPUTED_VALUE"""),"Blue Banner")</f>
        <v>Blue Banner</v>
      </c>
      <c r="W172" s="174"/>
    </row>
    <row r="173">
      <c r="B173" s="169" t="str">
        <f>IFERROR(__xludf.DUMMYFUNCTION("""COMPUTED_VALUE"""),"")</f>
        <v/>
      </c>
      <c r="D173" s="170" t="str">
        <f>IFERROR(__xludf.DUMMYFUNCTION("""COMPUTED_VALUE"""),"Evelyn Evergreen")</f>
        <v>Evelyn Evergreen</v>
      </c>
      <c r="H173" s="171" t="str">
        <f>IFERROR(__xludf.DUMMYFUNCTION("""COMPUTED_VALUE"""),"Have an Allay deliver Spruce Saplings to you while chopping down trees (Pick up Spruce Saplings that were dropped by an Allay)")</f>
        <v>Have an Allay deliver Spruce Saplings to you while chopping down trees (Pick up Spruce Saplings that were dropped by an Allay)</v>
      </c>
      <c r="R173" s="54"/>
      <c r="U173" s="172" t="str">
        <f>IFERROR(__xludf.DUMMYFUNCTION("""COMPUTED_VALUE"""),"")</f>
        <v/>
      </c>
      <c r="V173" s="173" t="str">
        <f>IFERROR(__xludf.DUMMYFUNCTION("""COMPUTED_VALUE"""),"Blue Bed")</f>
        <v>Blue Bed</v>
      </c>
      <c r="W173" s="174"/>
    </row>
    <row r="174">
      <c r="B174" s="169" t="str">
        <f>IFERROR(__xludf.DUMMYFUNCTION("""COMPUTED_VALUE"""),"")</f>
        <v/>
      </c>
      <c r="D174" s="170" t="str">
        <f>IFERROR(__xludf.DUMMYFUNCTION("""COMPUTED_VALUE"""),"Budget Vex")</f>
        <v>Budget Vex</v>
      </c>
      <c r="H174" s="171" t="str">
        <f>IFERROR(__xludf.DUMMYFUNCTION("""COMPUTED_VALUE"""),"Give an Allay an Iron Sword (Right-click an Allay with an Iron Sword)")</f>
        <v>Give an Allay an Iron Sword (Right-click an Allay with an Iron Sword)</v>
      </c>
      <c r="R174" s="54"/>
      <c r="U174" s="172" t="str">
        <f>IFERROR(__xludf.DUMMYFUNCTION("""COMPUTED_VALUE"""),"")</f>
        <v/>
      </c>
      <c r="V174" s="173" t="str">
        <f>IFERROR(__xludf.DUMMYFUNCTION("""COMPUTED_VALUE"""),"Blue Candle")</f>
        <v>Blue Candle</v>
      </c>
      <c r="W174" s="174"/>
    </row>
    <row r="175">
      <c r="B175" s="169" t="str">
        <f>IFERROR(__xludf.DUMMYFUNCTION("""COMPUTED_VALUE"""),"")</f>
        <v/>
      </c>
      <c r="D175" s="170" t="str">
        <f>IFERROR(__xludf.DUMMYFUNCTION("""COMPUTED_VALUE"""),"Diagon Allay")</f>
        <v>Diagon Allay</v>
      </c>
      <c r="H175" s="171" t="str">
        <f>IFERROR(__xludf.DUMMYFUNCTION("""COMPUTED_VALUE"""),"Have an Allay deliver a potion to you in the Deep Dark (Pick up a potion that was dropped by an Allay in the Deep Dark biome or an Ancient City)")</f>
        <v>Have an Allay deliver a potion to you in the Deep Dark (Pick up a potion that was dropped by an Allay in the Deep Dark biome or an Ancient City)</v>
      </c>
      <c r="R175" s="54"/>
      <c r="U175" s="172" t="str">
        <f>IFERROR(__xludf.DUMMYFUNCTION("""COMPUTED_VALUE"""),"")</f>
        <v/>
      </c>
      <c r="V175" s="173" t="str">
        <f>IFERROR(__xludf.DUMMYFUNCTION("""COMPUTED_VALUE"""),"Blue Carpet")</f>
        <v>Blue Carpet</v>
      </c>
      <c r="W175" s="174"/>
    </row>
    <row r="176">
      <c r="B176" s="169" t="str">
        <f>IFERROR(__xludf.DUMMYFUNCTION("""COMPUTED_VALUE"""),"")</f>
        <v/>
      </c>
      <c r="D176" s="170" t="str">
        <f>IFERROR(__xludf.DUMMYFUNCTION("""COMPUTED_VALUE"""),"And make it double!")</f>
        <v>And make it double!</v>
      </c>
      <c r="H176" s="171" t="str">
        <f>IFERROR(__xludf.DUMMYFUNCTION("""COMPUTED_VALUE"""),"Play a jukebox near some Allays, then give one an Amethyst Shard and see what happens! (Duplicate an Allay by giving one an Amethyst Shard while a jukebox is playing nearby)")</f>
        <v>Play a jukebox near some Allays, then give one an Amethyst Shard and see what happens! (Duplicate an Allay by giving one an Amethyst Shard while a jukebox is playing nearby)</v>
      </c>
      <c r="R176" s="54"/>
      <c r="U176" s="172" t="str">
        <f>IFERROR(__xludf.DUMMYFUNCTION("""COMPUTED_VALUE"""),"")</f>
        <v/>
      </c>
      <c r="V176" s="173" t="str">
        <f>IFERROR(__xludf.DUMMYFUNCTION("""COMPUTED_VALUE"""),"Blue Concrete")</f>
        <v>Blue Concrete</v>
      </c>
      <c r="W176" s="174"/>
    </row>
    <row r="177">
      <c r="B177" s="169" t="str">
        <f>IFERROR(__xludf.DUMMYFUNCTION("""COMPUTED_VALUE"""),"")</f>
        <v/>
      </c>
      <c r="D177" s="170" t="str">
        <f>IFERROR(__xludf.DUMMYFUNCTION("""COMPUTED_VALUE"""),"Birthday Song")</f>
        <v>Birthday Song</v>
      </c>
      <c r="H177" s="171" t="str">
        <f>IFERROR(__xludf.DUMMYFUNCTION("""COMPUTED_VALUE"""),"Have an Allay drop a cake at a note block")</f>
        <v>Have an Allay drop a cake at a note block</v>
      </c>
      <c r="R177" s="54"/>
      <c r="U177" s="172" t="str">
        <f>IFERROR(__xludf.DUMMYFUNCTION("""COMPUTED_VALUE"""),"")</f>
        <v/>
      </c>
      <c r="V177" s="173" t="str">
        <f>IFERROR(__xludf.DUMMYFUNCTION("""COMPUTED_VALUE"""),"Blue Concrete Powder")</f>
        <v>Blue Concrete Powder</v>
      </c>
      <c r="W177" s="174"/>
    </row>
    <row r="178">
      <c r="B178" s="169" t="str">
        <f>IFERROR(__xludf.DUMMYFUNCTION("""COMPUTED_VALUE"""),"")</f>
        <v/>
      </c>
      <c r="D178" s="170" t="str">
        <f>IFERROR(__xludf.DUMMYFUNCTION("""COMPUTED_VALUE"""),"Shady Deals")</f>
        <v>Shady Deals</v>
      </c>
      <c r="H178" s="171" t="str">
        <f>IFERROR(__xludf.DUMMYFUNCTION("""COMPUTED_VALUE"""),"Trade with the Wandering Trader while he is invisible")</f>
        <v>Trade with the Wandering Trader while he is invisible</v>
      </c>
      <c r="R178" s="54"/>
      <c r="U178" s="172" t="str">
        <f>IFERROR(__xludf.DUMMYFUNCTION("""COMPUTED_VALUE"""),"")</f>
        <v/>
      </c>
      <c r="V178" s="173" t="str">
        <f>IFERROR(__xludf.DUMMYFUNCTION("""COMPUTED_VALUE"""),"Blue Dye")</f>
        <v>Blue Dye</v>
      </c>
      <c r="W178" s="174"/>
    </row>
    <row r="179">
      <c r="B179" s="169" t="str">
        <f>IFERROR(__xludf.DUMMYFUNCTION("""COMPUTED_VALUE"""),"")</f>
        <v/>
      </c>
      <c r="D179" s="170" t="str">
        <f>IFERROR(__xludf.DUMMYFUNCTION("""COMPUTED_VALUE"""),"Florist")</f>
        <v>Florist</v>
      </c>
      <c r="H179" s="171" t="str">
        <f>IFERROR(__xludf.DUMMYFUNCTION("""COMPUTED_VALUE"""),"Trade for a flower from the Wandering Trader")</f>
        <v>Trade for a flower from the Wandering Trader</v>
      </c>
      <c r="R179" s="54"/>
      <c r="U179" s="172" t="str">
        <f>IFERROR(__xludf.DUMMYFUNCTION("""COMPUTED_VALUE"""),"")</f>
        <v/>
      </c>
      <c r="V179" s="173" t="str">
        <f>IFERROR(__xludf.DUMMYFUNCTION("""COMPUTED_VALUE"""),"Blue Glazed Terracotta")</f>
        <v>Blue Glazed Terracotta</v>
      </c>
      <c r="W179" s="174"/>
    </row>
    <row r="180">
      <c r="B180" s="169" t="str">
        <f>IFERROR(__xludf.DUMMYFUNCTION("""COMPUTED_VALUE"""),"")</f>
        <v/>
      </c>
      <c r="D180" s="170" t="str">
        <f>IFERROR(__xludf.DUMMYFUNCTION("""COMPUTED_VALUE"""),"Rebuilding the Oceans")</f>
        <v>Rebuilding the Oceans</v>
      </c>
      <c r="H180" s="171" t="str">
        <f>IFERROR(__xludf.DUMMYFUNCTION("""COMPUTED_VALUE"""),"Trade for a coral block from the Wandering Trader")</f>
        <v>Trade for a coral block from the Wandering Trader</v>
      </c>
      <c r="R180" s="54"/>
      <c r="U180" s="172" t="str">
        <f>IFERROR(__xludf.DUMMYFUNCTION("""COMPUTED_VALUE"""),"")</f>
        <v/>
      </c>
      <c r="V180" s="173" t="str">
        <f>IFERROR(__xludf.DUMMYFUNCTION("""COMPUTED_VALUE"""),"Blue Ice")</f>
        <v>Blue Ice</v>
      </c>
      <c r="W180" s="174"/>
    </row>
    <row r="181">
      <c r="B181" s="169" t="str">
        <f>IFERROR(__xludf.DUMMYFUNCTION("""COMPUTED_VALUE"""),"")</f>
        <v/>
      </c>
      <c r="D181" s="170" t="str">
        <f>IFERROR(__xludf.DUMMYFUNCTION("""COMPUTED_VALUE"""),"Deal's off!")</f>
        <v>Deal's off!</v>
      </c>
      <c r="H181" s="171" t="str">
        <f>IFERROR(__xludf.DUMMYFUNCTION("""COMPUTED_VALUE"""),"Get spat at by one of the Trader Llamas (Get damaged by a Trader Llama)")</f>
        <v>Get spat at by one of the Trader Llamas (Get damaged by a Trader Llama)</v>
      </c>
      <c r="R181" s="54"/>
      <c r="U181" s="172" t="str">
        <f>IFERROR(__xludf.DUMMYFUNCTION("""COMPUTED_VALUE"""),"")</f>
        <v/>
      </c>
      <c r="V181" s="173" t="str">
        <f>IFERROR(__xludf.DUMMYFUNCTION("""COMPUTED_VALUE"""),"Blue Orchid")</f>
        <v>Blue Orchid</v>
      </c>
      <c r="W181" s="174"/>
    </row>
    <row r="182">
      <c r="B182" s="169" t="str">
        <f>IFERROR(__xludf.DUMMYFUNCTION("""COMPUTED_VALUE"""),"")</f>
        <v/>
      </c>
      <c r="D182" s="170" t="str">
        <f>IFERROR(__xludf.DUMMYFUNCTION("""COMPUTED_VALUE"""),"A Complete Catalogue")</f>
        <v>A Complete Catalogue</v>
      </c>
      <c r="H182" s="171" t="str">
        <f>IFERROR(__xludf.DUMMYFUNCTION("""COMPUTED_VALUE"""),"Tame all cat variants! (See requirement notes below)")</f>
        <v>Tame all cat variants! (See requirement notes below)</v>
      </c>
      <c r="R182" s="54"/>
      <c r="U182" s="172" t="str">
        <f>IFERROR(__xludf.DUMMYFUNCTION("""COMPUTED_VALUE"""),"")</f>
        <v/>
      </c>
      <c r="V182" s="173" t="str">
        <f>IFERROR(__xludf.DUMMYFUNCTION("""COMPUTED_VALUE"""),"Blue Shulker Box")</f>
        <v>Blue Shulker Box</v>
      </c>
      <c r="W182" s="174"/>
    </row>
    <row r="183">
      <c r="B183" s="169" t="str">
        <f>IFERROR(__xludf.DUMMYFUNCTION("""COMPUTED_VALUE"""),"")</f>
        <v/>
      </c>
      <c r="D183" s="170" t="str">
        <f>IFERROR(__xludf.DUMMYFUNCTION("""COMPUTED_VALUE"""),"Hey! You two should kiss!")</f>
        <v>Hey! You two should kiss!</v>
      </c>
      <c r="H183" s="171" t="str">
        <f>IFERROR(__xludf.DUMMYFUNCTION("""COMPUTED_VALUE"""),"Use a Spyglass to look at two Villagers sitting in a Boat from at least 50 blocks away (Use a spyglass to look at a boat with two villager passengers in it)")</f>
        <v>Use a Spyglass to look at two Villagers sitting in a Boat from at least 50 blocks away (Use a spyglass to look at a boat with two villager passengers in it)</v>
      </c>
      <c r="R183" s="54"/>
      <c r="U183" s="172" t="str">
        <f>IFERROR(__xludf.DUMMYFUNCTION("""COMPUTED_VALUE"""),"")</f>
        <v/>
      </c>
      <c r="V183" s="173" t="str">
        <f>IFERROR(__xludf.DUMMYFUNCTION("""COMPUTED_VALUE"""),"Blue Stained Glass")</f>
        <v>Blue Stained Glass</v>
      </c>
      <c r="W183" s="174"/>
    </row>
    <row r="184">
      <c r="B184" s="169" t="str">
        <f>IFERROR(__xludf.DUMMYFUNCTION("""COMPUTED_VALUE"""),"")</f>
        <v/>
      </c>
      <c r="D184" s="170" t="str">
        <f>IFERROR(__xludf.DUMMYFUNCTION("""COMPUTED_VALUE"""),"Star Trader")</f>
        <v>Star Trader</v>
      </c>
      <c r="H184" s="171" t="str">
        <f>IFERROR(__xludf.DUMMYFUNCTION("""COMPUTED_VALUE"""),"Trade with a villager at the build height limit (Trade with a villager who is standing at y-level 319 or higher in the Overworld, or y-level 255 or higher in the Nether or End)")</f>
        <v>Trade with a villager at the build height limit (Trade with a villager who is standing at y-level 319 or higher in the Overworld, or y-level 255 or higher in the Nether or End)</v>
      </c>
      <c r="R184" s="54"/>
      <c r="U184" s="172" t="str">
        <f>IFERROR(__xludf.DUMMYFUNCTION("""COMPUTED_VALUE"""),"")</f>
        <v/>
      </c>
      <c r="V184" s="173" t="str">
        <f>IFERROR(__xludf.DUMMYFUNCTION("""COMPUTED_VALUE"""),"Blue Stained Glass Pane")</f>
        <v>Blue Stained Glass Pane</v>
      </c>
      <c r="W184" s="174"/>
    </row>
    <row r="185">
      <c r="B185" s="169" t="str">
        <f>IFERROR(__xludf.DUMMYFUNCTION("""COMPUTED_VALUE"""),"")</f>
        <v/>
      </c>
      <c r="D185" s="170" t="str">
        <f>IFERROR(__xludf.DUMMYFUNCTION("""COMPUTED_VALUE"""),"Master Trader")</f>
        <v>Master Trader</v>
      </c>
      <c r="H185" s="171" t="str">
        <f>IFERROR(__xludf.DUMMYFUNCTION("""COMPUTED_VALUE"""),"Trade with every type of villager career at master level (See requirement notes below)")</f>
        <v>Trade with every type of villager career at master level (See requirement notes below)</v>
      </c>
      <c r="R185" s="54"/>
      <c r="U185" s="172" t="str">
        <f>IFERROR(__xludf.DUMMYFUNCTION("""COMPUTED_VALUE"""),"")</f>
        <v/>
      </c>
      <c r="V185" s="173" t="str">
        <f>IFERROR(__xludf.DUMMYFUNCTION("""COMPUTED_VALUE"""),"Blue Terracotta")</f>
        <v>Blue Terracotta</v>
      </c>
      <c r="W185" s="174"/>
    </row>
    <row r="186">
      <c r="B186" s="169" t="str">
        <f>IFERROR(__xludf.DUMMYFUNCTION("""COMPUTED_VALUE"""),"")</f>
        <v/>
      </c>
      <c r="D186" s="170" t="str">
        <f>IFERROR(__xludf.DUMMYFUNCTION("""COMPUTED_VALUE"""),"I'm not lost anymore!")</f>
        <v>I'm not lost anymore!</v>
      </c>
      <c r="H186" s="171" t="str">
        <f>IFERROR(__xludf.DUMMYFUNCTION("""COMPUTED_VALUE"""),"Right-click a banner with a map")</f>
        <v>Right-click a banner with a map</v>
      </c>
      <c r="R186" s="54"/>
      <c r="U186" s="172" t="str">
        <f>IFERROR(__xludf.DUMMYFUNCTION("""COMPUTED_VALUE"""),"")</f>
        <v/>
      </c>
      <c r="V186" s="173" t="str">
        <f>IFERROR(__xludf.DUMMYFUNCTION("""COMPUTED_VALUE"""),"Blue Wool")</f>
        <v>Blue Wool</v>
      </c>
      <c r="W186" s="174"/>
    </row>
    <row r="187">
      <c r="B187" s="169" t="str">
        <f>IFERROR(__xludf.DUMMYFUNCTION("""COMPUTED_VALUE"""),"")</f>
        <v/>
      </c>
      <c r="D187" s="170" t="str">
        <f>IFERROR(__xludf.DUMMYFUNCTION("""COMPUTED_VALUE"""),"Spear Fishing")</f>
        <v>Spear Fishing</v>
      </c>
      <c r="H187" s="171" t="str">
        <f>IFERROR(__xludf.DUMMYFUNCTION("""COMPUTED_VALUE"""),"Kill a Guardian with arrows")</f>
        <v>Kill a Guardian with arrows</v>
      </c>
      <c r="R187" s="54"/>
      <c r="U187" s="172" t="str">
        <f>IFERROR(__xludf.DUMMYFUNCTION("""COMPUTED_VALUE"""),"")</f>
        <v/>
      </c>
      <c r="V187" s="173" t="str">
        <f>IFERROR(__xludf.DUMMYFUNCTION("""COMPUTED_VALUE"""),"Bolt Armor Trim Smithing Template")</f>
        <v>Bolt Armor Trim Smithing Template</v>
      </c>
      <c r="W187" s="174"/>
    </row>
    <row r="188">
      <c r="B188" s="169" t="str">
        <f>IFERROR(__xludf.DUMMYFUNCTION("""COMPUTED_VALUE"""),"")</f>
        <v/>
      </c>
      <c r="D188" s="170" t="str">
        <f>IFERROR(__xludf.DUMMYFUNCTION("""COMPUTED_VALUE"""),"Heeere's Johnny!")</f>
        <v>Heeere's Johnny!</v>
      </c>
      <c r="H188" s="171" t="str">
        <f>IFERROR(__xludf.DUMMYFUNCTION("""COMPUTED_VALUE"""),"Kill a Vindicator in a Woodland Mansion (Kill a Vindicator that is within the bounding-box of a Woodland Mansion)")</f>
        <v>Kill a Vindicator in a Woodland Mansion (Kill a Vindicator that is within the bounding-box of a Woodland Mansion)</v>
      </c>
      <c r="R188" s="54"/>
      <c r="U188" s="172" t="str">
        <f>IFERROR(__xludf.DUMMYFUNCTION("""COMPUTED_VALUE"""),"")</f>
        <v/>
      </c>
      <c r="V188" s="173" t="str">
        <f>IFERROR(__xludf.DUMMYFUNCTION("""COMPUTED_VALUE"""),"Bone")</f>
        <v>Bone</v>
      </c>
      <c r="W188" s="174"/>
    </row>
    <row r="189">
      <c r="B189" s="169" t="str">
        <f>IFERROR(__xludf.DUMMYFUNCTION("""COMPUTED_VALUE"""),"")</f>
        <v/>
      </c>
      <c r="D189" s="170" t="str">
        <f>IFERROR(__xludf.DUMMYFUNCTION("""COMPUTED_VALUE"""),"Wololo!")</f>
        <v>Wololo!</v>
      </c>
      <c r="H189" s="171" t="str">
        <f>IFERROR(__xludf.DUMMYFUNCTION("""COMPUTED_VALUE"""),"Defeat an Evoker in a Woodland Mansion (Kill an Evoker that is within the bounding-box of a Woodland Mansion)")</f>
        <v>Defeat an Evoker in a Woodland Mansion (Kill an Evoker that is within the bounding-box of a Woodland Mansion)</v>
      </c>
      <c r="R189" s="54"/>
      <c r="U189" s="172" t="str">
        <f>IFERROR(__xludf.DUMMYFUNCTION("""COMPUTED_VALUE"""),"")</f>
        <v/>
      </c>
      <c r="V189" s="173" t="str">
        <f>IFERROR(__xludf.DUMMYFUNCTION("""COMPUTED_VALUE"""),"Bone Block")</f>
        <v>Bone Block</v>
      </c>
      <c r="W189" s="174"/>
    </row>
    <row r="190">
      <c r="B190" s="169" t="str">
        <f>IFERROR(__xludf.DUMMYFUNCTION("""COMPUTED_VALUE"""),"")</f>
        <v/>
      </c>
      <c r="D190" s="170" t="str">
        <f>IFERROR(__xludf.DUMMYFUNCTION("""COMPUTED_VALUE"""),"Postmortal")</f>
        <v>Postmortal</v>
      </c>
      <c r="H190" s="171" t="str">
        <f>IFERROR(__xludf.DUMMYFUNCTION("""COMPUTED_VALUE"""),"Use a Totem of Undying to cheat death")</f>
        <v>Use a Totem of Undying to cheat death</v>
      </c>
      <c r="R190" s="54"/>
      <c r="U190" s="172" t="str">
        <f>IFERROR(__xludf.DUMMYFUNCTION("""COMPUTED_VALUE"""),"")</f>
        <v/>
      </c>
      <c r="V190" s="173" t="str">
        <f>IFERROR(__xludf.DUMMYFUNCTION("""COMPUTED_VALUE"""),"Bone Meal")</f>
        <v>Bone Meal</v>
      </c>
      <c r="W190" s="174"/>
    </row>
    <row r="191">
      <c r="B191" s="169" t="str">
        <f>IFERROR(__xludf.DUMMYFUNCTION("""COMPUTED_VALUE"""),"")</f>
        <v/>
      </c>
      <c r="D191" s="170" t="str">
        <f>IFERROR(__xludf.DUMMYFUNCTION("""COMPUTED_VALUE"""),"Who Needs Rockets?")</f>
        <v>Who Needs Rockets?</v>
      </c>
      <c r="H191" s="171" t="str">
        <f>IFERROR(__xludf.DUMMYFUNCTION("""COMPUTED_VALUE"""),"Use a Wind Charge to launch yourself upward at least 8 blocks (Be launched upward at least 8 blocks from a player-thrown Wind Charge)")</f>
        <v>Use a Wind Charge to launch yourself upward at least 8 blocks (Be launched upward at least 8 blocks from a player-thrown Wind Charge)</v>
      </c>
      <c r="R191" s="54"/>
      <c r="U191" s="172" t="str">
        <f>IFERROR(__xludf.DUMMYFUNCTION("""COMPUTED_VALUE"""),"")</f>
        <v/>
      </c>
      <c r="V191" s="173" t="str">
        <f>IFERROR(__xludf.DUMMYFUNCTION("""COMPUTED_VALUE"""),"Book")</f>
        <v>Book</v>
      </c>
      <c r="W191" s="174"/>
    </row>
    <row r="192">
      <c r="B192" s="169" t="str">
        <f>IFERROR(__xludf.DUMMYFUNCTION("""COMPUTED_VALUE"""),"")</f>
        <v/>
      </c>
      <c r="D192" s="170" t="str">
        <f>IFERROR(__xludf.DUMMYFUNCTION("""COMPUTED_VALUE"""),"From Under Your Feet")</f>
        <v>From Under Your Feet</v>
      </c>
      <c r="H192" s="171" t="str">
        <f>IFERROR(__xludf.DUMMYFUNCTION("""COMPUTED_VALUE"""),"Throw a Wind Charge at a mob that is standing on top of a trapdoor (The Wind Charge must hit the mob and damage it)")</f>
        <v>Throw a Wind Charge at a mob that is standing on top of a trapdoor (The Wind Charge must hit the mob and damage it)</v>
      </c>
      <c r="R192" s="54"/>
      <c r="U192" s="172" t="str">
        <f>IFERROR(__xludf.DUMMYFUNCTION("""COMPUTED_VALUE"""),"")</f>
        <v/>
      </c>
      <c r="V192" s="173" t="str">
        <f>IFERROR(__xludf.DUMMYFUNCTION("""COMPUTED_VALUE"""),"Bookshelf")</f>
        <v>Bookshelf</v>
      </c>
      <c r="W192" s="174"/>
    </row>
    <row r="193">
      <c r="B193" s="169" t="str">
        <f>IFERROR(__xludf.DUMMYFUNCTION("""COMPUTED_VALUE"""),"")</f>
        <v/>
      </c>
      <c r="D193" s="170" t="str">
        <f>IFERROR(__xludf.DUMMYFUNCTION("""COMPUTED_VALUE"""),"Blowback")</f>
        <v>Blowback</v>
      </c>
      <c r="H193" s="171" t="str">
        <f>IFERROR(__xludf.DUMMYFUNCTION("""COMPUTED_VALUE"""),"Kill a Breeze with a deflected Wind Charge (Hit a breeze-fired Wind Charge back at a Breeze such that it kills it. Note: They only do half a heart of damage)")</f>
        <v>Kill a Breeze with a deflected Wind Charge (Hit a breeze-fired Wind Charge back at a Breeze such that it kills it. Note: They only do half a heart of damage)</v>
      </c>
      <c r="R193" s="54"/>
      <c r="U193" s="172" t="str">
        <f>IFERROR(__xludf.DUMMYFUNCTION("""COMPUTED_VALUE"""),"")</f>
        <v/>
      </c>
      <c r="V193" s="173" t="str">
        <f>IFERROR(__xludf.DUMMYFUNCTION("""COMPUTED_VALUE"""),"Bow")</f>
        <v>Bow</v>
      </c>
      <c r="W193" s="174"/>
    </row>
    <row r="194">
      <c r="B194" s="169" t="str">
        <f>IFERROR(__xludf.DUMMYFUNCTION("""COMPUTED_VALUE"""),"")</f>
        <v/>
      </c>
      <c r="D194" s="170" t="str">
        <f>IFERROR(__xludf.DUMMYFUNCTION("""COMPUTED_VALUE"""),"Vault Hunter")</f>
        <v>Vault Hunter</v>
      </c>
      <c r="H194" s="171" t="str">
        <f>IFERROR(__xludf.DUMMYFUNCTION("""COMPUTED_VALUE"""),"Unlock 25 Vaults across Trial Chambers (This counts both Vaults and Ominous Vaults)")</f>
        <v>Unlock 25 Vaults across Trial Chambers (This counts both Vaults and Ominous Vaults)</v>
      </c>
      <c r="R194" s="54"/>
      <c r="U194" s="172" t="str">
        <f>IFERROR(__xludf.DUMMYFUNCTION("""COMPUTED_VALUE"""),"")</f>
        <v/>
      </c>
      <c r="V194" s="173" t="str">
        <f>IFERROR(__xludf.DUMMYFUNCTION("""COMPUTED_VALUE"""),"Bowl")</f>
        <v>Bowl</v>
      </c>
      <c r="W194" s="174"/>
    </row>
    <row r="195">
      <c r="B195" s="169" t="str">
        <f>IFERROR(__xludf.DUMMYFUNCTION("""COMPUTED_VALUE"""),"")</f>
        <v/>
      </c>
      <c r="D195" s="170" t="str">
        <f>IFERROR(__xludf.DUMMYFUNCTION("""COMPUTED_VALUE"""),"Keys to Success")</f>
        <v>Keys to Success</v>
      </c>
      <c r="H195" s="171" t="str">
        <f>IFERROR(__xludf.DUMMYFUNCTION("""COMPUTED_VALUE"""),"Collect a stack of all kinds of keys (Obtain 64 Trial Keys and 64 Ominous Trial Keys)")</f>
        <v>Collect a stack of all kinds of keys (Obtain 64 Trial Keys and 64 Ominous Trial Keys)</v>
      </c>
      <c r="R195" s="54"/>
      <c r="U195" s="172" t="str">
        <f>IFERROR(__xludf.DUMMYFUNCTION("""COMPUTED_VALUE"""),"")</f>
        <v/>
      </c>
      <c r="V195" s="173" t="str">
        <f>IFERROR(__xludf.DUMMYFUNCTION("""COMPUTED_VALUE"""),"Brain Coral")</f>
        <v>Brain Coral</v>
      </c>
      <c r="W195" s="174"/>
    </row>
    <row r="196">
      <c r="B196" s="169" t="str">
        <f>IFERROR(__xludf.DUMMYFUNCTION("""COMPUTED_VALUE"""),"")</f>
        <v/>
      </c>
      <c r="D196" s="170" t="str">
        <f>IFERROR(__xludf.DUMMYFUNCTION("""COMPUTED_VALUE"""),"Tricky Treasures")</f>
        <v>Tricky Treasures</v>
      </c>
      <c r="H196" s="171" t="str">
        <f>IFERROR(__xludf.DUMMYFUNCTION("""COMPUTED_VALUE"""),"Collect every kind of treasure item that can only be found in Trial Chambers (See requirement notes below)")</f>
        <v>Collect every kind of treasure item that can only be found in Trial Chambers (See requirement notes below)</v>
      </c>
      <c r="R196" s="54"/>
      <c r="U196" s="172" t="str">
        <f>IFERROR(__xludf.DUMMYFUNCTION("""COMPUTED_VALUE"""),"")</f>
        <v/>
      </c>
      <c r="V196" s="173" t="str">
        <f>IFERROR(__xludf.DUMMYFUNCTION("""COMPUTED_VALUE"""),"Brain Coral Block")</f>
        <v>Brain Coral Block</v>
      </c>
      <c r="W196" s="174"/>
    </row>
    <row r="197">
      <c r="B197" s="169" t="str">
        <f>IFERROR(__xludf.DUMMYFUNCTION("""COMPUTED_VALUE"""),"")</f>
        <v/>
      </c>
      <c r="D197" s="170" t="str">
        <f>IFERROR(__xludf.DUMMYFUNCTION("""COMPUTED_VALUE"""),"The Power of Books")</f>
        <v>The Power of Books</v>
      </c>
      <c r="H197" s="171" t="str">
        <f>IFERROR(__xludf.DUMMYFUNCTION("""COMPUTED_VALUE"""),"Read the power signal of a Chiseled Bookshelf using a comparator (Place a comparator facing outwards from a Chiseled Bookshelf OR place a Chiseled Bookshelf behind a comparator)")</f>
        <v>Read the power signal of a Chiseled Bookshelf using a comparator (Place a comparator facing outwards from a Chiseled Bookshelf OR place a Chiseled Bookshelf behind a comparator)</v>
      </c>
      <c r="R197" s="54"/>
      <c r="U197" s="172" t="str">
        <f>IFERROR(__xludf.DUMMYFUNCTION("""COMPUTED_VALUE"""),"")</f>
        <v/>
      </c>
      <c r="V197" s="173" t="str">
        <f>IFERROR(__xludf.DUMMYFUNCTION("""COMPUTED_VALUE"""),"Brain Coral Fan")</f>
        <v>Brain Coral Fan</v>
      </c>
      <c r="W197" s="174"/>
    </row>
    <row r="198">
      <c r="B198" s="169" t="str">
        <f>IFERROR(__xludf.DUMMYFUNCTION("""COMPUTED_VALUE"""),"")</f>
        <v/>
      </c>
      <c r="D198" s="170" t="str">
        <f>IFERROR(__xludf.DUMMYFUNCTION("""COMPUTED_VALUE"""),"We Have Liftoff!")</f>
        <v>We Have Liftoff!</v>
      </c>
      <c r="H198" s="171" t="str">
        <f>IFERROR(__xludf.DUMMYFUNCTION("""COMPUTED_VALUE"""),"Build a redstone machine that uses TNT to launch you at least 100 blocks into the stratosphere (An explosion from TNT must launch you at least 100 blocks upward)")</f>
        <v>Build a redstone machine that uses TNT to launch you at least 100 blocks into the stratosphere (An explosion from TNT must launch you at least 100 blocks upward)</v>
      </c>
      <c r="R198" s="54"/>
      <c r="U198" s="172" t="str">
        <f>IFERROR(__xludf.DUMMYFUNCTION("""COMPUTED_VALUE"""),"")</f>
        <v/>
      </c>
      <c r="V198" s="173" t="str">
        <f>IFERROR(__xludf.DUMMYFUNCTION("""COMPUTED_VALUE"""),"Bread")</f>
        <v>Bread</v>
      </c>
      <c r="W198" s="174"/>
    </row>
    <row r="199">
      <c r="B199" s="169" t="str">
        <f>IFERROR(__xludf.DUMMYFUNCTION("""COMPUTED_VALUE"""),"")</f>
        <v/>
      </c>
      <c r="D199" s="170" t="str">
        <f>IFERROR(__xludf.DUMMYFUNCTION("""COMPUTED_VALUE"""),"Target Practise")</f>
        <v>Target Practise</v>
      </c>
      <c r="H199" s="171" t="str">
        <f>IFERROR(__xludf.DUMMYFUNCTION("""COMPUTED_VALUE"""),"Hit a Target with all types of projectiles (See requirement notes below)")</f>
        <v>Hit a Target with all types of projectiles (See requirement notes below)</v>
      </c>
      <c r="R199" s="54"/>
      <c r="U199" s="172" t="str">
        <f>IFERROR(__xludf.DUMMYFUNCTION("""COMPUTED_VALUE"""),"")</f>
        <v/>
      </c>
      <c r="V199" s="173" t="str">
        <f>IFERROR(__xludf.DUMMYFUNCTION("""COMPUTED_VALUE"""),"Breeze Rod")</f>
        <v>Breeze Rod</v>
      </c>
      <c r="W199" s="174"/>
    </row>
    <row r="200">
      <c r="B200" s="169" t="str">
        <f>IFERROR(__xludf.DUMMYFUNCTION("""COMPUTED_VALUE"""),"")</f>
        <v/>
      </c>
      <c r="D200" s="170" t="str">
        <f>IFERROR(__xludf.DUMMYFUNCTION("""COMPUTED_VALUE"""),"Bullseye")</f>
        <v>Bullseye</v>
      </c>
      <c r="H200" s="171" t="str">
        <f>IFERROR(__xludf.DUMMYFUNCTION("""COMPUTED_VALUE"""),"Hit the bullseye of a Target Block with an arrow (Output a signal strength of 15 on a Target using an arrow from 30 blocks away)")</f>
        <v>Hit the bullseye of a Target Block with an arrow (Output a signal strength of 15 on a Target using an arrow from 30 blocks away)</v>
      </c>
      <c r="R200" s="54"/>
      <c r="U200" s="172" t="str">
        <f>IFERROR(__xludf.DUMMYFUNCTION("""COMPUTED_VALUE"""),"")</f>
        <v/>
      </c>
      <c r="V200" s="173" t="str">
        <f>IFERROR(__xludf.DUMMYFUNCTION("""COMPUTED_VALUE"""),"Brewer Pottery Sherd")</f>
        <v>Brewer Pottery Sherd</v>
      </c>
      <c r="W200" s="174"/>
    </row>
    <row r="201">
      <c r="B201" s="169" t="str">
        <f>IFERROR(__xludf.DUMMYFUNCTION("""COMPUTED_VALUE"""),"")</f>
        <v/>
      </c>
      <c r="D201" s="170" t="str">
        <f>IFERROR(__xludf.DUMMYFUNCTION("""COMPUTED_VALUE"""),"Crafters Crafting Crafters")</f>
        <v>Crafters Crafting Crafters</v>
      </c>
      <c r="H201" s="171" t="str">
        <f>IFERROR(__xludf.DUMMYFUNCTION("""COMPUTED_VALUE"""),"Be near a Crafter when it crafts a Crafter")</f>
        <v>Be near a Crafter when it crafts a Crafter</v>
      </c>
      <c r="R201" s="54"/>
      <c r="U201" s="172" t="str">
        <f>IFERROR(__xludf.DUMMYFUNCTION("""COMPUTED_VALUE"""),"")</f>
        <v/>
      </c>
      <c r="V201" s="173" t="str">
        <f>IFERROR(__xludf.DUMMYFUNCTION("""COMPUTED_VALUE"""),"Brewing Stand")</f>
        <v>Brewing Stand</v>
      </c>
      <c r="W201" s="174"/>
    </row>
    <row r="202">
      <c r="B202" s="169" t="str">
        <f>IFERROR(__xludf.DUMMYFUNCTION("""COMPUTED_VALUE"""),"")</f>
        <v/>
      </c>
      <c r="D202" s="170" t="str">
        <f>IFERROR(__xludf.DUMMYFUNCTION("""COMPUTED_VALUE"""),"Factorio")</f>
        <v>Factorio</v>
      </c>
      <c r="H202" s="171" t="str">
        <f>IFERROR(__xludf.DUMMYFUNCTION("""COMPUTED_VALUE"""),"Be near a Crafter when it crafts a Dispenser 64 times")</f>
        <v>Be near a Crafter when it crafts a Dispenser 64 times</v>
      </c>
      <c r="R202" s="54"/>
      <c r="U202" s="172" t="str">
        <f>IFERROR(__xludf.DUMMYFUNCTION("""COMPUTED_VALUE"""),"")</f>
        <v/>
      </c>
      <c r="V202" s="173" t="str">
        <f>IFERROR(__xludf.DUMMYFUNCTION("""COMPUTED_VALUE"""),"Brick")</f>
        <v>Brick</v>
      </c>
      <c r="W202" s="174"/>
    </row>
    <row r="203">
      <c r="B203" s="169" t="str">
        <f>IFERROR(__xludf.DUMMYFUNCTION("""COMPUTED_VALUE"""),"")</f>
        <v/>
      </c>
      <c r="D203" s="170" t="str">
        <f>IFERROR(__xludf.DUMMYFUNCTION("""COMPUTED_VALUE"""),"Take Notes")</f>
        <v>Take Notes</v>
      </c>
      <c r="H203" s="171" t="str">
        <f>IFERROR(__xludf.DUMMYFUNCTION("""COMPUTED_VALUE"""),"Tune a Note Block through every possible note")</f>
        <v>Tune a Note Block through every possible note</v>
      </c>
      <c r="R203" s="54"/>
      <c r="U203" s="172" t="str">
        <f>IFERROR(__xludf.DUMMYFUNCTION("""COMPUTED_VALUE"""),"")</f>
        <v/>
      </c>
      <c r="V203" s="173" t="str">
        <f>IFERROR(__xludf.DUMMYFUNCTION("""COMPUTED_VALUE"""),"Brick Slab")</f>
        <v>Brick Slab</v>
      </c>
      <c r="W203" s="174"/>
    </row>
    <row r="204">
      <c r="B204" s="169" t="str">
        <f>IFERROR(__xludf.DUMMYFUNCTION("""COMPUTED_VALUE"""),"")</f>
        <v/>
      </c>
      <c r="D204" s="170" t="str">
        <f>IFERROR(__xludf.DUMMYFUNCTION("""COMPUTED_VALUE"""),"Noteworthy")</f>
        <v>Noteworthy</v>
      </c>
      <c r="H204" s="171" t="str">
        <f>IFERROR(__xludf.DUMMYFUNCTION("""COMPUTED_VALUE"""),"Play every possible instrument on a Note Block (See requirement notes below)")</f>
        <v>Play every possible instrument on a Note Block (See requirement notes below)</v>
      </c>
      <c r="R204" s="54"/>
      <c r="U204" s="172" t="str">
        <f>IFERROR(__xludf.DUMMYFUNCTION("""COMPUTED_VALUE"""),"")</f>
        <v/>
      </c>
      <c r="V204" s="173" t="str">
        <f>IFERROR(__xludf.DUMMYFUNCTION("""COMPUTED_VALUE"""),"Brick Stairs")</f>
        <v>Brick Stairs</v>
      </c>
      <c r="W204" s="174"/>
    </row>
    <row r="205">
      <c r="B205" s="169" t="str">
        <f>IFERROR(__xludf.DUMMYFUNCTION("""COMPUTED_VALUE"""),"")</f>
        <v/>
      </c>
      <c r="D205" s="170" t="str">
        <f>IFERROR(__xludf.DUMMYFUNCTION("""COMPUTED_VALUE"""),"Travelling Bard")</f>
        <v>Travelling Bard</v>
      </c>
      <c r="H205" s="171" t="str">
        <f>IFERROR(__xludf.DUMMYFUNCTION("""COMPUTED_VALUE"""),"Play a Note Block in every type of biome (See requirement notes below)")</f>
        <v>Play a Note Block in every type of biome (See requirement notes below)</v>
      </c>
      <c r="R205" s="54"/>
      <c r="U205" s="172" t="str">
        <f>IFERROR(__xludf.DUMMYFUNCTION("""COMPUTED_VALUE"""),"")</f>
        <v/>
      </c>
      <c r="V205" s="173" t="str">
        <f>IFERROR(__xludf.DUMMYFUNCTION("""COMPUTED_VALUE"""),"Brick Wall")</f>
        <v>Brick Wall</v>
      </c>
      <c r="W205" s="174"/>
    </row>
    <row r="206">
      <c r="B206" s="169" t="str">
        <f>IFERROR(__xludf.DUMMYFUNCTION("""COMPUTED_VALUE"""),"")</f>
        <v/>
      </c>
      <c r="D206" s="170" t="str">
        <f>IFERROR(__xludf.DUMMYFUNCTION("""COMPUTED_VALUE"""),"Monstrous Music")</f>
        <v>Monstrous Music</v>
      </c>
      <c r="H206" s="171" t="str">
        <f>IFERROR(__xludf.DUMMYFUNCTION("""COMPUTED_VALUE"""),"Play Note Blocks with each type of mob head above it (Play a note block with a Zombie, Skeleton, Wither Skeleton, Creeper, Piglin and Dragon Head on top)")</f>
        <v>Play Note Blocks with each type of mob head above it (Play a note block with a Zombie, Skeleton, Wither Skeleton, Creeper, Piglin and Dragon Head on top)</v>
      </c>
      <c r="R206" s="54"/>
      <c r="U206" s="172" t="str">
        <f>IFERROR(__xludf.DUMMYFUNCTION("""COMPUTED_VALUE"""),"")</f>
        <v/>
      </c>
      <c r="V206" s="173" t="str">
        <f>IFERROR(__xludf.DUMMYFUNCTION("""COMPUTED_VALUE"""),"Bricks")</f>
        <v>Bricks</v>
      </c>
      <c r="W206" s="174"/>
    </row>
    <row r="207">
      <c r="B207" s="169" t="str">
        <f>IFERROR(__xludf.DUMMYFUNCTION("""COMPUTED_VALUE"""),"")</f>
        <v/>
      </c>
      <c r="D207" s="170" t="str">
        <f>IFERROR(__xludf.DUMMYFUNCTION("""COMPUTED_VALUE"""),"On A Rail")</f>
        <v>On A Rail</v>
      </c>
      <c r="H207" s="171" t="str">
        <f>IFERROR(__xludf.DUMMYFUNCTION("""COMPUTED_VALUE"""),"Travel by Minecart in a straight line to at least 1 km from where you started")</f>
        <v>Travel by Minecart in a straight line to at least 1 km from where you started</v>
      </c>
      <c r="R207" s="54"/>
      <c r="U207" s="172" t="str">
        <f>IFERROR(__xludf.DUMMYFUNCTION("""COMPUTED_VALUE"""),"")</f>
        <v/>
      </c>
      <c r="V207" s="173" t="str">
        <f>IFERROR(__xludf.DUMMYFUNCTION("""COMPUTED_VALUE"""),"Brown Banner")</f>
        <v>Brown Banner</v>
      </c>
      <c r="W207" s="174"/>
    </row>
    <row r="208">
      <c r="B208" s="169" t="str">
        <f>IFERROR(__xludf.DUMMYFUNCTION("""COMPUTED_VALUE"""),"")</f>
        <v/>
      </c>
      <c r="D208" s="170" t="str">
        <f>IFERROR(__xludf.DUMMYFUNCTION("""COMPUTED_VALUE"""),"Sculker Box")</f>
        <v>Sculker Box</v>
      </c>
      <c r="H208" s="171" t="str">
        <f>IFERROR(__xludf.DUMMYFUNCTION("""COMPUTED_VALUE"""),"Hold a Shulker Box that is completely filled with Sculk")</f>
        <v>Hold a Shulker Box that is completely filled with Sculk</v>
      </c>
      <c r="R208" s="54"/>
      <c r="U208" s="172" t="str">
        <f>IFERROR(__xludf.DUMMYFUNCTION("""COMPUTED_VALUE"""),"")</f>
        <v/>
      </c>
      <c r="V208" s="173" t="str">
        <f>IFERROR(__xludf.DUMMYFUNCTION("""COMPUTED_VALUE"""),"Brown Bed")</f>
        <v>Brown Bed</v>
      </c>
      <c r="W208" s="174"/>
    </row>
    <row r="209">
      <c r="B209" s="169" t="str">
        <f>IFERROR(__xludf.DUMMYFUNCTION("""COMPUTED_VALUE"""),"")</f>
        <v/>
      </c>
      <c r="D209" s="170" t="str">
        <f>IFERROR(__xludf.DUMMYFUNCTION("""COMPUTED_VALUE"""),"Monstrous Sacrifices")</f>
        <v>Monstrous Sacrifices</v>
      </c>
      <c r="H209" s="171" t="str">
        <f>IFERROR(__xludf.DUMMYFUNCTION("""COMPUTED_VALUE"""),"Kill every hostile monster near a Sculk Catalyst (See the requirement notes for ""Monsters Hunted"" in the Adventure tab. Ender Dragon is not required)")</f>
        <v>Kill every hostile monster near a Sculk Catalyst (See the requirement notes for "Monsters Hunted" in the Adventure tab. Ender Dragon is not required)</v>
      </c>
      <c r="R209" s="54"/>
      <c r="U209" s="172" t="str">
        <f>IFERROR(__xludf.DUMMYFUNCTION("""COMPUTED_VALUE"""),"")</f>
        <v/>
      </c>
      <c r="V209" s="173" t="str">
        <f>IFERROR(__xludf.DUMMYFUNCTION("""COMPUTED_VALUE"""),"Brown Candle")</f>
        <v>Brown Candle</v>
      </c>
      <c r="W209" s="174"/>
    </row>
    <row r="210">
      <c r="B210" s="169" t="str">
        <f>IFERROR(__xludf.DUMMYFUNCTION("""COMPUTED_VALUE"""),"")</f>
        <v/>
      </c>
      <c r="D210" s="170" t="str">
        <f>IFERROR(__xludf.DUMMYFUNCTION("""COMPUTED_VALUE"""),"Over-Overkill")</f>
        <v>Over-Overkill</v>
      </c>
      <c r="H210" s="171" t="str">
        <f>IFERROR(__xludf.DUMMYFUNCTION("""COMPUTED_VALUE"""),"Deal 16 hearts of damage in a single melee blow without using a Mace (Deal at least sixteen hearts of damage with any melee attack)")</f>
        <v>Deal 16 hearts of damage in a single melee blow without using a Mace (Deal at least sixteen hearts of damage with any melee attack)</v>
      </c>
      <c r="R210" s="54"/>
      <c r="U210" s="172" t="str">
        <f>IFERROR(__xludf.DUMMYFUNCTION("""COMPUTED_VALUE"""),"")</f>
        <v/>
      </c>
      <c r="V210" s="173" t="str">
        <f>IFERROR(__xludf.DUMMYFUNCTION("""COMPUTED_VALUE"""),"Brown Carpet")</f>
        <v>Brown Carpet</v>
      </c>
      <c r="W210" s="174"/>
    </row>
    <row r="211">
      <c r="B211" s="169" t="str">
        <f>IFERROR(__xludf.DUMMYFUNCTION("""COMPUTED_VALUE"""),"")</f>
        <v/>
      </c>
      <c r="D211" s="170" t="str">
        <f>IFERROR(__xludf.DUMMYFUNCTION("""COMPUTED_VALUE"""),"Arbalistic")</f>
        <v>Arbalistic</v>
      </c>
      <c r="H211" s="171" t="str">
        <f>IFERROR(__xludf.DUMMYFUNCTION("""COMPUTED_VALUE"""),"Kill five unique mobs with one crossbow shot")</f>
        <v>Kill five unique mobs with one crossbow shot</v>
      </c>
      <c r="R211" s="54"/>
      <c r="U211" s="172" t="str">
        <f>IFERROR(__xludf.DUMMYFUNCTION("""COMPUTED_VALUE"""),"")</f>
        <v/>
      </c>
      <c r="V211" s="173" t="str">
        <f>IFERROR(__xludf.DUMMYFUNCTION("""COMPUTED_VALUE"""),"Brown Concrete")</f>
        <v>Brown Concrete</v>
      </c>
      <c r="W211" s="174"/>
    </row>
    <row r="212">
      <c r="B212" s="169" t="str">
        <f>IFERROR(__xludf.DUMMYFUNCTION("""COMPUTED_VALUE"""),"")</f>
        <v/>
      </c>
      <c r="D212" s="170" t="str">
        <f>IFERROR(__xludf.DUMMYFUNCTION("""COMPUTED_VALUE"""),"Whack-a-mole")</f>
        <v>Whack-a-mole</v>
      </c>
      <c r="H212" s="171" t="str">
        <f>IFERROR(__xludf.DUMMYFUNCTION("""COMPUTED_VALUE"""),"Using a Mace enchanted with Wind Burst, hit eight Armadillos consecutively without touching the ground")</f>
        <v>Using a Mace enchanted with Wind Burst, hit eight Armadillos consecutively without touching the ground</v>
      </c>
      <c r="R212" s="54"/>
      <c r="U212" s="172" t="str">
        <f>IFERROR(__xludf.DUMMYFUNCTION("""COMPUTED_VALUE"""),"")</f>
        <v/>
      </c>
      <c r="V212" s="173" t="str">
        <f>IFERROR(__xludf.DUMMYFUNCTION("""COMPUTED_VALUE"""),"Brown Concrete Powder")</f>
        <v>Brown Concrete Powder</v>
      </c>
      <c r="W212" s="174"/>
    </row>
    <row r="213">
      <c r="B213" s="169" t="str">
        <f>IFERROR(__xludf.DUMMYFUNCTION("""COMPUTED_VALUE"""),"")</f>
        <v/>
      </c>
      <c r="D213" s="170" t="str">
        <f>IFERROR(__xludf.DUMMYFUNCTION("""COMPUTED_VALUE"""),"Silent But Deadly")</f>
        <v>Silent But Deadly</v>
      </c>
      <c r="H213" s="171" t="str">
        <f>IFERROR(__xludf.DUMMYFUNCTION("""COMPUTED_VALUE"""),"Sneak and sprint on sculk with Speed II while wearing Swift Sneak III leggings. Try saying that six times swiftly")</f>
        <v>Sneak and sprint on sculk with Speed II while wearing Swift Sneak III leggings. Try saying that six times swiftly</v>
      </c>
      <c r="R213" s="54"/>
      <c r="U213" s="172" t="str">
        <f>IFERROR(__xludf.DUMMYFUNCTION("""COMPUTED_VALUE"""),"")</f>
        <v/>
      </c>
      <c r="V213" s="173" t="str">
        <f>IFERROR(__xludf.DUMMYFUNCTION("""COMPUTED_VALUE"""),"Brown Dye")</f>
        <v>Brown Dye</v>
      </c>
      <c r="W213" s="174"/>
    </row>
    <row r="214">
      <c r="B214" s="169" t="str">
        <f>IFERROR(__xludf.DUMMYFUNCTION("""COMPUTED_VALUE"""),"")</f>
        <v/>
      </c>
      <c r="D214" s="170" t="str">
        <f>IFERROR(__xludf.DUMMYFUNCTION("""COMPUTED_VALUE"""),"Baron of Blacksmiths")</f>
        <v>Baron of Blacksmiths</v>
      </c>
      <c r="H214" s="171" t="str">
        <f>IFERROR(__xludf.DUMMYFUNCTION("""COMPUTED_VALUE"""),"Get a stack of regular, chipped and damaged Anvils")</f>
        <v>Get a stack of regular, chipped and damaged Anvils</v>
      </c>
      <c r="R214" s="54"/>
      <c r="U214" s="172" t="str">
        <f>IFERROR(__xludf.DUMMYFUNCTION("""COMPUTED_VALUE"""),"")</f>
        <v/>
      </c>
      <c r="V214" s="173" t="str">
        <f>IFERROR(__xludf.DUMMYFUNCTION("""COMPUTED_VALUE"""),"Brown Glazed Terracotta")</f>
        <v>Brown Glazed Terracotta</v>
      </c>
      <c r="W214" s="174"/>
    </row>
    <row r="215">
      <c r="B215" s="169" t="str">
        <f>IFERROR(__xludf.DUMMYFUNCTION("""COMPUTED_VALUE"""),"")</f>
        <v/>
      </c>
      <c r="D215" s="170" t="str">
        <f>IFERROR(__xludf.DUMMYFUNCTION("""COMPUTED_VALUE"""),"This name sounds cooler")</f>
        <v>This name sounds cooler</v>
      </c>
      <c r="H215" s="171" t="str">
        <f>IFERROR(__xludf.DUMMYFUNCTION("""COMPUTED_VALUE"""),"Name your Diamond Sword 'Diamond Edge' (Hold the named item in your mainhand)")</f>
        <v>Name your Diamond Sword 'Diamond Edge' (Hold the named item in your mainhand)</v>
      </c>
      <c r="R215" s="54"/>
      <c r="U215" s="172" t="str">
        <f>IFERROR(__xludf.DUMMYFUNCTION("""COMPUTED_VALUE"""),"")</f>
        <v/>
      </c>
      <c r="V215" s="173" t="str">
        <f>IFERROR(__xludf.DUMMYFUNCTION("""COMPUTED_VALUE"""),"Brown Mushroom")</f>
        <v>Brown Mushroom</v>
      </c>
      <c r="W215" s="174"/>
    </row>
    <row r="216">
      <c r="B216" s="169" t="str">
        <f>IFERROR(__xludf.DUMMYFUNCTION("""COMPUTED_VALUE"""),"")</f>
        <v/>
      </c>
      <c r="D216" s="170" t="str">
        <f>IFERROR(__xludf.DUMMYFUNCTION("""COMPUTED_VALUE"""),"I'll be back")</f>
        <v>I'll be back</v>
      </c>
      <c r="H216" s="171" t="str">
        <f>IFERROR(__xludf.DUMMYFUNCTION("""COMPUTED_VALUE"""),"Name your Bow 'Terminator' (Hold the named item in your mainhand)")</f>
        <v>Name your Bow 'Terminator' (Hold the named item in your mainhand)</v>
      </c>
      <c r="R216" s="54"/>
      <c r="U216" s="172" t="str">
        <f>IFERROR(__xludf.DUMMYFUNCTION("""COMPUTED_VALUE"""),"")</f>
        <v/>
      </c>
      <c r="V216" s="173" t="str">
        <f>IFERROR(__xludf.DUMMYFUNCTION("""COMPUTED_VALUE"""),"Brown Mushroom Block")</f>
        <v>Brown Mushroom Block</v>
      </c>
      <c r="W216" s="174"/>
    </row>
    <row r="217">
      <c r="B217" s="169" t="str">
        <f>IFERROR(__xludf.DUMMYFUNCTION("""COMPUTED_VALUE"""),"")</f>
        <v/>
      </c>
      <c r="D217" s="170" t="str">
        <f>IFERROR(__xludf.DUMMYFUNCTION("""COMPUTED_VALUE"""),"God of Thunder")</f>
        <v>God of Thunder</v>
      </c>
      <c r="H217" s="171" t="str">
        <f>IFERROR(__xludf.DUMMYFUNCTION("""COMPUTED_VALUE"""),"Name your Trident with Loyalty III and Channeling 'Mjolnir' (Hold the named item in your mainhand)")</f>
        <v>Name your Trident with Loyalty III and Channeling 'Mjolnir' (Hold the named item in your mainhand)</v>
      </c>
      <c r="R217" s="54"/>
      <c r="U217" s="172" t="str">
        <f>IFERROR(__xludf.DUMMYFUNCTION("""COMPUTED_VALUE"""),"")</f>
        <v/>
      </c>
      <c r="V217" s="173" t="str">
        <f>IFERROR(__xludf.DUMMYFUNCTION("""COMPUTED_VALUE"""),"Brown Shulker Box")</f>
        <v>Brown Shulker Box</v>
      </c>
      <c r="W217" s="174"/>
    </row>
    <row r="218">
      <c r="B218" s="169" t="str">
        <f>IFERROR(__xludf.DUMMYFUNCTION("""COMPUTED_VALUE"""),"")</f>
        <v/>
      </c>
      <c r="D218" s="170" t="str">
        <f>IFERROR(__xludf.DUMMYFUNCTION("""COMPUTED_VALUE"""),"Master Miner")</f>
        <v>Master Miner</v>
      </c>
      <c r="H218" s="171" t="str">
        <f>IFERROR(__xludf.DUMMYFUNCTION("""COMPUTED_VALUE"""),"Create a pickaxe with all possible enchantments at max level (See requirement notes below)")</f>
        <v>Create a pickaxe with all possible enchantments at max level (See requirement notes below)</v>
      </c>
      <c r="R218" s="54"/>
      <c r="U218" s="172" t="str">
        <f>IFERROR(__xludf.DUMMYFUNCTION("""COMPUTED_VALUE"""),"")</f>
        <v/>
      </c>
      <c r="V218" s="173" t="str">
        <f>IFERROR(__xludf.DUMMYFUNCTION("""COMPUTED_VALUE"""),"Brown Stained Glass")</f>
        <v>Brown Stained Glass</v>
      </c>
      <c r="W218" s="174"/>
    </row>
    <row r="219">
      <c r="B219" s="169" t="str">
        <f>IFERROR(__xludf.DUMMYFUNCTION("""COMPUTED_VALUE"""),"")</f>
        <v/>
      </c>
      <c r="D219" s="170" t="str">
        <f>IFERROR(__xludf.DUMMYFUNCTION("""COMPUTED_VALUE"""),"Master Digger")</f>
        <v>Master Digger</v>
      </c>
      <c r="H219" s="171" t="str">
        <f>IFERROR(__xludf.DUMMYFUNCTION("""COMPUTED_VALUE"""),"Create a shovel with all possible enchantments at max level (See requirement notes below)")</f>
        <v>Create a shovel with all possible enchantments at max level (See requirement notes below)</v>
      </c>
      <c r="R219" s="54"/>
      <c r="U219" s="172" t="str">
        <f>IFERROR(__xludf.DUMMYFUNCTION("""COMPUTED_VALUE"""),"")</f>
        <v/>
      </c>
      <c r="V219" s="173" t="str">
        <f>IFERROR(__xludf.DUMMYFUNCTION("""COMPUTED_VALUE"""),"Brown Stained Glass Pane")</f>
        <v>Brown Stained Glass Pane</v>
      </c>
      <c r="W219" s="174"/>
    </row>
    <row r="220">
      <c r="B220" s="169" t="str">
        <f>IFERROR(__xludf.DUMMYFUNCTION("""COMPUTED_VALUE"""),"")</f>
        <v/>
      </c>
      <c r="D220" s="170" t="str">
        <f>IFERROR(__xludf.DUMMYFUNCTION("""COMPUTED_VALUE"""),"Master Axeman")</f>
        <v>Master Axeman</v>
      </c>
      <c r="H220" s="171" t="str">
        <f>IFERROR(__xludf.DUMMYFUNCTION("""COMPUTED_VALUE"""),"Create a axe with all possible enchantments at max level (See requirement notes below)")</f>
        <v>Create a axe with all possible enchantments at max level (See requirement notes below)</v>
      </c>
      <c r="R220" s="54"/>
      <c r="U220" s="172" t="str">
        <f>IFERROR(__xludf.DUMMYFUNCTION("""COMPUTED_VALUE"""),"")</f>
        <v/>
      </c>
      <c r="V220" s="173" t="str">
        <f>IFERROR(__xludf.DUMMYFUNCTION("""COMPUTED_VALUE"""),"Brown Terracotta")</f>
        <v>Brown Terracotta</v>
      </c>
      <c r="W220" s="174"/>
    </row>
    <row r="221">
      <c r="B221" s="169" t="str">
        <f>IFERROR(__xludf.DUMMYFUNCTION("""COMPUTED_VALUE"""),"")</f>
        <v/>
      </c>
      <c r="D221" s="170" t="str">
        <f>IFERROR(__xludf.DUMMYFUNCTION("""COMPUTED_VALUE"""),"Master Farmer")</f>
        <v>Master Farmer</v>
      </c>
      <c r="H221" s="171" t="str">
        <f>IFERROR(__xludf.DUMMYFUNCTION("""COMPUTED_VALUE"""),"Create a hoe with all possible enchantments at max level (See requirement notes below)")</f>
        <v>Create a hoe with all possible enchantments at max level (See requirement notes below)</v>
      </c>
      <c r="R221" s="54"/>
      <c r="U221" s="172" t="str">
        <f>IFERROR(__xludf.DUMMYFUNCTION("""COMPUTED_VALUE"""),"")</f>
        <v/>
      </c>
      <c r="V221" s="173" t="str">
        <f>IFERROR(__xludf.DUMMYFUNCTION("""COMPUTED_VALUE"""),"Brown Wool")</f>
        <v>Brown Wool</v>
      </c>
      <c r="W221" s="174"/>
    </row>
    <row r="222">
      <c r="B222" s="169" t="str">
        <f>IFERROR(__xludf.DUMMYFUNCTION("""COMPUTED_VALUE"""),"")</f>
        <v/>
      </c>
      <c r="D222" s="170" t="str">
        <f>IFERROR(__xludf.DUMMYFUNCTION("""COMPUTED_VALUE"""),"Master Knight")</f>
        <v>Master Knight</v>
      </c>
      <c r="H222" s="171" t="str">
        <f>IFERROR(__xludf.DUMMYFUNCTION("""COMPUTED_VALUE"""),"Create a sword with all possible enchantments at max level (See requirement notes below)")</f>
        <v>Create a sword with all possible enchantments at max level (See requirement notes below)</v>
      </c>
      <c r="R222" s="54"/>
      <c r="U222" s="172" t="str">
        <f>IFERROR(__xludf.DUMMYFUNCTION("""COMPUTED_VALUE"""),"")</f>
        <v/>
      </c>
      <c r="V222" s="173" t="str">
        <f>IFERROR(__xludf.DUMMYFUNCTION("""COMPUTED_VALUE"""),"Brush")</f>
        <v>Brush</v>
      </c>
      <c r="W222" s="174"/>
    </row>
    <row r="223">
      <c r="B223" s="169" t="str">
        <f>IFERROR(__xludf.DUMMYFUNCTION("""COMPUTED_VALUE"""),"")</f>
        <v/>
      </c>
      <c r="D223" s="170" t="str">
        <f>IFERROR(__xludf.DUMMYFUNCTION("""COMPUTED_VALUE"""),"Master Sniper")</f>
        <v>Master Sniper</v>
      </c>
      <c r="H223" s="171" t="str">
        <f>IFERROR(__xludf.DUMMYFUNCTION("""COMPUTED_VALUE"""),"Create a bow with all possible enchantments at max level (See requirement notes below)")</f>
        <v>Create a bow with all possible enchantments at max level (See requirement notes below)</v>
      </c>
      <c r="R223" s="54"/>
      <c r="U223" s="172" t="str">
        <f>IFERROR(__xludf.DUMMYFUNCTION("""COMPUTED_VALUE"""),"")</f>
        <v/>
      </c>
      <c r="V223" s="173" t="str">
        <f>IFERROR(__xludf.DUMMYFUNCTION("""COMPUTED_VALUE"""),"Bubble Coral")</f>
        <v>Bubble Coral</v>
      </c>
      <c r="W223" s="174"/>
    </row>
    <row r="224">
      <c r="B224" s="169" t="str">
        <f>IFERROR(__xludf.DUMMYFUNCTION("""COMPUTED_VALUE"""),"")</f>
        <v/>
      </c>
      <c r="D224" s="170" t="str">
        <f>IFERROR(__xludf.DUMMYFUNCTION("""COMPUTED_VALUE"""),"Master Arbalist")</f>
        <v>Master Arbalist</v>
      </c>
      <c r="H224" s="171" t="str">
        <f>IFERROR(__xludf.DUMMYFUNCTION("""COMPUTED_VALUE"""),"Create a crossbow with all possible enchantments at max level (See requirement notes below)")</f>
        <v>Create a crossbow with all possible enchantments at max level (See requirement notes below)</v>
      </c>
      <c r="R224" s="54"/>
      <c r="U224" s="172" t="str">
        <f>IFERROR(__xludf.DUMMYFUNCTION("""COMPUTED_VALUE"""),"")</f>
        <v/>
      </c>
      <c r="V224" s="173" t="str">
        <f>IFERROR(__xludf.DUMMYFUNCTION("""COMPUTED_VALUE"""),"Bubble Coral Block")</f>
        <v>Bubble Coral Block</v>
      </c>
      <c r="W224" s="174"/>
    </row>
    <row r="225">
      <c r="B225" s="169" t="str">
        <f>IFERROR(__xludf.DUMMYFUNCTION("""COMPUTED_VALUE"""),"")</f>
        <v/>
      </c>
      <c r="D225" s="170" t="str">
        <f>IFERROR(__xludf.DUMMYFUNCTION("""COMPUTED_VALUE"""),"Master Armorer")</f>
        <v>Master Armorer</v>
      </c>
      <c r="H225" s="171" t="str">
        <f>IFERROR(__xludf.DUMMYFUNCTION("""COMPUTED_VALUE"""),"Create a full suit of armor with all possible enchantments at max level (See requirement notes below)")</f>
        <v>Create a full suit of armor with all possible enchantments at max level (See requirement notes below)</v>
      </c>
      <c r="R225" s="54"/>
      <c r="U225" s="172" t="str">
        <f>IFERROR(__xludf.DUMMYFUNCTION("""COMPUTED_VALUE"""),"")</f>
        <v/>
      </c>
      <c r="V225" s="173" t="str">
        <f>IFERROR(__xludf.DUMMYFUNCTION("""COMPUTED_VALUE"""),"Bubble Coral Fan")</f>
        <v>Bubble Coral Fan</v>
      </c>
      <c r="W225" s="174"/>
    </row>
    <row r="226">
      <c r="B226" s="169" t="str">
        <f>IFERROR(__xludf.DUMMYFUNCTION("""COMPUTED_VALUE"""),"")</f>
        <v/>
      </c>
      <c r="D226" s="170" t="str">
        <f>IFERROR(__xludf.DUMMYFUNCTION("""COMPUTED_VALUE"""),"Master Fisher")</f>
        <v>Master Fisher</v>
      </c>
      <c r="H226" s="171" t="str">
        <f>IFERROR(__xludf.DUMMYFUNCTION("""COMPUTED_VALUE"""),"Create a fishing rod with all possible enchantments at max level (See requirement notes below)")</f>
        <v>Create a fishing rod with all possible enchantments at max level (See requirement notes below)</v>
      </c>
      <c r="R226" s="54"/>
      <c r="U226" s="172" t="str">
        <f>IFERROR(__xludf.DUMMYFUNCTION("""COMPUTED_VALUE"""),"")</f>
        <v/>
      </c>
      <c r="V226" s="173" t="str">
        <f>IFERROR(__xludf.DUMMYFUNCTION("""COMPUTED_VALUE"""),"Bucket")</f>
        <v>Bucket</v>
      </c>
      <c r="W226" s="174"/>
    </row>
    <row r="227">
      <c r="B227" s="169" t="str">
        <f>IFERROR(__xludf.DUMMYFUNCTION("""COMPUTED_VALUE"""),"")</f>
        <v/>
      </c>
      <c r="D227" s="170" t="str">
        <f>IFERROR(__xludf.DUMMYFUNCTION("""COMPUTED_VALUE"""),"Master Tridenteer")</f>
        <v>Master Tridenteer</v>
      </c>
      <c r="H227" s="171" t="str">
        <f>IFERROR(__xludf.DUMMYFUNCTION("""COMPUTED_VALUE"""),"Create a trident with all possible enchantments at max level (See requirement notes below)")</f>
        <v>Create a trident with all possible enchantments at max level (See requirement notes below)</v>
      </c>
      <c r="R227" s="54"/>
      <c r="U227" s="172" t="str">
        <f>IFERROR(__xludf.DUMMYFUNCTION("""COMPUTED_VALUE"""),"")</f>
        <v/>
      </c>
      <c r="V227" s="173" t="str">
        <f>IFERROR(__xludf.DUMMYFUNCTION("""COMPUTED_VALUE"""),"Burn Pottery Sherd")</f>
        <v>Burn Pottery Sherd</v>
      </c>
      <c r="W227" s="174"/>
    </row>
    <row r="228">
      <c r="B228" s="169" t="str">
        <f>IFERROR(__xludf.DUMMYFUNCTION("""COMPUTED_VALUE"""),"")</f>
        <v/>
      </c>
      <c r="D228" s="170" t="str">
        <f>IFERROR(__xludf.DUMMYFUNCTION("""COMPUTED_VALUE"""),"Master Macerator")</f>
        <v>Master Macerator</v>
      </c>
      <c r="H228" s="171" t="str">
        <f>IFERROR(__xludf.DUMMYFUNCTION("""COMPUTED_VALUE"""),"Create a mace with all possible enchantments at max level (See requirement notes below)")</f>
        <v>Create a mace with all possible enchantments at max level (See requirement notes below)</v>
      </c>
      <c r="R228" s="54"/>
      <c r="U228" s="172" t="str">
        <f>IFERROR(__xludf.DUMMYFUNCTION("""COMPUTED_VALUE"""),"")</f>
        <v/>
      </c>
      <c r="V228" s="173" t="str">
        <f>IFERROR(__xludf.DUMMYFUNCTION("""COMPUTED_VALUE"""),"Cactus")</f>
        <v>Cactus</v>
      </c>
      <c r="W228" s="174"/>
    </row>
    <row r="229">
      <c r="B229" s="169" t="str">
        <f>IFERROR(__xludf.DUMMYFUNCTION("""COMPUTED_VALUE"""),"")</f>
        <v/>
      </c>
      <c r="D229" s="170" t="str">
        <f>IFERROR(__xludf.DUMMYFUNCTION("""COMPUTED_VALUE"""),"I enjoy long walks &amp; playing MC")</f>
        <v>I enjoy long walks &amp; playing MC</v>
      </c>
      <c r="H229" s="171" t="str">
        <f>IFERROR(__xludf.DUMMYFUNCTION("""COMPUTED_VALUE"""),"Walk 250km")</f>
        <v>Walk 250km</v>
      </c>
      <c r="R229" s="54"/>
      <c r="U229" s="172" t="str">
        <f>IFERROR(__xludf.DUMMYFUNCTION("""COMPUTED_VALUE"""),"")</f>
        <v/>
      </c>
      <c r="V229" s="173" t="str">
        <f>IFERROR(__xludf.DUMMYFUNCTION("""COMPUTED_VALUE"""),"Cake")</f>
        <v>Cake</v>
      </c>
      <c r="W229" s="174"/>
    </row>
    <row r="230">
      <c r="B230" s="169" t="str">
        <f>IFERROR(__xludf.DUMMYFUNCTION("""COMPUTED_VALUE"""),"")</f>
        <v/>
      </c>
      <c r="D230" s="170" t="str">
        <f>IFERROR(__xludf.DUMMYFUNCTION("""COMPUTED_VALUE"""),"Your legs must be tired")</f>
        <v>Your legs must be tired</v>
      </c>
      <c r="H230" s="171" t="str">
        <f>IFERROR(__xludf.DUMMYFUNCTION("""COMPUTED_VALUE"""),"Sprint 250km")</f>
        <v>Sprint 250km</v>
      </c>
      <c r="R230" s="54"/>
      <c r="U230" s="172" t="str">
        <f>IFERROR(__xludf.DUMMYFUNCTION("""COMPUTED_VALUE"""),"")</f>
        <v/>
      </c>
      <c r="V230" s="173" t="str">
        <f>IFERROR(__xludf.DUMMYFUNCTION("""COMPUTED_VALUE"""),"Calcite")</f>
        <v>Calcite</v>
      </c>
      <c r="W230" s="174"/>
    </row>
    <row r="231">
      <c r="B231" s="169" t="str">
        <f>IFERROR(__xludf.DUMMYFUNCTION("""COMPUTED_VALUE"""),"")</f>
        <v/>
      </c>
      <c r="D231" s="170" t="str">
        <f>IFERROR(__xludf.DUMMYFUNCTION("""COMPUTED_VALUE"""),"Jumping Jacks")</f>
        <v>Jumping Jacks</v>
      </c>
      <c r="H231" s="171" t="str">
        <f>IFERROR(__xludf.DUMMYFUNCTION("""COMPUTED_VALUE"""),"Jump 100,000 times")</f>
        <v>Jump 100,000 times</v>
      </c>
      <c r="R231" s="54"/>
      <c r="U231" s="172" t="str">
        <f>IFERROR(__xludf.DUMMYFUNCTION("""COMPUTED_VALUE"""),"")</f>
        <v/>
      </c>
      <c r="V231" s="173" t="str">
        <f>IFERROR(__xludf.DUMMYFUNCTION("""COMPUTED_VALUE"""),"Calibrated Sculk Sensor")</f>
        <v>Calibrated Sculk Sensor</v>
      </c>
      <c r="W231" s="174"/>
    </row>
    <row r="232">
      <c r="B232" s="169" t="str">
        <f>IFERROR(__xludf.DUMMYFUNCTION("""COMPUTED_VALUE"""),"")</f>
        <v/>
      </c>
      <c r="D232" s="170" t="str">
        <f>IFERROR(__xludf.DUMMYFUNCTION("""COMPUTED_VALUE"""),"Ancient Kung Fu Master")</f>
        <v>Ancient Kung Fu Master</v>
      </c>
      <c r="H232" s="171" t="str">
        <f>IFERROR(__xludf.DUMMYFUNCTION("""COMPUTED_VALUE"""),"Sneak 10km")</f>
        <v>Sneak 10km</v>
      </c>
      <c r="R232" s="54"/>
      <c r="U232" s="172" t="str">
        <f>IFERROR(__xludf.DUMMYFUNCTION("""COMPUTED_VALUE"""),"")</f>
        <v/>
      </c>
      <c r="V232" s="173" t="str">
        <f>IFERROR(__xludf.DUMMYFUNCTION("""COMPUTED_VALUE"""),"Campfire")</f>
        <v>Campfire</v>
      </c>
      <c r="W232" s="174"/>
    </row>
    <row r="233">
      <c r="B233" s="169" t="str">
        <f>IFERROR(__xludf.DUMMYFUNCTION("""COMPUTED_VALUE"""),"")</f>
        <v/>
      </c>
      <c r="D233" s="170" t="str">
        <f>IFERROR(__xludf.DUMMYFUNCTION("""COMPUTED_VALUE"""),"Olympic Gold Medallist")</f>
        <v>Olympic Gold Medallist</v>
      </c>
      <c r="H233" s="171" t="str">
        <f>IFERROR(__xludf.DUMMYFUNCTION("""COMPUTED_VALUE"""),"Swim 50km")</f>
        <v>Swim 50km</v>
      </c>
      <c r="R233" s="54"/>
      <c r="U233" s="172" t="str">
        <f>IFERROR(__xludf.DUMMYFUNCTION("""COMPUTED_VALUE"""),"")</f>
        <v/>
      </c>
      <c r="V233" s="173" t="str">
        <f>IFERROR(__xludf.DUMMYFUNCTION("""COMPUTED_VALUE"""),"Candle")</f>
        <v>Candle</v>
      </c>
      <c r="W233" s="174"/>
    </row>
    <row r="234">
      <c r="B234" s="169" t="str">
        <f>IFERROR(__xludf.DUMMYFUNCTION("""COMPUTED_VALUE"""),"")</f>
        <v/>
      </c>
      <c r="D234" s="170" t="str">
        <f>IFERROR(__xludf.DUMMYFUNCTION("""COMPUTED_VALUE"""),"Global Railway Network")</f>
        <v>Global Railway Network</v>
      </c>
      <c r="H234" s="171" t="str">
        <f>IFERROR(__xludf.DUMMYFUNCTION("""COMPUTED_VALUE"""),"Ride 50km in a minecart")</f>
        <v>Ride 50km in a minecart</v>
      </c>
      <c r="R234" s="54"/>
      <c r="U234" s="172" t="str">
        <f>IFERROR(__xludf.DUMMYFUNCTION("""COMPUTED_VALUE"""),"")</f>
        <v/>
      </c>
      <c r="V234" s="173" t="str">
        <f>IFERROR(__xludf.DUMMYFUNCTION("""COMPUTED_VALUE"""),"Carrot")</f>
        <v>Carrot</v>
      </c>
      <c r="W234" s="174"/>
    </row>
    <row r="235">
      <c r="B235" s="169" t="str">
        <f>IFERROR(__xludf.DUMMYFUNCTION("""COMPUTED_VALUE"""),"")</f>
        <v/>
      </c>
      <c r="D235" s="170" t="str">
        <f>IFERROR(__xludf.DUMMYFUNCTION("""COMPUTED_VALUE"""),"Lightning McPig")</f>
        <v>Lightning McPig</v>
      </c>
      <c r="H235" s="171" t="str">
        <f>IFERROR(__xludf.DUMMYFUNCTION("""COMPUTED_VALUE"""),"Ride 10 km on a pig")</f>
        <v>Ride 10 km on a pig</v>
      </c>
      <c r="R235" s="54"/>
      <c r="U235" s="172" t="str">
        <f>IFERROR(__xludf.DUMMYFUNCTION("""COMPUTED_VALUE"""),"")</f>
        <v/>
      </c>
      <c r="V235" s="173" t="str">
        <f>IFERROR(__xludf.DUMMYFUNCTION("""COMPUTED_VALUE"""),"Carrot On A Stick")</f>
        <v>Carrot On A Stick</v>
      </c>
      <c r="W235" s="174"/>
    </row>
    <row r="236">
      <c r="B236" s="169" t="str">
        <f>IFERROR(__xludf.DUMMYFUNCTION("""COMPUTED_VALUE"""),"")</f>
        <v/>
      </c>
      <c r="D236" s="170" t="str">
        <f>IFERROR(__xludf.DUMMYFUNCTION("""COMPUTED_VALUE"""),"Scourge of the West")</f>
        <v>Scourge of the West</v>
      </c>
      <c r="H236" s="171" t="str">
        <f>IFERROR(__xludf.DUMMYFUNCTION("""COMPUTED_VALUE"""),"Ride 50 km on a horse")</f>
        <v>Ride 50 km on a horse</v>
      </c>
      <c r="R236" s="54"/>
      <c r="U236" s="172" t="str">
        <f>IFERROR(__xludf.DUMMYFUNCTION("""COMPUTED_VALUE"""),"")</f>
        <v/>
      </c>
      <c r="V236" s="173" t="str">
        <f>IFERROR(__xludf.DUMMYFUNCTION("""COMPUTED_VALUE"""),"Cartography Table")</f>
        <v>Cartography Table</v>
      </c>
      <c r="W236" s="174"/>
    </row>
    <row r="237">
      <c r="B237" s="169" t="str">
        <f>IFERROR(__xludf.DUMMYFUNCTION("""COMPUTED_VALUE"""),"")</f>
        <v/>
      </c>
      <c r="D237" s="170" t="str">
        <f>IFERROR(__xludf.DUMMYFUNCTION("""COMPUTED_VALUE"""),"Sailor of the Seven Seas")</f>
        <v>Sailor of the Seven Seas</v>
      </c>
      <c r="H237" s="171" t="str">
        <f>IFERROR(__xludf.DUMMYFUNCTION("""COMPUTED_VALUE"""),"Sail 50km in a boat")</f>
        <v>Sail 50km in a boat</v>
      </c>
      <c r="R237" s="54"/>
      <c r="U237" s="172" t="str">
        <f>IFERROR(__xludf.DUMMYFUNCTION("""COMPUTED_VALUE"""),"")</f>
        <v/>
      </c>
      <c r="V237" s="173" t="str">
        <f>IFERROR(__xludf.DUMMYFUNCTION("""COMPUTED_VALUE"""),"Carved Pumpkin")</f>
        <v>Carved Pumpkin</v>
      </c>
      <c r="W237" s="174"/>
    </row>
    <row r="238">
      <c r="B238" s="169" t="str">
        <f>IFERROR(__xludf.DUMMYFUNCTION("""COMPUTED_VALUE"""),"")</f>
        <v/>
      </c>
      <c r="D238" s="170" t="str">
        <f>IFERROR(__xludf.DUMMYFUNCTION("""COMPUTED_VALUE"""),"This Ride Is Lit, Yo!")</f>
        <v>This Ride Is Lit, Yo!</v>
      </c>
      <c r="H238" s="171" t="str">
        <f>IFERROR(__xludf.DUMMYFUNCTION("""COMPUTED_VALUE"""),"Ride 10km on a Strider")</f>
        <v>Ride 10km on a Strider</v>
      </c>
      <c r="R238" s="54"/>
      <c r="U238" s="172" t="str">
        <f>IFERROR(__xludf.DUMMYFUNCTION("""COMPUTED_VALUE"""),"")</f>
        <v/>
      </c>
      <c r="V238" s="173" t="str">
        <f>IFERROR(__xludf.DUMMYFUNCTION("""COMPUTED_VALUE"""),"Cauldron")</f>
        <v>Cauldron</v>
      </c>
      <c r="W238" s="174"/>
    </row>
    <row r="239">
      <c r="B239" s="169" t="str">
        <f>IFERROR(__xludf.DUMMYFUNCTION("""COMPUTED_VALUE"""),"")</f>
        <v/>
      </c>
      <c r="D239" s="170" t="str">
        <f>IFERROR(__xludf.DUMMYFUNCTION("""COMPUTED_VALUE"""),"Kill or be Killed")</f>
        <v>Kill or be Killed</v>
      </c>
      <c r="H239" s="171" t="str">
        <f>IFERROR(__xludf.DUMMYFUNCTION("""COMPUTED_VALUE"""),"Defeat 25,000 mobs")</f>
        <v>Defeat 25,000 mobs</v>
      </c>
      <c r="R239" s="54"/>
      <c r="U239" s="172" t="str">
        <f>IFERROR(__xludf.DUMMYFUNCTION("""COMPUTED_VALUE"""),"")</f>
        <v/>
      </c>
      <c r="V239" s="173" t="str">
        <f>IFERROR(__xludf.DUMMYFUNCTION("""COMPUTED_VALUE"""),"Chain")</f>
        <v>Chain</v>
      </c>
      <c r="W239" s="174"/>
    </row>
    <row r="240">
      <c r="B240" s="169" t="str">
        <f>IFERROR(__xludf.DUMMYFUNCTION("""COMPUTED_VALUE"""),"")</f>
        <v/>
      </c>
      <c r="D240" s="170" t="str">
        <f>IFERROR(__xludf.DUMMYFUNCTION("""COMPUTED_VALUE"""),"Two By Two")</f>
        <v>Two By Two</v>
      </c>
      <c r="H240" s="171" t="str">
        <f>IFERROR(__xludf.DUMMYFUNCTION("""COMPUTED_VALUE"""),"Breed 2500 animals")</f>
        <v>Breed 2500 animals</v>
      </c>
      <c r="R240" s="54"/>
      <c r="U240" s="172" t="str">
        <f>IFERROR(__xludf.DUMMYFUNCTION("""COMPUTED_VALUE"""),"")</f>
        <v/>
      </c>
      <c r="V240" s="173" t="str">
        <f>IFERROR(__xludf.DUMMYFUNCTION("""COMPUTED_VALUE"""),"Chainmail Boots")</f>
        <v>Chainmail Boots</v>
      </c>
      <c r="W240" s="174"/>
    </row>
    <row r="241">
      <c r="B241" s="169" t="str">
        <f>IFERROR(__xludf.DUMMYFUNCTION("""COMPUTED_VALUE"""),"")</f>
        <v/>
      </c>
      <c r="D241" s="170" t="str">
        <f>IFERROR(__xludf.DUMMYFUNCTION("""COMPUTED_VALUE"""),"Food, Glorious Food!")</f>
        <v>Food, Glorious Food!</v>
      </c>
      <c r="H241" s="171" t="str">
        <f>IFERROR(__xludf.DUMMYFUNCTION("""COMPUTED_VALUE"""),"Eat 5000 food items")</f>
        <v>Eat 5000 food items</v>
      </c>
      <c r="R241" s="54"/>
      <c r="U241" s="172" t="str">
        <f>IFERROR(__xludf.DUMMYFUNCTION("""COMPUTED_VALUE"""),"")</f>
        <v/>
      </c>
      <c r="V241" s="173" t="str">
        <f>IFERROR(__xludf.DUMMYFUNCTION("""COMPUTED_VALUE"""),"Chainmail Chestplate")</f>
        <v>Chainmail Chestplate</v>
      </c>
      <c r="W241" s="174"/>
    </row>
    <row r="242">
      <c r="B242" s="169" t="str">
        <f>IFERROR(__xludf.DUMMYFUNCTION("""COMPUTED_VALUE"""),"")</f>
        <v/>
      </c>
      <c r="D242" s="170" t="str">
        <f>IFERROR(__xludf.DUMMYFUNCTION("""COMPUTED_VALUE"""),"STONKS!")</f>
        <v>STONKS!</v>
      </c>
      <c r="H242" s="171" t="str">
        <f>IFERROR(__xludf.DUMMYFUNCTION("""COMPUTED_VALUE"""),"Trade with villagers 2500 times")</f>
        <v>Trade with villagers 2500 times</v>
      </c>
      <c r="R242" s="54"/>
      <c r="U242" s="172" t="str">
        <f>IFERROR(__xludf.DUMMYFUNCTION("""COMPUTED_VALUE"""),"")</f>
        <v/>
      </c>
      <c r="V242" s="173" t="str">
        <f>IFERROR(__xludf.DUMMYFUNCTION("""COMPUTED_VALUE"""),"Chainmail Helmet")</f>
        <v>Chainmail Helmet</v>
      </c>
      <c r="W242" s="174"/>
    </row>
    <row r="243">
      <c r="B243" s="169" t="str">
        <f>IFERROR(__xludf.DUMMYFUNCTION("""COMPUTED_VALUE"""),"")</f>
        <v/>
      </c>
      <c r="D243" s="170" t="str">
        <f>IFERROR(__xludf.DUMMYFUNCTION("""COMPUTED_VALUE"""),"I &lt;3 Chests")</f>
        <v>I &lt;3 Chests</v>
      </c>
      <c r="H243" s="171" t="str">
        <f>IFERROR(__xludf.DUMMYFUNCTION("""COMPUTED_VALUE"""),"Open 500 loot chests")</f>
        <v>Open 500 loot chests</v>
      </c>
      <c r="R243" s="54"/>
      <c r="U243" s="172" t="str">
        <f>IFERROR(__xludf.DUMMYFUNCTION("""COMPUTED_VALUE"""),"")</f>
        <v/>
      </c>
      <c r="V243" s="173" t="str">
        <f>IFERROR(__xludf.DUMMYFUNCTION("""COMPUTED_VALUE"""),"Chainmail Leggings")</f>
        <v>Chainmail Leggings</v>
      </c>
      <c r="W243" s="174"/>
    </row>
    <row r="244">
      <c r="B244" s="169" t="str">
        <f>IFERROR(__xludf.DUMMYFUNCTION("""COMPUTED_VALUE"""),"")</f>
        <v/>
      </c>
      <c r="D244" s="170" t="str">
        <f>IFERROR(__xludf.DUMMYFUNCTION("""COMPUTED_VALUE"""),"Elderly Enchanter")</f>
        <v>Elderly Enchanter</v>
      </c>
      <c r="H244" s="171" t="str">
        <f>IFERROR(__xludf.DUMMYFUNCTION("""COMPUTED_VALUE"""),"Enchant 250 items")</f>
        <v>Enchant 250 items</v>
      </c>
      <c r="R244" s="54"/>
      <c r="U244" s="172" t="str">
        <f>IFERROR(__xludf.DUMMYFUNCTION("""COMPUTED_VALUE"""),"")</f>
        <v/>
      </c>
      <c r="V244" s="173" t="str">
        <f>IFERROR(__xludf.DUMMYFUNCTION("""COMPUTED_VALUE"""),"Charcoal")</f>
        <v>Charcoal</v>
      </c>
      <c r="W244" s="174"/>
    </row>
    <row r="245">
      <c r="B245" s="169" t="str">
        <f>IFERROR(__xludf.DUMMYFUNCTION("""COMPUTED_VALUE"""),"")</f>
        <v/>
      </c>
      <c r="D245" s="170" t="str">
        <f>IFERROR(__xludf.DUMMYFUNCTION("""COMPUTED_VALUE"""),"XP Grinder")</f>
        <v>XP Grinder</v>
      </c>
      <c r="H245" s="171" t="str">
        <f>IFERROR(__xludf.DUMMYFUNCTION("""COMPUTED_VALUE"""),"Reach 300 experience levels")</f>
        <v>Reach 300 experience levels</v>
      </c>
      <c r="R245" s="54"/>
      <c r="U245" s="172" t="str">
        <f>IFERROR(__xludf.DUMMYFUNCTION("""COMPUTED_VALUE"""),"")</f>
        <v/>
      </c>
      <c r="V245" s="173" t="str">
        <f>IFERROR(__xludf.DUMMYFUNCTION("""COMPUTED_VALUE"""),"Cherry Boat")</f>
        <v>Cherry Boat</v>
      </c>
      <c r="W245" s="174"/>
    </row>
    <row r="246">
      <c r="B246" s="169" t="str">
        <f>IFERROR(__xludf.DUMMYFUNCTION("""COMPUTED_VALUE"""),"")</f>
        <v/>
      </c>
      <c r="D246" s="170" t="str">
        <f>IFERROR(__xludf.DUMMYFUNCTION("""COMPUTED_VALUE"""),"Happy New Year!")</f>
        <v>Happy New Year!</v>
      </c>
      <c r="H246" s="171" t="str">
        <f>IFERROR(__xludf.DUMMYFUNCTION("""COMPUTED_VALUE"""),"Play for a whole year! (A new day is added to all online players' score at sunrise)")</f>
        <v>Play for a whole year! (A new day is added to all online players' score at sunrise)</v>
      </c>
      <c r="R246" s="54"/>
      <c r="U246" s="172" t="str">
        <f>IFERROR(__xludf.DUMMYFUNCTION("""COMPUTED_VALUE"""),"")</f>
        <v/>
      </c>
      <c r="V246" s="173" t="str">
        <f>IFERROR(__xludf.DUMMYFUNCTION("""COMPUTED_VALUE"""),"Cherry Button")</f>
        <v>Cherry Button</v>
      </c>
      <c r="W246" s="174"/>
    </row>
    <row r="247">
      <c r="B247" s="169" t="str">
        <f>IFERROR(__xludf.DUMMYFUNCTION("""COMPUTED_VALUE"""),"")</f>
        <v/>
      </c>
      <c r="D247" s="170" t="str">
        <f>IFERROR(__xludf.DUMMYFUNCTION("""COMPUTED_VALUE"""),"Giddy Up!")</f>
        <v>Giddy Up!</v>
      </c>
      <c r="H247" s="171" t="str">
        <f>IFERROR(__xludf.DUMMYFUNCTION("""COMPUTED_VALUE"""),"Punch a baby Hoglin that is being ridden by a baby Piglin")</f>
        <v>Punch a baby Hoglin that is being ridden by a baby Piglin</v>
      </c>
      <c r="R247" s="54"/>
      <c r="U247" s="172" t="str">
        <f>IFERROR(__xludf.DUMMYFUNCTION("""COMPUTED_VALUE"""),"")</f>
        <v/>
      </c>
      <c r="V247" s="173" t="str">
        <f>IFERROR(__xludf.DUMMYFUNCTION("""COMPUTED_VALUE"""),"Cherry Chest Boat")</f>
        <v>Cherry Chest Boat</v>
      </c>
      <c r="W247" s="174"/>
    </row>
    <row r="248">
      <c r="B248" s="169" t="str">
        <f>IFERROR(__xludf.DUMMYFUNCTION("""COMPUTED_VALUE"""),"")</f>
        <v/>
      </c>
      <c r="D248" s="170" t="str">
        <f>IFERROR(__xludf.DUMMYFUNCTION("""COMPUTED_VALUE"""),"When Piglins Fly")</f>
        <v>When Piglins Fly</v>
      </c>
      <c r="H248" s="171" t="str">
        <f>IFERROR(__xludf.DUMMYFUNCTION("""COMPUTED_VALUE"""),"Give a piglin elytra then kill it")</f>
        <v>Give a piglin elytra then kill it</v>
      </c>
      <c r="R248" s="54"/>
      <c r="U248" s="172" t="str">
        <f>IFERROR(__xludf.DUMMYFUNCTION("""COMPUTED_VALUE"""),"")</f>
        <v/>
      </c>
      <c r="V248" s="173" t="str">
        <f>IFERROR(__xludf.DUMMYFUNCTION("""COMPUTED_VALUE"""),"Cherry Door")</f>
        <v>Cherry Door</v>
      </c>
      <c r="W248" s="174"/>
    </row>
    <row r="249">
      <c r="B249" s="169" t="str">
        <f>IFERROR(__xludf.DUMMYFUNCTION("""COMPUTED_VALUE"""),"")</f>
        <v/>
      </c>
      <c r="D249" s="170" t="str">
        <f>IFERROR(__xludf.DUMMYFUNCTION("""COMPUTED_VALUE"""),"A Piglin's Best Friend")</f>
        <v>A Piglin's Best Friend</v>
      </c>
      <c r="H249" s="171" t="str">
        <f>IFERROR(__xludf.DUMMYFUNCTION("""COMPUTED_VALUE"""),"Give a total of 500 gold to Piglins during your nether adventures")</f>
        <v>Give a total of 500 gold to Piglins during your nether adventures</v>
      </c>
      <c r="R249" s="54"/>
      <c r="U249" s="172" t="str">
        <f>IFERROR(__xludf.DUMMYFUNCTION("""COMPUTED_VALUE"""),"")</f>
        <v/>
      </c>
      <c r="V249" s="173" t="str">
        <f>IFERROR(__xludf.DUMMYFUNCTION("""COMPUTED_VALUE"""),"Cherry Fence")</f>
        <v>Cherry Fence</v>
      </c>
      <c r="W249" s="174"/>
    </row>
    <row r="250">
      <c r="B250" s="169" t="str">
        <f>IFERROR(__xludf.DUMMYFUNCTION("""COMPUTED_VALUE"""),"")</f>
        <v/>
      </c>
      <c r="D250" s="170" t="str">
        <f>IFERROR(__xludf.DUMMYFUNCTION("""COMPUTED_VALUE"""),"Hot Reels!")</f>
        <v>Hot Reels!</v>
      </c>
      <c r="H250" s="171" t="str">
        <f>IFERROR(__xludf.DUMMYFUNCTION("""COMPUTED_VALUE"""),"Reel in a Strider using a Fishing Rod (Hook a Strider with a Fishing Rod then right-click to reel it in)")</f>
        <v>Reel in a Strider using a Fishing Rod (Hook a Strider with a Fishing Rod then right-click to reel it in)</v>
      </c>
      <c r="R250" s="54"/>
      <c r="U250" s="172" t="str">
        <f>IFERROR(__xludf.DUMMYFUNCTION("""COMPUTED_VALUE"""),"")</f>
        <v/>
      </c>
      <c r="V250" s="173" t="str">
        <f>IFERROR(__xludf.DUMMYFUNCTION("""COMPUTED_VALUE"""),"Cherry Fence Gate")</f>
        <v>Cherry Fence Gate</v>
      </c>
      <c r="W250" s="174"/>
    </row>
    <row r="251">
      <c r="B251" s="169" t="str">
        <f>IFERROR(__xludf.DUMMYFUNCTION("""COMPUTED_VALUE"""),"")</f>
        <v/>
      </c>
      <c r="D251" s="170" t="str">
        <f>IFERROR(__xludf.DUMMYFUNCTION("""COMPUTED_VALUE"""),"Feels Like Home")</f>
        <v>Feels Like Home</v>
      </c>
      <c r="H251" s="171" t="str">
        <f>IFERROR(__xludf.DUMMYFUNCTION("""COMPUTED_VALUE"""),"Take a Strider for a loooong ride on a lava lake in the Overworld (Ride a Strider at least 50 blocks horizontally away from your starting position, all on lava and in the Overworld)")</f>
        <v>Take a Strider for a loooong ride on a lava lake in the Overworld (Ride a Strider at least 50 blocks horizontally away from your starting position, all on lava and in the Overworld)</v>
      </c>
      <c r="R251" s="54"/>
      <c r="U251" s="172" t="str">
        <f>IFERROR(__xludf.DUMMYFUNCTION("""COMPUTED_VALUE"""),"")</f>
        <v/>
      </c>
      <c r="V251" s="173" t="str">
        <f>IFERROR(__xludf.DUMMYFUNCTION("""COMPUTED_VALUE"""),"Cherry Hanging Sign")</f>
        <v>Cherry Hanging Sign</v>
      </c>
      <c r="W251" s="174"/>
    </row>
    <row r="252">
      <c r="B252" s="169" t="str">
        <f>IFERROR(__xludf.DUMMYFUNCTION("""COMPUTED_VALUE"""),"")</f>
        <v/>
      </c>
      <c r="D252" s="170" t="str">
        <f>IFERROR(__xludf.DUMMYFUNCTION("""COMPUTED_VALUE"""),"This One’s Mine!")</f>
        <v>This One’s Mine!</v>
      </c>
      <c r="H252" s="171" t="str">
        <f>IFERROR(__xludf.DUMMYFUNCTION("""COMPUTED_VALUE"""),"Kill a Zombified Piglin that is riding a Strider and take its steed (Kill a Zombified Piglin that is riding a Strider AND ride a strider that was formerly ridden by one)")</f>
        <v>Kill a Zombified Piglin that is riding a Strider and take its steed (Kill a Zombified Piglin that is riding a Strider AND ride a strider that was formerly ridden by one)</v>
      </c>
      <c r="R252" s="54"/>
      <c r="U252" s="172" t="str">
        <f>IFERROR(__xludf.DUMMYFUNCTION("""COMPUTED_VALUE"""),"")</f>
        <v/>
      </c>
      <c r="V252" s="173" t="str">
        <f>IFERROR(__xludf.DUMMYFUNCTION("""COMPUTED_VALUE"""),"Cherry Leaves")</f>
        <v>Cherry Leaves</v>
      </c>
      <c r="W252" s="174"/>
    </row>
    <row r="253">
      <c r="B253" s="169" t="str">
        <f>IFERROR(__xludf.DUMMYFUNCTION("""COMPUTED_VALUE"""),"")</f>
        <v/>
      </c>
      <c r="D253" s="170" t="str">
        <f>IFERROR(__xludf.DUMMYFUNCTION("""COMPUTED_VALUE"""),"Jenga")</f>
        <v>Jenga</v>
      </c>
      <c r="H253" s="171" t="str">
        <f>IFERROR(__xludf.DUMMYFUNCTION("""COMPUTED_VALUE"""),"Ride a Strider riding another Strider riding a boat riding a minecart")</f>
        <v>Ride a Strider riding another Strider riding a boat riding a minecart</v>
      </c>
      <c r="R253" s="54"/>
      <c r="U253" s="172" t="str">
        <f>IFERROR(__xludf.DUMMYFUNCTION("""COMPUTED_VALUE"""),"")</f>
        <v/>
      </c>
      <c r="V253" s="173" t="str">
        <f>IFERROR(__xludf.DUMMYFUNCTION("""COMPUTED_VALUE"""),"Cherry Log")</f>
        <v>Cherry Log</v>
      </c>
      <c r="W253" s="174"/>
    </row>
    <row r="254">
      <c r="B254" s="169" t="str">
        <f>IFERROR(__xludf.DUMMYFUNCTION("""COMPUTED_VALUE"""),"")</f>
        <v/>
      </c>
      <c r="D254" s="170" t="str">
        <f>IFERROR(__xludf.DUMMYFUNCTION("""COMPUTED_VALUE"""),"Not Quite 'Nine' Lives")</f>
        <v>Not Quite 'Nine' Lives</v>
      </c>
      <c r="H254" s="171" t="str">
        <f>IFERROR(__xludf.DUMMYFUNCTION("""COMPUTED_VALUE"""),"Charge a Respawn Anchor to the maximum (Place Glowstone into a Respawn Anchor such that it reaches maximum charge)")</f>
        <v>Charge a Respawn Anchor to the maximum (Place Glowstone into a Respawn Anchor such that it reaches maximum charge)</v>
      </c>
      <c r="R254" s="54"/>
      <c r="U254" s="172" t="str">
        <f>IFERROR(__xludf.DUMMYFUNCTION("""COMPUTED_VALUE"""),"")</f>
        <v/>
      </c>
      <c r="V254" s="173" t="str">
        <f>IFERROR(__xludf.DUMMYFUNCTION("""COMPUTED_VALUE"""),"Cherry Planks")</f>
        <v>Cherry Planks</v>
      </c>
      <c r="W254" s="174"/>
    </row>
    <row r="255">
      <c r="B255" s="169" t="str">
        <f>IFERROR(__xludf.DUMMYFUNCTION("""COMPUTED_VALUE"""),"")</f>
        <v/>
      </c>
      <c r="D255" s="170" t="str">
        <f>IFERROR(__xludf.DUMMYFUNCTION("""COMPUTED_VALUE"""),"Legend of Hell Chicken Riders")</f>
        <v>Legend of Hell Chicken Riders</v>
      </c>
      <c r="H255" s="171" t="str">
        <f>IFERROR(__xludf.DUMMYFUNCTION("""COMPUTED_VALUE"""),"Kill a chicken jockey in the nether (Kill a chicken with a zombified piglin passenger or a zombified piglin riding a chicken)")</f>
        <v>Kill a chicken jockey in the nether (Kill a chicken with a zombified piglin passenger or a zombified piglin riding a chicken)</v>
      </c>
      <c r="R255" s="54"/>
      <c r="U255" s="172" t="str">
        <f>IFERROR(__xludf.DUMMYFUNCTION("""COMPUTED_VALUE"""),"")</f>
        <v/>
      </c>
      <c r="V255" s="173" t="str">
        <f>IFERROR(__xludf.DUMMYFUNCTION("""COMPUTED_VALUE"""),"Cherry Pressure Plate")</f>
        <v>Cherry Pressure Plate</v>
      </c>
      <c r="W255" s="174"/>
    </row>
    <row r="256">
      <c r="B256" s="169" t="str">
        <f>IFERROR(__xludf.DUMMYFUNCTION("""COMPUTED_VALUE"""),"")</f>
        <v/>
      </c>
      <c r="D256" s="170" t="str">
        <f>IFERROR(__xludf.DUMMYFUNCTION("""COMPUTED_VALUE"""),"Electrifying Alliance")</f>
        <v>Electrifying Alliance</v>
      </c>
      <c r="H256" s="171" t="str">
        <f>IFERROR(__xludf.DUMMYFUNCTION("""COMPUTED_VALUE"""),"Smite a ghast with lightning from the Overworld’s heavens (Strike a ghast with lightning using the Channeling enchantment)")</f>
        <v>Smite a ghast with lightning from the Overworld’s heavens (Strike a ghast with lightning using the Channeling enchantment)</v>
      </c>
      <c r="R256" s="54"/>
      <c r="U256" s="172" t="str">
        <f>IFERROR(__xludf.DUMMYFUNCTION("""COMPUTED_VALUE"""),"")</f>
        <v/>
      </c>
      <c r="V256" s="173" t="str">
        <f>IFERROR(__xludf.DUMMYFUNCTION("""COMPUTED_VALUE"""),"Cherry Sapling")</f>
        <v>Cherry Sapling</v>
      </c>
      <c r="W256" s="174"/>
    </row>
    <row r="257">
      <c r="B257" s="169" t="str">
        <f>IFERROR(__xludf.DUMMYFUNCTION("""COMPUTED_VALUE"""),"")</f>
        <v/>
      </c>
      <c r="D257" s="170" t="str">
        <f>IFERROR(__xludf.DUMMYFUNCTION("""COMPUTED_VALUE"""),"Soul Runnings!")</f>
        <v>Soul Runnings!</v>
      </c>
      <c r="H257" s="171" t="str">
        <f>IFERROR(__xludf.DUMMYFUNCTION("""COMPUTED_VALUE"""),"Step on Soul Sand with Netherite Boots enchanted with Soul Speed III (Also works with Soul Soil)")</f>
        <v>Step on Soul Sand with Netherite Boots enchanted with Soul Speed III (Also works with Soul Soil)</v>
      </c>
      <c r="R257" s="54"/>
      <c r="U257" s="172" t="str">
        <f>IFERROR(__xludf.DUMMYFUNCTION("""COMPUTED_VALUE"""),"")</f>
        <v/>
      </c>
      <c r="V257" s="173" t="str">
        <f>IFERROR(__xludf.DUMMYFUNCTION("""COMPUTED_VALUE"""),"Cherry Sign")</f>
        <v>Cherry Sign</v>
      </c>
      <c r="W257" s="174"/>
    </row>
    <row r="258">
      <c r="B258" s="169" t="str">
        <f>IFERROR(__xludf.DUMMYFUNCTION("""COMPUTED_VALUE"""),"")</f>
        <v/>
      </c>
      <c r="D258" s="170" t="str">
        <f>IFERROR(__xludf.DUMMYFUNCTION("""COMPUTED_VALUE"""),"Ludicrous Speed!")</f>
        <v>Ludicrous Speed!</v>
      </c>
      <c r="H258" s="171" t="str">
        <f>IFERROR(__xludf.DUMMYFUNCTION("""COMPUTED_VALUE"""),"Achieve an absolutely insane speed by combining the Speed II effect, Dolphin’s Grace, Depth Strider III, Soul Speed III and sprinting")</f>
        <v>Achieve an absolutely insane speed by combining the Speed II effect, Dolphin’s Grace, Depth Strider III, Soul Speed III and sprinting</v>
      </c>
      <c r="R258" s="54"/>
      <c r="U258" s="172" t="str">
        <f>IFERROR(__xludf.DUMMYFUNCTION("""COMPUTED_VALUE"""),"")</f>
        <v/>
      </c>
      <c r="V258" s="173" t="str">
        <f>IFERROR(__xludf.DUMMYFUNCTION("""COMPUTED_VALUE"""),"Cherry Slab")</f>
        <v>Cherry Slab</v>
      </c>
      <c r="W258" s="174"/>
    </row>
    <row r="259">
      <c r="B259" s="169" t="str">
        <f>IFERROR(__xludf.DUMMYFUNCTION("""COMPUTED_VALUE"""),"")</f>
        <v/>
      </c>
      <c r="D259" s="170" t="str">
        <f>IFERROR(__xludf.DUMMYFUNCTION("""COMPUTED_VALUE"""),"Lodes of Applications")</f>
        <v>Lodes of Applications</v>
      </c>
      <c r="H259" s="171" t="str">
        <f>IFERROR(__xludf.DUMMYFUNCTION("""COMPUTED_VALUE"""),"Create a Lodestone Compass in all three dimensions (Use a compass on a lodestone in all three dimensions (not all at the same time))")</f>
        <v>Create a Lodestone Compass in all three dimensions (Use a compass on a lodestone in all three dimensions (not all at the same time))</v>
      </c>
      <c r="R259" s="54"/>
      <c r="U259" s="172" t="str">
        <f>IFERROR(__xludf.DUMMYFUNCTION("""COMPUTED_VALUE"""),"")</f>
        <v/>
      </c>
      <c r="V259" s="173" t="str">
        <f>IFERROR(__xludf.DUMMYFUNCTION("""COMPUTED_VALUE"""),"Cherry Stairs")</f>
        <v>Cherry Stairs</v>
      </c>
      <c r="W259" s="174"/>
    </row>
    <row r="260">
      <c r="B260" s="169" t="str">
        <f>IFERROR(__xludf.DUMMYFUNCTION("""COMPUTED_VALUE"""),"")</f>
        <v/>
      </c>
      <c r="D260" s="170" t="str">
        <f>IFERROR(__xludf.DUMMYFUNCTION("""COMPUTED_VALUE"""),"Inception")</f>
        <v>Inception</v>
      </c>
      <c r="H260" s="171" t="str">
        <f>IFERROR(__xludf.DUMMYFUNCTION("""COMPUTED_VALUE"""),"Build a machine that can break a hole in the roof of the Nether (Be between y=127 and 127.9999 in the Nether dimension in a non-solid block)")</f>
        <v>Build a machine that can break a hole in the roof of the Nether (Be between y=127 and 127.9999 in the Nether dimension in a non-solid block)</v>
      </c>
      <c r="R260" s="54"/>
      <c r="U260" s="172" t="str">
        <f>IFERROR(__xludf.DUMMYFUNCTION("""COMPUTED_VALUE"""),"")</f>
        <v/>
      </c>
      <c r="V260" s="173" t="str">
        <f>IFERROR(__xludf.DUMMYFUNCTION("""COMPUTED_VALUE"""),"Cherry Trapdoor")</f>
        <v>Cherry Trapdoor</v>
      </c>
      <c r="W260" s="174"/>
    </row>
    <row r="261">
      <c r="B261" s="169" t="str">
        <f>IFERROR(__xludf.DUMMYFUNCTION("""COMPUTED_VALUE"""),"")</f>
        <v/>
      </c>
      <c r="D261" s="170" t="str">
        <f>IFERROR(__xludf.DUMMYFUNCTION("""COMPUTED_VALUE"""),"Beacon Overlord")</f>
        <v>Beacon Overlord</v>
      </c>
      <c r="H261" s="171" t="str">
        <f>IFERROR(__xludf.DUMMYFUNCTION("""COMPUTED_VALUE"""),"Acquire every beacon-induced effect at once (Obtain Speed, Haste, Resistance, Jump Boost, Strength and Regeneration from beacons)")</f>
        <v>Acquire every beacon-induced effect at once (Obtain Speed, Haste, Resistance, Jump Boost, Strength and Regeneration from beacons)</v>
      </c>
      <c r="R261" s="54"/>
      <c r="U261" s="172" t="str">
        <f>IFERROR(__xludf.DUMMYFUNCTION("""COMPUTED_VALUE"""),"")</f>
        <v/>
      </c>
      <c r="V261" s="173" t="str">
        <f>IFERROR(__xludf.DUMMYFUNCTION("""COMPUTED_VALUE"""),"Cherry Wood")</f>
        <v>Cherry Wood</v>
      </c>
      <c r="W261" s="174"/>
    </row>
    <row r="262">
      <c r="B262" s="169" t="str">
        <f>IFERROR(__xludf.DUMMYFUNCTION("""COMPUTED_VALUE"""),"")</f>
        <v/>
      </c>
      <c r="D262" s="170" t="str">
        <f>IFERROR(__xludf.DUMMYFUNCTION("""COMPUTED_VALUE"""),"Failed Concoctions")</f>
        <v>Failed Concoctions</v>
      </c>
      <c r="H262" s="171" t="str">
        <f>IFERROR(__xludf.DUMMYFUNCTION("""COMPUTED_VALUE"""),"Brew a Mundane and Thick Potion (Brew a mundane and thick potion in the brewing stand)")</f>
        <v>Brew a Mundane and Thick Potion (Brew a mundane and thick potion in the brewing stand)</v>
      </c>
      <c r="R262" s="54"/>
      <c r="U262" s="172" t="str">
        <f>IFERROR(__xludf.DUMMYFUNCTION("""COMPUTED_VALUE"""),"")</f>
        <v/>
      </c>
      <c r="V262" s="173" t="str">
        <f>IFERROR(__xludf.DUMMYFUNCTION("""COMPUTED_VALUE"""),"Chest")</f>
        <v>Chest</v>
      </c>
      <c r="W262" s="174"/>
    </row>
    <row r="263">
      <c r="B263" s="169" t="str">
        <f>IFERROR(__xludf.DUMMYFUNCTION("""COMPUTED_VALUE"""),"")</f>
        <v/>
      </c>
      <c r="D263" s="170" t="str">
        <f>IFERROR(__xludf.DUMMYFUNCTION("""COMPUTED_VALUE"""),"Stealth Takedown")</f>
        <v>Stealth Takedown</v>
      </c>
      <c r="H263" s="171" t="str">
        <f>IFERROR(__xludf.DUMMYFUNCTION("""COMPUTED_VALUE"""),"Dispatch a Creeper at melee range while you are invisible (Kill a Creeper that is less than 5 blocks away while you are invisible)")</f>
        <v>Dispatch a Creeper at melee range while you are invisible (Kill a Creeper that is less than 5 blocks away while you are invisible)</v>
      </c>
      <c r="R263" s="54"/>
      <c r="U263" s="172" t="str">
        <f>IFERROR(__xludf.DUMMYFUNCTION("""COMPUTED_VALUE"""),"")</f>
        <v/>
      </c>
      <c r="V263" s="173" t="str">
        <f>IFERROR(__xludf.DUMMYFUNCTION("""COMPUTED_VALUE"""),"Chest Minecart")</f>
        <v>Chest Minecart</v>
      </c>
      <c r="W263" s="174"/>
    </row>
    <row r="264">
      <c r="B264" s="169" t="str">
        <f>IFERROR(__xludf.DUMMYFUNCTION("""COMPUTED_VALUE"""),"")</f>
        <v/>
      </c>
      <c r="D264" s="170" t="str">
        <f>IFERROR(__xludf.DUMMYFUNCTION("""COMPUTED_VALUE"""),"Tank")</f>
        <v>Tank</v>
      </c>
      <c r="H264" s="171" t="str">
        <f>IFERROR(__xludf.DUMMYFUNCTION("""COMPUTED_VALUE"""),"Become nearly invincible to all damage using a Turtle Master Potion (Drink a Potion of the Turtle Master)")</f>
        <v>Become nearly invincible to all damage using a Turtle Master Potion (Drink a Potion of the Turtle Master)</v>
      </c>
      <c r="R264" s="54"/>
      <c r="U264" s="172" t="str">
        <f>IFERROR(__xludf.DUMMYFUNCTION("""COMPUTED_VALUE"""),"")</f>
        <v/>
      </c>
      <c r="V264" s="173" t="str">
        <f>IFERROR(__xludf.DUMMYFUNCTION("""COMPUTED_VALUE"""),"Chicken")</f>
        <v>Chicken</v>
      </c>
      <c r="W264" s="174"/>
    </row>
    <row r="265">
      <c r="B265" s="169" t="str">
        <f>IFERROR(__xludf.DUMMYFUNCTION("""COMPUTED_VALUE"""),"")</f>
        <v/>
      </c>
      <c r="D265" s="170" t="str">
        <f>IFERROR(__xludf.DUMMYFUNCTION("""COMPUTED_VALUE"""),"Final Shout")</f>
        <v>Final Shout</v>
      </c>
      <c r="H265" s="171" t="str">
        <f>IFERROR(__xludf.DUMMYFUNCTION("""COMPUTED_VALUE"""),"Kill a mob that has the Wind Charged, Weaving and Oozing effects")</f>
        <v>Kill a mob that has the Wind Charged, Weaving and Oozing effects</v>
      </c>
      <c r="R265" s="54"/>
      <c r="U265" s="172" t="str">
        <f>IFERROR(__xludf.DUMMYFUNCTION("""COMPUTED_VALUE"""),"")</f>
        <v/>
      </c>
      <c r="V265" s="173" t="str">
        <f>IFERROR(__xludf.DUMMYFUNCTION("""COMPUTED_VALUE"""),"Chipped Anvil")</f>
        <v>Chipped Anvil</v>
      </c>
      <c r="W265" s="174"/>
    </row>
    <row r="266">
      <c r="B266" s="169" t="str">
        <f>IFERROR(__xludf.DUMMYFUNCTION("""COMPUTED_VALUE"""),"")</f>
        <v/>
      </c>
      <c r="D266" s="170" t="str">
        <f>IFERROR(__xludf.DUMMYFUNCTION("""COMPUTED_VALUE"""),"Furious Ammunition")</f>
        <v>Furious Ammunition</v>
      </c>
      <c r="H266" s="171" t="str">
        <f>IFERROR(__xludf.DUMMYFUNCTION("""COMPUTED_VALUE"""),"Craft every type of tipped arrow (See requirement notes below)")</f>
        <v>Craft every type of tipped arrow (See requirement notes below)</v>
      </c>
      <c r="R266" s="54"/>
      <c r="U266" s="172" t="str">
        <f>IFERROR(__xludf.DUMMYFUNCTION("""COMPUTED_VALUE"""),"")</f>
        <v/>
      </c>
      <c r="V266" s="173" t="str">
        <f>IFERROR(__xludf.DUMMYFUNCTION("""COMPUTED_VALUE"""),"Chiseled Bookshelf")</f>
        <v>Chiseled Bookshelf</v>
      </c>
      <c r="W266" s="174"/>
    </row>
    <row r="267">
      <c r="B267" s="169" t="str">
        <f>IFERROR(__xludf.DUMMYFUNCTION("""COMPUTED_VALUE"""),"")</f>
        <v/>
      </c>
      <c r="D267" s="170" t="str">
        <f>IFERROR(__xludf.DUMMYFUNCTION("""COMPUTED_VALUE"""),"A Furious Test Subject")</f>
        <v>A Furious Test Subject</v>
      </c>
      <c r="H267" s="171" t="str">
        <f>IFERROR(__xludf.DUMMYFUNCTION("""COMPUTED_VALUE"""),"Get attacked by a mob with every potion effect (See requirement notes below)")</f>
        <v>Get attacked by a mob with every potion effect (See requirement notes below)</v>
      </c>
      <c r="R267" s="54"/>
      <c r="U267" s="172" t="str">
        <f>IFERROR(__xludf.DUMMYFUNCTION("""COMPUTED_VALUE"""),"")</f>
        <v/>
      </c>
      <c r="V267" s="173" t="str">
        <f>IFERROR(__xludf.DUMMYFUNCTION("""COMPUTED_VALUE"""),"Chiseled Copper")</f>
        <v>Chiseled Copper</v>
      </c>
      <c r="W267" s="174"/>
    </row>
    <row r="268">
      <c r="B268" s="169" t="str">
        <f>IFERROR(__xludf.DUMMYFUNCTION("""COMPUTED_VALUE"""),"")</f>
        <v/>
      </c>
      <c r="D268" s="170" t="str">
        <f>IFERROR(__xludf.DUMMYFUNCTION("""COMPUTED_VALUE"""),"Gas Bomb")</f>
        <v>Gas Bomb</v>
      </c>
      <c r="H268" s="171" t="str">
        <f>IFERROR(__xludf.DUMMYFUNCTION("""COMPUTED_VALUE"""),"Ignite a Creeper of each possible effect using Flint and Steel (See requirement notes below)")</f>
        <v>Ignite a Creeper of each possible effect using Flint and Steel (See requirement notes below)</v>
      </c>
      <c r="R268" s="54"/>
      <c r="U268" s="172" t="str">
        <f>IFERROR(__xludf.DUMMYFUNCTION("""COMPUTED_VALUE"""),"")</f>
        <v/>
      </c>
      <c r="V268" s="173" t="str">
        <f>IFERROR(__xludf.DUMMYFUNCTION("""COMPUTED_VALUE"""),"Chiseled Deepslate")</f>
        <v>Chiseled Deepslate</v>
      </c>
      <c r="W268" s="174"/>
    </row>
    <row r="269">
      <c r="B269" s="169" t="str">
        <f>IFERROR(__xludf.DUMMYFUNCTION("""COMPUTED_VALUE"""),"")</f>
        <v/>
      </c>
      <c r="D269" s="170" t="str">
        <f>IFERROR(__xludf.DUMMYFUNCTION("""COMPUTED_VALUE"""),"Event Horizon")</f>
        <v>Event Horizon</v>
      </c>
      <c r="H269" s="171" t="str">
        <f>IFERROR(__xludf.DUMMYFUNCTION("""COMPUTED_VALUE"""),"Survive void damage (Fly under y=-64 for about a second then get up above y=0 without dying. Only works in the End)")</f>
        <v>Survive void damage (Fly under y=-64 for about a second then get up above y=0 without dying. Only works in the End)</v>
      </c>
      <c r="R269" s="54"/>
      <c r="U269" s="172" t="str">
        <f>IFERROR(__xludf.DUMMYFUNCTION("""COMPUTED_VALUE"""),"")</f>
        <v/>
      </c>
      <c r="V269" s="173" t="str">
        <f>IFERROR(__xludf.DUMMYFUNCTION("""COMPUTED_VALUE"""),"Chiseled Nether Bricks")</f>
        <v>Chiseled Nether Bricks</v>
      </c>
      <c r="W269" s="174"/>
    </row>
    <row r="270">
      <c r="B270" s="169" t="str">
        <f>IFERROR(__xludf.DUMMYFUNCTION("""COMPUTED_VALUE"""),"")</f>
        <v/>
      </c>
      <c r="D270" s="170" t="str">
        <f>IFERROR(__xludf.DUMMYFUNCTION("""COMPUTED_VALUE"""),"Ring of the End")</f>
        <v>Ring of the End</v>
      </c>
      <c r="H270" s="171" t="str">
        <f>IFERROR(__xludf.DUMMYFUNCTION("""COMPUTED_VALUE"""),"Defeat the Ender Dragon 20 times (Land the killing blow on the Ender Dragon 20 times)")</f>
        <v>Defeat the Ender Dragon 20 times (Land the killing blow on the Ender Dragon 20 times)</v>
      </c>
      <c r="R270" s="54"/>
      <c r="U270" s="172" t="str">
        <f>IFERROR(__xludf.DUMMYFUNCTION("""COMPUTED_VALUE"""),"")</f>
        <v/>
      </c>
      <c r="V270" s="173" t="str">
        <f>IFERROR(__xludf.DUMMYFUNCTION("""COMPUTED_VALUE"""),"Chiseled Polished Blackstone")</f>
        <v>Chiseled Polished Blackstone</v>
      </c>
      <c r="W270" s="174"/>
    </row>
    <row r="271">
      <c r="B271" s="169" t="str">
        <f>IFERROR(__xludf.DUMMYFUNCTION("""COMPUTED_VALUE"""),"")</f>
        <v/>
      </c>
      <c r="D271" s="170" t="str">
        <f>IFERROR(__xludf.DUMMYFUNCTION("""COMPUTED_VALUE"""),"A Wizard’s Breakfast")</f>
        <v>A Wizard’s Breakfast</v>
      </c>
      <c r="H271" s="171" t="str">
        <f>IFERROR(__xludf.DUMMYFUNCTION("""COMPUTED_VALUE"""),"Eat a stack of Chorus Fruit in one go (Eat 64 chorus fruit with less than five seconds in-between each fruit and no other food eaten)")</f>
        <v>Eat a stack of Chorus Fruit in one go (Eat 64 chorus fruit with less than five seconds in-between each fruit and no other food eaten)</v>
      </c>
      <c r="R271" s="54"/>
      <c r="U271" s="172" t="str">
        <f>IFERROR(__xludf.DUMMYFUNCTION("""COMPUTED_VALUE"""),"")</f>
        <v/>
      </c>
      <c r="V271" s="173" t="str">
        <f>IFERROR(__xludf.DUMMYFUNCTION("""COMPUTED_VALUE"""),"Chiseled Quartz Block")</f>
        <v>Chiseled Quartz Block</v>
      </c>
      <c r="W271" s="174"/>
    </row>
    <row r="272">
      <c r="B272" s="169" t="str">
        <f>IFERROR(__xludf.DUMMYFUNCTION("""COMPUTED_VALUE"""),"")</f>
        <v/>
      </c>
      <c r="D272" s="170" t="str">
        <f>IFERROR(__xludf.DUMMYFUNCTION("""COMPUTED_VALUE"""),"In Your Face, Neil Armstrong")</f>
        <v>In Your Face, Neil Armstrong</v>
      </c>
      <c r="H272" s="171" t="str">
        <f>IFERROR(__xludf.DUMMYFUNCTION("""COMPUTED_VALUE"""),"Colonise the End with potato crops (Place potatoes in the End)")</f>
        <v>Colonise the End with potato crops (Place potatoes in the End)</v>
      </c>
      <c r="R272" s="54"/>
      <c r="U272" s="172" t="str">
        <f>IFERROR(__xludf.DUMMYFUNCTION("""COMPUTED_VALUE"""),"")</f>
        <v/>
      </c>
      <c r="V272" s="173" t="str">
        <f>IFERROR(__xludf.DUMMYFUNCTION("""COMPUTED_VALUE"""),"Chiseled Red Sandstone")</f>
        <v>Chiseled Red Sandstone</v>
      </c>
      <c r="W272" s="174"/>
    </row>
    <row r="273">
      <c r="B273" s="169" t="str">
        <f>IFERROR(__xludf.DUMMYFUNCTION("""COMPUTED_VALUE"""),"")</f>
        <v/>
      </c>
      <c r="D273" s="170" t="str">
        <f>IFERROR(__xludf.DUMMYFUNCTION("""COMPUTED_VALUE"""),"No! Don't let me leave, Murph!")</f>
        <v>No! Don't let me leave, Murph!</v>
      </c>
      <c r="H273" s="171" t="str">
        <f>IFERROR(__xludf.DUMMYFUNCTION("""COMPUTED_VALUE"""),"Travel so far into the End dimension you might as well be on another planet (Be beyond 100,000 or -100,000 in the x or z direction in the End)")</f>
        <v>Travel so far into the End dimension you might as well be on another planet (Be beyond 100,000 or -100,000 in the x or z direction in the End)</v>
      </c>
      <c r="R273" s="54"/>
      <c r="U273" s="172" t="str">
        <f>IFERROR(__xludf.DUMMYFUNCTION("""COMPUTED_VALUE"""),"")</f>
        <v/>
      </c>
      <c r="V273" s="173" t="str">
        <f>IFERROR(__xludf.DUMMYFUNCTION("""COMPUTED_VALUE"""),"Chiseled Sandstone")</f>
        <v>Chiseled Sandstone</v>
      </c>
      <c r="W273" s="174"/>
    </row>
    <row r="274">
      <c r="B274" s="169" t="str">
        <f>IFERROR(__xludf.DUMMYFUNCTION("""COMPUTED_VALUE"""),"")</f>
        <v/>
      </c>
      <c r="D274" s="170" t="str">
        <f>IFERROR(__xludf.DUMMYFUNCTION("""COMPUTED_VALUE"""),"Unending Hell")</f>
        <v>Unending Hell</v>
      </c>
      <c r="H274" s="171" t="str">
        <f>IFERROR(__xludf.DUMMYFUNCTION("""COMPUTED_VALUE"""),"Travel directly from the End to the Nether (Enter the End's exit portal but arrive in the Nether by having your spawn set to a Respawn Anchor)")</f>
        <v>Travel directly from the End to the Nether (Enter the End's exit portal but arrive in the Nether by having your spawn set to a Respawn Anchor)</v>
      </c>
      <c r="R274" s="54"/>
      <c r="U274" s="172" t="str">
        <f>IFERROR(__xludf.DUMMYFUNCTION("""COMPUTED_VALUE"""),"")</f>
        <v/>
      </c>
      <c r="V274" s="173" t="str">
        <f>IFERROR(__xludf.DUMMYFUNCTION("""COMPUTED_VALUE"""),"Chiseled Stone Bricks")</f>
        <v>Chiseled Stone Bricks</v>
      </c>
      <c r="W274" s="174"/>
    </row>
    <row r="275">
      <c r="B275" s="169" t="str">
        <f>IFERROR(__xludf.DUMMYFUNCTION("""COMPUTED_VALUE"""),"")</f>
        <v/>
      </c>
      <c r="D275" s="170" t="str">
        <f>IFERROR(__xludf.DUMMYFUNCTION("""COMPUTED_VALUE"""),"Organizational Wizard")</f>
        <v>Organizational Wizard</v>
      </c>
      <c r="H275" s="171" t="str">
        <f>IFERROR(__xludf.DUMMYFUNCTION("""COMPUTED_VALUE"""),"Name a Shulker Box 'Blocks' for storing your blocks (Obtain a shulker box of any color that is named ""Blocks"")")</f>
        <v>Name a Shulker Box 'Blocks' for storing your blocks (Obtain a shulker box of any color that is named "Blocks")</v>
      </c>
      <c r="R275" s="54"/>
      <c r="U275" s="172" t="str">
        <f>IFERROR(__xludf.DUMMYFUNCTION("""COMPUTED_VALUE"""),"")</f>
        <v/>
      </c>
      <c r="V275" s="173" t="str">
        <f>IFERROR(__xludf.DUMMYFUNCTION("""COMPUTED_VALUE"""),"Chiseled Tuff")</f>
        <v>Chiseled Tuff</v>
      </c>
      <c r="W275" s="174"/>
    </row>
    <row r="276">
      <c r="B276" s="169" t="str">
        <f>IFERROR(__xludf.DUMMYFUNCTION("""COMPUTED_VALUE"""),"")</f>
        <v/>
      </c>
      <c r="D276" s="170" t="str">
        <f>IFERROR(__xludf.DUMMYFUNCTION("""COMPUTED_VALUE"""),"Dogfight")</f>
        <v>Dogfight</v>
      </c>
      <c r="H276" s="171" t="str">
        <f>IFERROR(__xludf.DUMMYFUNCTION("""COMPUTED_VALUE"""),"Kill a Skeleton or Stray while both you and it have levitation")</f>
        <v>Kill a Skeleton or Stray while both you and it have levitation</v>
      </c>
      <c r="R276" s="54"/>
      <c r="U276" s="172" t="str">
        <f>IFERROR(__xludf.DUMMYFUNCTION("""COMPUTED_VALUE"""),"")</f>
        <v/>
      </c>
      <c r="V276" s="173" t="str">
        <f>IFERROR(__xludf.DUMMYFUNCTION("""COMPUTED_VALUE"""),"Chiseled Tuff Bricks")</f>
        <v>Chiseled Tuff Bricks</v>
      </c>
      <c r="W276" s="174"/>
    </row>
    <row r="277">
      <c r="B277" s="169" t="str">
        <f>IFERROR(__xludf.DUMMYFUNCTION("""COMPUTED_VALUE"""),"")</f>
        <v/>
      </c>
      <c r="D277" s="170" t="str">
        <f>IFERROR(__xludf.DUMMYFUNCTION("""COMPUTED_VALUE"""),"Rocketman")</f>
        <v>Rocketman</v>
      </c>
      <c r="H277" s="171" t="str">
        <f>IFERROR(__xludf.DUMMYFUNCTION("""COMPUTED_VALUE"""),"Fill your inventory with full stacks of firework rockets (All inventory slots, including your hotbar and offhand, must be filled, hence requiring 37 stacks of rockets)")</f>
        <v>Fill your inventory with full stacks of firework rockets (All inventory slots, including your hotbar and offhand, must be filled, hence requiring 37 stacks of rockets)</v>
      </c>
      <c r="R277" s="54"/>
      <c r="U277" s="172" t="str">
        <f>IFERROR(__xludf.DUMMYFUNCTION("""COMPUTED_VALUE"""),"")</f>
        <v/>
      </c>
      <c r="V277" s="173" t="str">
        <f>IFERROR(__xludf.DUMMYFUNCTION("""COMPUTED_VALUE"""),"Chorus Flower")</f>
        <v>Chorus Flower</v>
      </c>
      <c r="W277" s="174"/>
    </row>
    <row r="278">
      <c r="B278" s="169" t="str">
        <f>IFERROR(__xludf.DUMMYFUNCTION("""COMPUTED_VALUE"""),"")</f>
        <v/>
      </c>
      <c r="D278" s="170" t="str">
        <f>IFERROR(__xludf.DUMMYFUNCTION("""COMPUTED_VALUE"""),"Diver's Dozen")</f>
        <v>Diver's Dozen</v>
      </c>
      <c r="H278" s="171" t="str">
        <f>IFERROR(__xludf.DUMMYFUNCTION("""COMPUTED_VALUE"""),"Kill 12 mobs while airborne using Elytra. Stopping flight or touching liquid will reset your progress")</f>
        <v>Kill 12 mobs while airborne using Elytra. Stopping flight or touching liquid will reset your progress</v>
      </c>
      <c r="R278" s="54"/>
      <c r="U278" s="172" t="str">
        <f>IFERROR(__xludf.DUMMYFUNCTION("""COMPUTED_VALUE"""),"")</f>
        <v/>
      </c>
      <c r="V278" s="173" t="str">
        <f>IFERROR(__xludf.DUMMYFUNCTION("""COMPUTED_VALUE"""),"Chorus Fruit")</f>
        <v>Chorus Fruit</v>
      </c>
      <c r="W278" s="174"/>
    </row>
    <row r="279">
      <c r="B279" s="169" t="str">
        <f>IFERROR(__xludf.DUMMYFUNCTION("""COMPUTED_VALUE"""),"")</f>
        <v/>
      </c>
      <c r="D279" s="170" t="str">
        <f>IFERROR(__xludf.DUMMYFUNCTION("""COMPUTED_VALUE"""),"Stack all the Blocks!")</f>
        <v>Stack all the Blocks!</v>
      </c>
      <c r="H279" s="171" t="str">
        <f>IFERROR(__xludf.DUMMYFUNCTION("""COMPUTED_VALUE"""),"Obtain a stack of all the blocks! (Obtain the maximum possible stack size for each block from ""All the Blocks"". See requirement notes below for some exceptions)")</f>
        <v>Obtain a stack of all the blocks! (Obtain the maximum possible stack size for each block from "All the Blocks". See requirement notes below for some exceptions)</v>
      </c>
      <c r="R279" s="54"/>
      <c r="U279" s="172" t="str">
        <f>IFERROR(__xludf.DUMMYFUNCTION("""COMPUTED_VALUE"""),"")</f>
        <v/>
      </c>
      <c r="V279" s="173" t="str">
        <f>IFERROR(__xludf.DUMMYFUNCTION("""COMPUTED_VALUE"""),"Clay")</f>
        <v>Clay</v>
      </c>
      <c r="W279" s="174"/>
    </row>
    <row r="280">
      <c r="B280" s="169" t="str">
        <f>IFERROR(__xludf.DUMMYFUNCTION("""COMPUTED_VALUE"""),"")</f>
        <v/>
      </c>
      <c r="D280" s="170" t="str">
        <f>IFERROR(__xludf.DUMMYFUNCTION("""COMPUTED_VALUE"""),"Stack all the Items!")</f>
        <v>Stack all the Items!</v>
      </c>
      <c r="H280" s="171" t="str">
        <f>IFERROR(__xludf.DUMMYFUNCTION("""COMPUTED_VALUE"""),"Obtain a stack of all the items! (Obtain the maximum possible stack size for each item from ""All the Items"". See requirement notes below for some exceptions)")</f>
        <v>Obtain a stack of all the items! (Obtain the maximum possible stack size for each item from "All the Items". See requirement notes below for some exceptions)</v>
      </c>
      <c r="R280" s="54"/>
      <c r="U280" s="172" t="str">
        <f>IFERROR(__xludf.DUMMYFUNCTION("""COMPUTED_VALUE"""),"")</f>
        <v/>
      </c>
      <c r="V280" s="173" t="str">
        <f>IFERROR(__xludf.DUMMYFUNCTION("""COMPUTED_VALUE"""),"Clay Ball")</f>
        <v>Clay Ball</v>
      </c>
      <c r="W280" s="174"/>
    </row>
    <row r="281">
      <c r="B281" s="169" t="str">
        <f>IFERROR(__xludf.DUMMYFUNCTION("""COMPUTED_VALUE"""),"")</f>
        <v/>
      </c>
      <c r="D281" s="170" t="str">
        <f>IFERROR(__xludf.DUMMYFUNCTION("""COMPUTED_VALUE"""),"Telescopic")</f>
        <v>Telescopic</v>
      </c>
      <c r="H281" s="171" t="str">
        <f>IFERROR(__xludf.DUMMYFUNCTION("""COMPUTED_VALUE"""),"Look at every mob using a Spyglass, each from at least 25 blocks away (See requirement notes below)")</f>
        <v>Look at every mob using a Spyglass, each from at least 25 blocks away (See requirement notes below)</v>
      </c>
      <c r="R281" s="54"/>
      <c r="U281" s="172" t="str">
        <f>IFERROR(__xludf.DUMMYFUNCTION("""COMPUTED_VALUE"""),"")</f>
        <v/>
      </c>
      <c r="V281" s="173" t="str">
        <f>IFERROR(__xludf.DUMMYFUNCTION("""COMPUTED_VALUE"""),"Clock")</f>
        <v>Clock</v>
      </c>
      <c r="W281" s="174"/>
    </row>
    <row r="282">
      <c r="B282" s="169" t="str">
        <f>IFERROR(__xludf.DUMMYFUNCTION("""COMPUTED_VALUE"""),"")</f>
        <v/>
      </c>
      <c r="D282" s="170" t="str">
        <f>IFERROR(__xludf.DUMMYFUNCTION("""COMPUTED_VALUE"""),"Highway to Hell")</f>
        <v>Highway to Hell</v>
      </c>
      <c r="H282" s="171" t="str">
        <f>IFERROR(__xludf.DUMMYFUNCTION("""COMPUTED_VALUE"""),"Send every mob to the Nether... and kill them all there (See requirement notes below)")</f>
        <v>Send every mob to the Nether... and kill them all there (See requirement notes below)</v>
      </c>
      <c r="R282" s="54"/>
      <c r="U282" s="172" t="str">
        <f>IFERROR(__xludf.DUMMYFUNCTION("""COMPUTED_VALUE"""),"")</f>
        <v/>
      </c>
      <c r="V282" s="173" t="str">
        <f>IFERROR(__xludf.DUMMYFUNCTION("""COMPUTED_VALUE"""),"Coal")</f>
        <v>Coal</v>
      </c>
      <c r="W282" s="174"/>
    </row>
    <row r="283">
      <c r="B283" s="169" t="str">
        <f>IFERROR(__xludf.DUMMYFUNCTION("""COMPUTED_VALUE"""),"")</f>
        <v/>
      </c>
      <c r="D283" s="170" t="str">
        <f>IFERROR(__xludf.DUMMYFUNCTION("""COMPUTED_VALUE"""),"Endergeddon")</f>
        <v>Endergeddon</v>
      </c>
      <c r="H283" s="171" t="str">
        <f>IFERROR(__xludf.DUMMYFUNCTION("""COMPUTED_VALUE"""),"Send every mob to the End... and kill them all there (See requirement notes below)")</f>
        <v>Send every mob to the End... and kill them all there (See requirement notes below)</v>
      </c>
      <c r="R283" s="54"/>
      <c r="U283" s="172" t="str">
        <f>IFERROR(__xludf.DUMMYFUNCTION("""COMPUTED_VALUE"""),"")</f>
        <v/>
      </c>
      <c r="V283" s="173" t="str">
        <f>IFERROR(__xludf.DUMMYFUNCTION("""COMPUTED_VALUE"""),"Coal Block")</f>
        <v>Coal Block</v>
      </c>
      <c r="W283" s="174"/>
    </row>
    <row r="284">
      <c r="B284" s="169" t="str">
        <f>IFERROR(__xludf.DUMMYFUNCTION("""COMPUTED_VALUE"""),"")</f>
        <v/>
      </c>
      <c r="D284" s="170" t="str">
        <f>IFERROR(__xludf.DUMMYFUNCTION("""COMPUTED_VALUE"""),"Potion Master")</f>
        <v>Potion Master</v>
      </c>
      <c r="H284" s="171" t="str">
        <f>IFERROR(__xludf.DUMMYFUNCTION("""COMPUTED_VALUE"""),"Kill every mob in the game with splash potions (See requirement notes below)")</f>
        <v>Kill every mob in the game with splash potions (See requirement notes below)</v>
      </c>
      <c r="R284" s="54"/>
      <c r="U284" s="172" t="str">
        <f>IFERROR(__xludf.DUMMYFUNCTION("""COMPUTED_VALUE"""),"")</f>
        <v/>
      </c>
      <c r="V284" s="173" t="str">
        <f>IFERROR(__xludf.DUMMYFUNCTION("""COMPUTED_VALUE"""),"Coal Ore")</f>
        <v>Coal Ore</v>
      </c>
      <c r="W284" s="174"/>
    </row>
    <row r="285">
      <c r="B285" s="169" t="str">
        <f>IFERROR(__xludf.DUMMYFUNCTION("""COMPUTED_VALUE"""),"")</f>
        <v/>
      </c>
      <c r="D285" s="170" t="str">
        <f>IFERROR(__xludf.DUMMYFUNCTION("""COMPUTED_VALUE"""),"Biological Warfare")</f>
        <v>Biological Warfare</v>
      </c>
      <c r="H285" s="171" t="str">
        <f>IFERROR(__xludf.DUMMYFUNCTION("""COMPUTED_VALUE"""),"Kill every mob in the game with lingering potions (See requirement notes below)")</f>
        <v>Kill every mob in the game with lingering potions (See requirement notes below)</v>
      </c>
      <c r="R285" s="54"/>
      <c r="U285" s="172" t="str">
        <f>IFERROR(__xludf.DUMMYFUNCTION("""COMPUTED_VALUE"""),"")</f>
        <v/>
      </c>
      <c r="V285" s="173" t="str">
        <f>IFERROR(__xludf.DUMMYFUNCTION("""COMPUTED_VALUE"""),"Coarse Dirt")</f>
        <v>Coarse Dirt</v>
      </c>
      <c r="W285" s="174"/>
    </row>
    <row r="286">
      <c r="B286" s="169" t="str">
        <f>IFERROR(__xludf.DUMMYFUNCTION("""COMPUTED_VALUE"""),"")</f>
        <v/>
      </c>
      <c r="D286" s="170" t="str">
        <f>IFERROR(__xludf.DUMMYFUNCTION("""COMPUTED_VALUE"""),"Nuclear Fusion")</f>
        <v>Nuclear Fusion</v>
      </c>
      <c r="H286" s="171" t="str">
        <f>IFERROR(__xludf.DUMMYFUNCTION("""COMPUTED_VALUE"""),"Strike every mob that can transform with lightning at once (Strike a Pig, Mooshroom, Villager and Creeper at the same time with the lightning bolt from a Channeling Trident)")</f>
        <v>Strike every mob that can transform with lightning at once (Strike a Pig, Mooshroom, Villager and Creeper at the same time with the lightning bolt from a Channeling Trident)</v>
      </c>
      <c r="R286" s="54"/>
      <c r="U286" s="172" t="str">
        <f>IFERROR(__xludf.DUMMYFUNCTION("""COMPUTED_VALUE"""),"")</f>
        <v/>
      </c>
      <c r="V286" s="173" t="str">
        <f>IFERROR(__xludf.DUMMYFUNCTION("""COMPUTED_VALUE"""),"Coast Armor Trim")</f>
        <v>Coast Armor Trim</v>
      </c>
      <c r="W286" s="174"/>
    </row>
    <row r="287">
      <c r="B287" s="169" t="str">
        <f>IFERROR(__xludf.DUMMYFUNCTION("""COMPUTED_VALUE"""),"")</f>
        <v/>
      </c>
      <c r="D287" s="170" t="str">
        <f>IFERROR(__xludf.DUMMYFUNCTION("""COMPUTED_VALUE"""),"Dragon vs Dragon II")</f>
        <v>Dragon vs Dragon II</v>
      </c>
      <c r="H287" s="171" t="str">
        <f>IFERROR(__xludf.DUMMYFUNCTION("""COMPUTED_VALUE"""),"Defeat the Ender Dragon while wearing a dragon head... without touching the ground (Once the Ender Dragon becomes attackable you must not be touching the ground AND be wearing a Dragon Head for the whole fight, and deal the killing blow. It also resets if"&amp;" you ride any vehicle OR touch water or lava)")</f>
        <v>Defeat the Ender Dragon while wearing a dragon head... without touching the ground (Once the Ender Dragon becomes attackable you must not be touching the ground AND be wearing a Dragon Head for the whole fight, and deal the killing blow. It also resets if you ride any vehicle OR touch water or lava)</v>
      </c>
      <c r="R287" s="54"/>
      <c r="U287" s="172" t="str">
        <f>IFERROR(__xludf.DUMMYFUNCTION("""COMPUTED_VALUE"""),"")</f>
        <v/>
      </c>
      <c r="V287" s="173" t="str">
        <f>IFERROR(__xludf.DUMMYFUNCTION("""COMPUTED_VALUE"""),"Cobbled Deepslate")</f>
        <v>Cobbled Deepslate</v>
      </c>
      <c r="W287" s="174"/>
    </row>
    <row r="288">
      <c r="B288" s="169" t="str">
        <f>IFERROR(__xludf.DUMMYFUNCTION("""COMPUTED_VALUE"""),"")</f>
        <v/>
      </c>
      <c r="D288" s="170" t="str">
        <f>IFERROR(__xludf.DUMMYFUNCTION("""COMPUTED_VALUE"""),"Dragon vs Wither: Pre-Sequel")</f>
        <v>Dragon vs Wither: Pre-Sequel</v>
      </c>
      <c r="H288" s="171" t="str">
        <f>IFERROR(__xludf.DUMMYFUNCTION("""COMPUTED_VALUE"""),"Defeat the Wither while wearing a Dragon head... without touching the ground (Once the Wither becomes attackable you must not be touching the ground AND be wearing a Dragon Head for the whole fight, and deal the killing blow. It also resets if you ride an"&amp;"y vehicle OR touch water, lava or a climbable block such as ladders)")</f>
        <v>Defeat the Wither while wearing a Dragon head... without touching the ground (Once the Wither becomes attackable you must not be touching the ground AND be wearing a Dragon Head for the whole fight, and deal the killing blow. It also resets if you ride any vehicle OR touch water, lava or a climbable block such as ladders)</v>
      </c>
      <c r="R288" s="54"/>
      <c r="U288" s="172" t="str">
        <f>IFERROR(__xludf.DUMMYFUNCTION("""COMPUTED_VALUE"""),"")</f>
        <v/>
      </c>
      <c r="V288" s="173" t="str">
        <f>IFERROR(__xludf.DUMMYFUNCTION("""COMPUTED_VALUE"""),"Cobbled Deepslate Slab")</f>
        <v>Cobbled Deepslate Slab</v>
      </c>
      <c r="W288" s="174"/>
    </row>
    <row r="289">
      <c r="B289" s="169" t="str">
        <f>IFERROR(__xludf.DUMMYFUNCTION("""COMPUTED_VALUE"""),"")</f>
        <v/>
      </c>
      <c r="D289" s="170" t="str">
        <f>IFERROR(__xludf.DUMMYFUNCTION("""COMPUTED_VALUE"""),"The Perfect Run")</f>
        <v>The Perfect Run</v>
      </c>
      <c r="H289" s="171" t="str">
        <f>IFERROR(__xludf.DUMMYFUNCTION("""COMPUTED_VALUE"""),"Summon the Ender Dragon, the Wither, and a Raid within thirty seconds of each other, then defeat all of them without taking damage")</f>
        <v>Summon the Ender Dragon, the Wither, and a Raid within thirty seconds of each other, then defeat all of them without taking damage</v>
      </c>
      <c r="R289" s="54"/>
      <c r="U289" s="172" t="str">
        <f>IFERROR(__xludf.DUMMYFUNCTION("""COMPUTED_VALUE"""),"")</f>
        <v/>
      </c>
      <c r="V289" s="173" t="str">
        <f>IFERROR(__xludf.DUMMYFUNCTION("""COMPUTED_VALUE"""),"Cobbled Deepslate Stairs")</f>
        <v>Cobbled Deepslate Stairs</v>
      </c>
      <c r="W289" s="174"/>
    </row>
    <row r="290">
      <c r="B290" s="169" t="str">
        <f>IFERROR(__xludf.DUMMYFUNCTION("""COMPUTED_VALUE"""),"")</f>
        <v/>
      </c>
      <c r="D290" s="170" t="str">
        <f>IFERROR(__xludf.DUMMYFUNCTION("""COMPUTED_VALUE"""),"Riddle Me This")</f>
        <v>Riddle Me This</v>
      </c>
      <c r="H290" s="171" t="str">
        <f>IFERROR(__xludf.DUMMYFUNCTION("""COMPUTED_VALUE"""),"See below for description and walkthrough (as it is very long)")</f>
        <v>See below for description and walkthrough (as it is very long)</v>
      </c>
      <c r="R290" s="54"/>
      <c r="U290" s="172" t="str">
        <f>IFERROR(__xludf.DUMMYFUNCTION("""COMPUTED_VALUE"""),"")</f>
        <v/>
      </c>
      <c r="V290" s="173" t="str">
        <f>IFERROR(__xludf.DUMMYFUNCTION("""COMPUTED_VALUE"""),"Cobbled Deepslate Wall")</f>
        <v>Cobbled Deepslate Wall</v>
      </c>
      <c r="W290" s="174"/>
    </row>
    <row r="291">
      <c r="B291" s="169" t="str">
        <f>IFERROR(__xludf.DUMMYFUNCTION("""COMPUTED_VALUE"""),"")</f>
        <v/>
      </c>
      <c r="D291" s="170" t="str">
        <f>IFERROR(__xludf.DUMMYFUNCTION("""COMPUTED_VALUE"""),"I am Loot!")</f>
        <v>I am Loot!</v>
      </c>
      <c r="H291" s="171" t="str">
        <f>IFERROR(__xludf.DUMMYFUNCTION("""COMPUTED_VALUE"""),"Open up every type of loot chest (See requirement notes below)")</f>
        <v>Open up every type of loot chest (See requirement notes below)</v>
      </c>
      <c r="R291" s="54"/>
      <c r="U291" s="172" t="str">
        <f>IFERROR(__xludf.DUMMYFUNCTION("""COMPUTED_VALUE"""),"")</f>
        <v/>
      </c>
      <c r="V291" s="173" t="str">
        <f>IFERROR(__xludf.DUMMYFUNCTION("""COMPUTED_VALUE"""),"Cobblestone")</f>
        <v>Cobblestone</v>
      </c>
      <c r="W291" s="174"/>
    </row>
    <row r="292">
      <c r="B292" s="169" t="str">
        <f>IFERROR(__xludf.DUMMYFUNCTION("""COMPUTED_VALUE"""),"")</f>
        <v/>
      </c>
      <c r="D292" s="170" t="str">
        <f>IFERROR(__xludf.DUMMYFUNCTION("""COMPUTED_VALUE"""),"The World Is Ending")</f>
        <v>The World Is Ending</v>
      </c>
      <c r="H292" s="171" t="str">
        <f>IFERROR(__xludf.DUMMYFUNCTION("""COMPUTED_VALUE"""),"Summon ten withers at once (At least ten withers must be in existence up to 128 blocks away from you (checked once every ten seconds))")</f>
        <v>Summon ten withers at once (At least ten withers must be in existence up to 128 blocks away from you (checked once every ten seconds))</v>
      </c>
      <c r="R292" s="54"/>
      <c r="U292" s="172" t="str">
        <f>IFERROR(__xludf.DUMMYFUNCTION("""COMPUTED_VALUE"""),"")</f>
        <v/>
      </c>
      <c r="V292" s="173" t="str">
        <f>IFERROR(__xludf.DUMMYFUNCTION("""COMPUTED_VALUE"""),"Cobblestone Slab")</f>
        <v>Cobblestone Slab</v>
      </c>
      <c r="W292" s="174"/>
    </row>
    <row r="293">
      <c r="B293" s="169" t="str">
        <f>IFERROR(__xludf.DUMMYFUNCTION("""COMPUTED_VALUE"""),"")</f>
        <v/>
      </c>
      <c r="D293" s="170" t="str">
        <f>IFERROR(__xludf.DUMMYFUNCTION("""COMPUTED_VALUE"""),"Overwarden")</f>
        <v>Overwarden</v>
      </c>
      <c r="H293" s="171" t="str">
        <f>IFERROR(__xludf.DUMMYFUNCTION("""COMPUTED_VALUE"""),"Have fifty Wardens present within 100 blocks of you")</f>
        <v>Have fifty Wardens present within 100 blocks of you</v>
      </c>
      <c r="R293" s="54"/>
      <c r="U293" s="172" t="str">
        <f>IFERROR(__xludf.DUMMYFUNCTION("""COMPUTED_VALUE"""),"")</f>
        <v/>
      </c>
      <c r="V293" s="173" t="str">
        <f>IFERROR(__xludf.DUMMYFUNCTION("""COMPUTED_VALUE"""),"Cobblestone Stairs")</f>
        <v>Cobblestone Stairs</v>
      </c>
      <c r="W293" s="174"/>
    </row>
    <row r="294">
      <c r="B294" s="169" t="str">
        <f>IFERROR(__xludf.DUMMYFUNCTION("""COMPUTED_VALUE"""),"")</f>
        <v/>
      </c>
      <c r="D294" s="170" t="str">
        <f>IFERROR(__xludf.DUMMYFUNCTION("""COMPUTED_VALUE"""),"Immortal")</f>
        <v>Immortal</v>
      </c>
      <c r="H294" s="171" t="str">
        <f>IFERROR(__xludf.DUMMYFUNCTION("""COMPUTED_VALUE"""),"Fill your entire inventory with Totems of Undying (All inventory slots, including your hotbar and offhand, must be filled, hence requiring 37 totems of undying)")</f>
        <v>Fill your entire inventory with Totems of Undying (All inventory slots, including your hotbar and offhand, must be filled, hence requiring 37 totems of undying)</v>
      </c>
      <c r="R294" s="54"/>
      <c r="U294" s="172" t="str">
        <f>IFERROR(__xludf.DUMMYFUNCTION("""COMPUTED_VALUE"""),"")</f>
        <v/>
      </c>
      <c r="V294" s="173" t="str">
        <f>IFERROR(__xludf.DUMMYFUNCTION("""COMPUTED_VALUE"""),"Cobblestone Wall")</f>
        <v>Cobblestone Wall</v>
      </c>
      <c r="W294" s="174"/>
    </row>
    <row r="295">
      <c r="B295" s="169" t="str">
        <f>IFERROR(__xludf.DUMMYFUNCTION("""COMPUTED_VALUE"""),"")</f>
        <v/>
      </c>
      <c r="D295" s="170" t="str">
        <f>IFERROR(__xludf.DUMMYFUNCTION("""COMPUTED_VALUE"""),"Death From All")</f>
        <v>Death From All</v>
      </c>
      <c r="H295" s="171" t="str">
        <f>IFERROR(__xludf.DUMMYFUNCTION("""COMPUTED_VALUE"""),"Get killed by every mob that can kill you (See requirement notes below)")</f>
        <v>Get killed by every mob that can kill you (See requirement notes below)</v>
      </c>
      <c r="R295" s="54"/>
      <c r="U295" s="172" t="str">
        <f>IFERROR(__xludf.DUMMYFUNCTION("""COMPUTED_VALUE"""),"")</f>
        <v/>
      </c>
      <c r="V295" s="173" t="str">
        <f>IFERROR(__xludf.DUMMYFUNCTION("""COMPUTED_VALUE"""),"Cobweb")</f>
        <v>Cobweb</v>
      </c>
      <c r="W295" s="174"/>
    </row>
    <row r="296">
      <c r="B296" s="169" t="str">
        <f>IFERROR(__xludf.DUMMYFUNCTION("""COMPUTED_VALUE"""),"")</f>
        <v/>
      </c>
      <c r="D296" s="170" t="str">
        <f>IFERROR(__xludf.DUMMYFUNCTION("""COMPUTED_VALUE"""),"Ultimate Enchanter")</f>
        <v>Ultimate Enchanter</v>
      </c>
      <c r="H296" s="171" t="str">
        <f>IFERROR(__xludf.DUMMYFUNCTION("""COMPUTED_VALUE"""),"Collect every type of enchantment at every level (See requirement notes below)")</f>
        <v>Collect every type of enchantment at every level (See requirement notes below)</v>
      </c>
      <c r="R296" s="54"/>
      <c r="U296" s="172" t="str">
        <f>IFERROR(__xludf.DUMMYFUNCTION("""COMPUTED_VALUE"""),"")</f>
        <v/>
      </c>
      <c r="V296" s="173" t="str">
        <f>IFERROR(__xludf.DUMMYFUNCTION("""COMPUTED_VALUE"""),"Cocoa Beans")</f>
        <v>Cocoa Beans</v>
      </c>
      <c r="W296" s="174"/>
    </row>
    <row r="297">
      <c r="B297" s="169" t="str">
        <f>IFERROR(__xludf.DUMMYFUNCTION("""COMPUTED_VALUE"""),"")</f>
        <v/>
      </c>
      <c r="D297" s="170" t="str">
        <f>IFERROR(__xludf.DUMMYFUNCTION("""COMPUTED_VALUE"""),"Stockbroker")</f>
        <v>Stockbroker</v>
      </c>
      <c r="H297" s="171" t="str">
        <f>IFERROR(__xludf.DUMMYFUNCTION("""COMPUTED_VALUE"""),"Trade with every profession from every biome type (See requirement notes below)")</f>
        <v>Trade with every profession from every biome type (See requirement notes below)</v>
      </c>
      <c r="R297" s="54"/>
      <c r="U297" s="172" t="str">
        <f>IFERROR(__xludf.DUMMYFUNCTION("""COMPUTED_VALUE"""),"")</f>
        <v/>
      </c>
      <c r="V297" s="173" t="str">
        <f>IFERROR(__xludf.DUMMYFUNCTION("""COMPUTED_VALUE"""),"Cod")</f>
        <v>Cod</v>
      </c>
      <c r="W297" s="174"/>
    </row>
    <row r="298">
      <c r="B298" s="169" t="str">
        <f>IFERROR(__xludf.DUMMYFUNCTION("""COMPUTED_VALUE"""),"")</f>
        <v/>
      </c>
      <c r="D298" s="170" t="str">
        <f>IFERROR(__xludf.DUMMYFUNCTION("""COMPUTED_VALUE"""),"Global Vaccination")</f>
        <v>Global Vaccination</v>
      </c>
      <c r="H298" s="171" t="str">
        <f>IFERROR(__xludf.DUMMYFUNCTION("""COMPUTED_VALUE"""),"Cure a zombie villager of every profession... from every biome")</f>
        <v>Cure a zombie villager of every profession... from every biome</v>
      </c>
      <c r="R298" s="54"/>
      <c r="U298" s="172" t="str">
        <f>IFERROR(__xludf.DUMMYFUNCTION("""COMPUTED_VALUE"""),"")</f>
        <v/>
      </c>
      <c r="V298" s="173" t="str">
        <f>IFERROR(__xludf.DUMMYFUNCTION("""COMPUTED_VALUE"""),"Cod Bucket")</f>
        <v>Cod Bucket</v>
      </c>
      <c r="W298" s="174"/>
    </row>
    <row r="299">
      <c r="B299" s="169" t="str">
        <f>IFERROR(__xludf.DUMMYFUNCTION("""COMPUTED_VALUE"""),"")</f>
        <v/>
      </c>
      <c r="D299" s="170" t="str">
        <f>IFERROR(__xludf.DUMMYFUNCTION("""COMPUTED_VALUE"""),"How Did We Get Here?")</f>
        <v>How Did We Get Here?</v>
      </c>
      <c r="H299" s="171" t="str">
        <f>IFERROR(__xludf.DUMMYFUNCTION("""COMPUTED_VALUE"""),"Have every effect applied at the same time (See requirement notes below)")</f>
        <v>Have every effect applied at the same time (See requirement notes below)</v>
      </c>
      <c r="R299" s="54"/>
      <c r="U299" s="172" t="str">
        <f>IFERROR(__xludf.DUMMYFUNCTION("""COMPUTED_VALUE"""),"")</f>
        <v/>
      </c>
      <c r="V299" s="173" t="str">
        <f>IFERROR(__xludf.DUMMYFUNCTION("""COMPUTED_VALUE"""),"Comparator")</f>
        <v>Comparator</v>
      </c>
      <c r="W299" s="174"/>
    </row>
    <row r="300">
      <c r="B300" s="169" t="str">
        <f>IFERROR(__xludf.DUMMYFUNCTION("""COMPUTED_VALUE"""),"")</f>
        <v/>
      </c>
      <c r="D300" s="170" t="str">
        <f>IFERROR(__xludf.DUMMYFUNCTION("""COMPUTED_VALUE"""),"Ad Astra")</f>
        <v>Ad Astra</v>
      </c>
      <c r="H300" s="171" t="str">
        <f>IFERROR(__xludf.DUMMYFUNCTION("""COMPUTED_VALUE"""),"Reach an altitude of 10,000 blocks above the world (Be above y=10,000)")</f>
        <v>Reach an altitude of 10,000 blocks above the world (Be above y=10,000)</v>
      </c>
      <c r="R300" s="54"/>
      <c r="U300" s="172" t="str">
        <f>IFERROR(__xludf.DUMMYFUNCTION("""COMPUTED_VALUE"""),"")</f>
        <v/>
      </c>
      <c r="V300" s="173" t="str">
        <f>IFERROR(__xludf.DUMMYFUNCTION("""COMPUTED_VALUE"""),"Compass")</f>
        <v>Compass</v>
      </c>
      <c r="W300" s="174"/>
    </row>
    <row r="301">
      <c r="B301" s="169" t="str">
        <f>IFERROR(__xludf.DUMMYFUNCTION("""COMPUTED_VALUE"""),"")</f>
        <v/>
      </c>
      <c r="D301" s="170" t="str">
        <f>IFERROR(__xludf.DUMMYFUNCTION("""COMPUTED_VALUE"""),"I'm in Space!")</f>
        <v>I'm in Space!</v>
      </c>
      <c r="H301" s="171" t="str">
        <f>IFERROR(__xludf.DUMMYFUNCTION("""COMPUTED_VALUE"""),"Levitate up a distance of 256 blocks")</f>
        <v>Levitate up a distance of 256 blocks</v>
      </c>
      <c r="R301" s="54"/>
      <c r="U301" s="172" t="str">
        <f>IFERROR(__xludf.DUMMYFUNCTION("""COMPUTED_VALUE"""),"")</f>
        <v/>
      </c>
      <c r="V301" s="173" t="str">
        <f>IFERROR(__xludf.DUMMYFUNCTION("""COMPUTED_VALUE"""),"Composter")</f>
        <v>Composter</v>
      </c>
      <c r="W301" s="174"/>
    </row>
    <row r="302">
      <c r="B302" s="169" t="str">
        <f>IFERROR(__xludf.DUMMYFUNCTION("""COMPUTED_VALUE"""),"")</f>
        <v/>
      </c>
      <c r="D302" s="170" t="str">
        <f>IFERROR(__xludf.DUMMYFUNCTION("""COMPUTED_VALUE"""),"A Million Blocks Away")</f>
        <v>A Million Blocks Away</v>
      </c>
      <c r="H302" s="171" t="str">
        <f>IFERROR(__xludf.DUMMYFUNCTION("""COMPUTED_VALUE"""),"Travel a million blocks away from spawn")</f>
        <v>Travel a million blocks away from spawn</v>
      </c>
      <c r="R302" s="54"/>
      <c r="U302" s="172" t="str">
        <f>IFERROR(__xludf.DUMMYFUNCTION("""COMPUTED_VALUE"""),"")</f>
        <v/>
      </c>
      <c r="V302" s="173" t="str">
        <f>IFERROR(__xludf.DUMMYFUNCTION("""COMPUTED_VALUE"""),"Conduit")</f>
        <v>Conduit</v>
      </c>
      <c r="W302" s="174"/>
    </row>
    <row r="303">
      <c r="B303" s="169" t="str">
        <f>IFERROR(__xludf.DUMMYFUNCTION("""COMPUTED_VALUE"""),"")</f>
        <v/>
      </c>
      <c r="D303" s="170" t="str">
        <f>IFERROR(__xludf.DUMMYFUNCTION("""COMPUTED_VALUE"""),"Explorer of Worlds")</f>
        <v>Explorer of Worlds</v>
      </c>
      <c r="H303" s="171" t="str">
        <f>IFERROR(__xludf.DUMMYFUNCTION("""COMPUTED_VALUE"""),"Discover every biome in every dimension (See requirement notes below)")</f>
        <v>Discover every biome in every dimension (See requirement notes below)</v>
      </c>
      <c r="R303" s="54"/>
      <c r="U303" s="172" t="str">
        <f>IFERROR(__xludf.DUMMYFUNCTION("""COMPUTED_VALUE"""),"")</f>
        <v/>
      </c>
      <c r="V303" s="173" t="str">
        <f>IFERROR(__xludf.DUMMYFUNCTION("""COMPUTED_VALUE"""),"Cooked Beef")</f>
        <v>Cooked Beef</v>
      </c>
      <c r="W303" s="174"/>
    </row>
    <row r="304">
      <c r="B304" s="169" t="str">
        <f>IFERROR(__xludf.DUMMYFUNCTION("""COMPUTED_VALUE"""),"")</f>
        <v/>
      </c>
      <c r="D304" s="170" t="str">
        <f>IFERROR(__xludf.DUMMYFUNCTION("""COMPUTED_VALUE"""),"Top of the World")</f>
        <v>Top of the World</v>
      </c>
      <c r="H304" s="171" t="str">
        <f>IFERROR(__xludf.DUMMYFUNCTION("""COMPUTED_VALUE"""),"Place scaffolding to the world limit (Place scaffolding at y=319 in the Overworld or y=255 in the Nether or End)")</f>
        <v>Place scaffolding to the world limit (Place scaffolding at y=319 in the Overworld or y=255 in the Nether or End)</v>
      </c>
      <c r="R304" s="54"/>
      <c r="U304" s="172" t="str">
        <f>IFERROR(__xludf.DUMMYFUNCTION("""COMPUTED_VALUE"""),"")</f>
        <v/>
      </c>
      <c r="V304" s="173" t="str">
        <f>IFERROR(__xludf.DUMMYFUNCTION("""COMPUTED_VALUE"""),"Cooked Chicken")</f>
        <v>Cooked Chicken</v>
      </c>
      <c r="W304" s="174"/>
    </row>
    <row r="305">
      <c r="B305" s="169" t="str">
        <f>IFERROR(__xludf.DUMMYFUNCTION("""COMPUTED_VALUE"""),"")</f>
        <v/>
      </c>
      <c r="D305" s="170" t="str">
        <f>IFERROR(__xludf.DUMMYFUNCTION("""COMPUTED_VALUE"""),"Pandamonium")</f>
        <v>Pandamonium</v>
      </c>
      <c r="H305" s="171" t="str">
        <f>IFERROR(__xludf.DUMMYFUNCTION("""COMPUTED_VALUE"""),"Feed cake to every type of panda (Have all seven panda personalities pick up cake that you dropped on the ground)")</f>
        <v>Feed cake to every type of panda (Have all seven panda personalities pick up cake that you dropped on the ground)</v>
      </c>
      <c r="R305" s="54"/>
      <c r="U305" s="172" t="str">
        <f>IFERROR(__xludf.DUMMYFUNCTION("""COMPUTED_VALUE"""),"")</f>
        <v/>
      </c>
      <c r="V305" s="173" t="str">
        <f>IFERROR(__xludf.DUMMYFUNCTION("""COMPUTED_VALUE"""),"Cooked Cod")</f>
        <v>Cooked Cod</v>
      </c>
      <c r="W305" s="174"/>
    </row>
    <row r="306">
      <c r="B306" s="169" t="str">
        <f>IFERROR(__xludf.DUMMYFUNCTION("""COMPUTED_VALUE"""),"")</f>
        <v/>
      </c>
      <c r="D306" s="170" t="str">
        <f>IFERROR(__xludf.DUMMYFUNCTION("""COMPUTED_VALUE"""),"Light as a Rabbit")</f>
        <v>Light as a Rabbit</v>
      </c>
      <c r="H306" s="171" t="str">
        <f>IFERROR(__xludf.DUMMYFUNCTION("""COMPUTED_VALUE"""),"Walk on Powder Snow… without sinking in it (Walk on powder snow while wearing Leather Boots)")</f>
        <v>Walk on Powder Snow… without sinking in it (Walk on powder snow while wearing Leather Boots)</v>
      </c>
      <c r="R306" s="54"/>
      <c r="U306" s="172" t="str">
        <f>IFERROR(__xludf.DUMMYFUNCTION("""COMPUTED_VALUE"""),"")</f>
        <v/>
      </c>
      <c r="V306" s="173" t="str">
        <f>IFERROR(__xludf.DUMMYFUNCTION("""COMPUTED_VALUE"""),"Cooked Mutton")</f>
        <v>Cooked Mutton</v>
      </c>
      <c r="W306" s="174"/>
    </row>
    <row r="307">
      <c r="B307" s="169" t="str">
        <f>IFERROR(__xludf.DUMMYFUNCTION("""COMPUTED_VALUE"""),"")</f>
        <v/>
      </c>
      <c r="D307" s="170" t="str">
        <f>IFERROR(__xludf.DUMMYFUNCTION("""COMPUTED_VALUE"""),"Captain America")</f>
        <v>Captain America</v>
      </c>
      <c r="H307" s="171" t="str">
        <f>IFERROR(__xludf.DUMMYFUNCTION("""COMPUTED_VALUE"""),"Get completely frozen inside two blocks of Powder Snow for a loooong time. Big question is: Can you do this all day? (For 20 minutes in a row, stand inside two blocks of Powder Snow (one at your feet, one at your head) without wearing any leather armor (s"&amp;"uch that you're taking damage from freezing))")</f>
        <v>Get completely frozen inside two blocks of Powder Snow for a loooong time. Big question is: Can you do this all day? (For 20 minutes in a row, stand inside two blocks of Powder Snow (one at your feet, one at your head) without wearing any leather armor (such that you're taking damage from freezing))</v>
      </c>
      <c r="R307" s="54"/>
      <c r="U307" s="172" t="str">
        <f>IFERROR(__xludf.DUMMYFUNCTION("""COMPUTED_VALUE"""),"")</f>
        <v/>
      </c>
      <c r="V307" s="173" t="str">
        <f>IFERROR(__xludf.DUMMYFUNCTION("""COMPUTED_VALUE"""),"Cooked Porkchop")</f>
        <v>Cooked Porkchop</v>
      </c>
      <c r="W307" s="174"/>
    </row>
    <row r="308">
      <c r="B308" s="169" t="str">
        <f>IFERROR(__xludf.DUMMYFUNCTION("""COMPUTED_VALUE"""),"")</f>
        <v/>
      </c>
      <c r="D308" s="170" t="str">
        <f>IFERROR(__xludf.DUMMYFUNCTION("""COMPUTED_VALUE"""),"Sleep with the Fishes")</f>
        <v>Sleep with the Fishes</v>
      </c>
      <c r="H308" s="171" t="str">
        <f>IFERROR(__xludf.DUMMYFUNCTION("""COMPUTED_VALUE"""),"Spend a day underwater (See warning below)")</f>
        <v>Spend a day underwater (See warning below)</v>
      </c>
      <c r="R308" s="54"/>
      <c r="U308" s="172" t="str">
        <f>IFERROR(__xludf.DUMMYFUNCTION("""COMPUTED_VALUE"""),"")</f>
        <v/>
      </c>
      <c r="V308" s="173" t="str">
        <f>IFERROR(__xludf.DUMMYFUNCTION("""COMPUTED_VALUE"""),"Cooked Rabbit")</f>
        <v>Cooked Rabbit</v>
      </c>
      <c r="W308" s="174"/>
    </row>
    <row r="309">
      <c r="B309" s="169" t="str">
        <f>IFERROR(__xludf.DUMMYFUNCTION("""COMPUTED_VALUE"""),"")</f>
        <v/>
      </c>
      <c r="D309" s="170" t="str">
        <f>IFERROR(__xludf.DUMMYFUNCTION("""COMPUTED_VALUE"""),"Cargo Carrier")</f>
        <v>Cargo Carrier</v>
      </c>
      <c r="H309" s="171" t="str">
        <f>IFERROR(__xludf.DUMMYFUNCTION("""COMPUTED_VALUE"""),"Ride a Boat with a Chest in it (Enter a chest boat)")</f>
        <v>Ride a Boat with a Chest in it (Enter a chest boat)</v>
      </c>
      <c r="R309" s="54"/>
      <c r="U309" s="172" t="str">
        <f>IFERROR(__xludf.DUMMYFUNCTION("""COMPUTED_VALUE"""),"")</f>
        <v/>
      </c>
      <c r="V309" s="173" t="str">
        <f>IFERROR(__xludf.DUMMYFUNCTION("""COMPUTED_VALUE"""),"Cooked Salmon")</f>
        <v>Cooked Salmon</v>
      </c>
      <c r="W309" s="174"/>
    </row>
    <row r="310">
      <c r="B310" s="169" t="str">
        <f>IFERROR(__xludf.DUMMYFUNCTION("""COMPUTED_VALUE"""),"")</f>
        <v/>
      </c>
      <c r="D310" s="170" t="str">
        <f>IFERROR(__xludf.DUMMYFUNCTION("""COMPUTED_VALUE"""),"Echolocation")</f>
        <v>Echolocation</v>
      </c>
      <c r="H310" s="171" t="str">
        <f>IFERROR(__xludf.DUMMYFUNCTION("""COMPUTED_VALUE"""),"Feed a dolphin fish to have it lead you to treasure")</f>
        <v>Feed a dolphin fish to have it lead you to treasure</v>
      </c>
      <c r="R310" s="54"/>
      <c r="U310" s="172" t="str">
        <f>IFERROR(__xludf.DUMMYFUNCTION("""COMPUTED_VALUE"""),"")</f>
        <v/>
      </c>
      <c r="V310" s="173" t="str">
        <f>IFERROR(__xludf.DUMMYFUNCTION("""COMPUTED_VALUE"""),"Cookie")</f>
        <v>Cookie</v>
      </c>
      <c r="W310" s="174"/>
    </row>
    <row r="311">
      <c r="B311" s="169" t="str">
        <f>IFERROR(__xludf.DUMMYFUNCTION("""COMPUTED_VALUE"""),"")</f>
        <v/>
      </c>
      <c r="D311" s="170" t="str">
        <f>IFERROR(__xludf.DUMMYFUNCTION("""COMPUTED_VALUE"""),"Boatception")</f>
        <v>Boatception</v>
      </c>
      <c r="H311" s="171" t="str">
        <f>IFERROR(__xludf.DUMMYFUNCTION("""COMPUTED_VALUE"""),"Get in a boat within a shipwreck (Start riding a boat that is inside a shipwreck)")</f>
        <v>Get in a boat within a shipwreck (Start riding a boat that is inside a shipwreck)</v>
      </c>
      <c r="R311" s="54"/>
      <c r="U311" s="172" t="str">
        <f>IFERROR(__xludf.DUMMYFUNCTION("""COMPUTED_VALUE"""),"")</f>
        <v/>
      </c>
      <c r="V311" s="173" t="str">
        <f>IFERROR(__xludf.DUMMYFUNCTION("""COMPUTED_VALUE"""),"Copper Block")</f>
        <v>Copper Block</v>
      </c>
      <c r="W311" s="174"/>
    </row>
    <row r="312">
      <c r="B312" s="175"/>
      <c r="R312" s="176"/>
      <c r="U312" s="172" t="str">
        <f>IFERROR(__xludf.DUMMYFUNCTION("""COMPUTED_VALUE"""),"")</f>
        <v/>
      </c>
      <c r="V312" s="173" t="str">
        <f>IFERROR(__xludf.DUMMYFUNCTION("""COMPUTED_VALUE"""),"Copper Bulb")</f>
        <v>Copper Bulb</v>
      </c>
      <c r="W312" s="174"/>
    </row>
    <row r="313">
      <c r="B313" s="175"/>
      <c r="R313" s="176"/>
      <c r="U313" s="172" t="str">
        <f>IFERROR(__xludf.DUMMYFUNCTION("""COMPUTED_VALUE"""),"")</f>
        <v/>
      </c>
      <c r="V313" s="173" t="str">
        <f>IFERROR(__xludf.DUMMYFUNCTION("""COMPUTED_VALUE"""),"Copper Door")</f>
        <v>Copper Door</v>
      </c>
      <c r="W313" s="174"/>
    </row>
    <row r="314">
      <c r="B314" s="175"/>
      <c r="R314" s="176"/>
      <c r="U314" s="172" t="str">
        <f>IFERROR(__xludf.DUMMYFUNCTION("""COMPUTED_VALUE"""),"")</f>
        <v/>
      </c>
      <c r="V314" s="173" t="str">
        <f>IFERROR(__xludf.DUMMYFUNCTION("""COMPUTED_VALUE"""),"Copper Grate")</f>
        <v>Copper Grate</v>
      </c>
      <c r="W314" s="174"/>
    </row>
    <row r="315">
      <c r="B315" s="175"/>
      <c r="R315" s="176"/>
      <c r="U315" s="172" t="str">
        <f>IFERROR(__xludf.DUMMYFUNCTION("""COMPUTED_VALUE"""),"")</f>
        <v/>
      </c>
      <c r="V315" s="173" t="str">
        <f>IFERROR(__xludf.DUMMYFUNCTION("""COMPUTED_VALUE"""),"Copper Ingot")</f>
        <v>Copper Ingot</v>
      </c>
      <c r="W315" s="174"/>
    </row>
    <row r="316">
      <c r="B316" s="175"/>
      <c r="R316" s="176"/>
      <c r="U316" s="172" t="str">
        <f>IFERROR(__xludf.DUMMYFUNCTION("""COMPUTED_VALUE"""),"")</f>
        <v/>
      </c>
      <c r="V316" s="173" t="str">
        <f>IFERROR(__xludf.DUMMYFUNCTION("""COMPUTED_VALUE"""),"Copper Ore")</f>
        <v>Copper Ore</v>
      </c>
      <c r="W316" s="174"/>
    </row>
    <row r="317">
      <c r="B317" s="175"/>
      <c r="R317" s="176"/>
      <c r="U317" s="172" t="str">
        <f>IFERROR(__xludf.DUMMYFUNCTION("""COMPUTED_VALUE"""),"")</f>
        <v/>
      </c>
      <c r="V317" s="173" t="str">
        <f>IFERROR(__xludf.DUMMYFUNCTION("""COMPUTED_VALUE"""),"Copper Trapdoor")</f>
        <v>Copper Trapdoor</v>
      </c>
      <c r="W317" s="174"/>
    </row>
    <row r="318">
      <c r="B318" s="175"/>
      <c r="R318" s="176"/>
      <c r="U318" s="172" t="str">
        <f>IFERROR(__xludf.DUMMYFUNCTION("""COMPUTED_VALUE"""),"")</f>
        <v/>
      </c>
      <c r="V318" s="173" t="str">
        <f>IFERROR(__xludf.DUMMYFUNCTION("""COMPUTED_VALUE"""),"Cornflower")</f>
        <v>Cornflower</v>
      </c>
      <c r="W318" s="174"/>
    </row>
    <row r="319">
      <c r="B319" s="175"/>
      <c r="R319" s="176"/>
      <c r="U319" s="172" t="str">
        <f>IFERROR(__xludf.DUMMYFUNCTION("""COMPUTED_VALUE"""),"")</f>
        <v/>
      </c>
      <c r="V319" s="173" t="str">
        <f>IFERROR(__xludf.DUMMYFUNCTION("""COMPUTED_VALUE"""),"Cracked Deepslate Bricks")</f>
        <v>Cracked Deepslate Bricks</v>
      </c>
      <c r="W319" s="174"/>
    </row>
    <row r="320">
      <c r="B320" s="175"/>
      <c r="R320" s="176"/>
      <c r="U320" s="172" t="str">
        <f>IFERROR(__xludf.DUMMYFUNCTION("""COMPUTED_VALUE"""),"")</f>
        <v/>
      </c>
      <c r="V320" s="173" t="str">
        <f>IFERROR(__xludf.DUMMYFUNCTION("""COMPUTED_VALUE"""),"Cracked Deepslate Tiles")</f>
        <v>Cracked Deepslate Tiles</v>
      </c>
      <c r="W320" s="174"/>
    </row>
    <row r="321">
      <c r="B321" s="175"/>
      <c r="R321" s="176"/>
      <c r="U321" s="172" t="str">
        <f>IFERROR(__xludf.DUMMYFUNCTION("""COMPUTED_VALUE"""),"")</f>
        <v/>
      </c>
      <c r="V321" s="173" t="str">
        <f>IFERROR(__xludf.DUMMYFUNCTION("""COMPUTED_VALUE"""),"Cracked Nether Bricks")</f>
        <v>Cracked Nether Bricks</v>
      </c>
      <c r="W321" s="174"/>
    </row>
    <row r="322">
      <c r="B322" s="175"/>
      <c r="R322" s="176"/>
      <c r="U322" s="172" t="str">
        <f>IFERROR(__xludf.DUMMYFUNCTION("""COMPUTED_VALUE"""),"")</f>
        <v/>
      </c>
      <c r="V322" s="173" t="str">
        <f>IFERROR(__xludf.DUMMYFUNCTION("""COMPUTED_VALUE"""),"Cracked Polished Blackstone Bricks")</f>
        <v>Cracked Polished Blackstone Bricks</v>
      </c>
      <c r="W322" s="174"/>
    </row>
    <row r="323">
      <c r="B323" s="175"/>
      <c r="R323" s="176"/>
      <c r="U323" s="172" t="str">
        <f>IFERROR(__xludf.DUMMYFUNCTION("""COMPUTED_VALUE"""),"")</f>
        <v/>
      </c>
      <c r="V323" s="173" t="str">
        <f>IFERROR(__xludf.DUMMYFUNCTION("""COMPUTED_VALUE"""),"Cracked Stone Bricks")</f>
        <v>Cracked Stone Bricks</v>
      </c>
      <c r="W323" s="174"/>
    </row>
    <row r="324">
      <c r="B324" s="175"/>
      <c r="R324" s="176"/>
      <c r="U324" s="172" t="str">
        <f>IFERROR(__xludf.DUMMYFUNCTION("""COMPUTED_VALUE"""),"")</f>
        <v/>
      </c>
      <c r="V324" s="173" t="str">
        <f>IFERROR(__xludf.DUMMYFUNCTION("""COMPUTED_VALUE"""),"Crafter")</f>
        <v>Crafter</v>
      </c>
      <c r="W324" s="174"/>
    </row>
    <row r="325">
      <c r="B325" s="175"/>
      <c r="R325" s="176"/>
      <c r="U325" s="172" t="str">
        <f>IFERROR(__xludf.DUMMYFUNCTION("""COMPUTED_VALUE"""),"")</f>
        <v/>
      </c>
      <c r="V325" s="173" t="str">
        <f>IFERROR(__xludf.DUMMYFUNCTION("""COMPUTED_VALUE"""),"Crafting Table")</f>
        <v>Crafting Table</v>
      </c>
      <c r="W325" s="174"/>
    </row>
    <row r="326">
      <c r="B326" s="175"/>
      <c r="R326" s="176"/>
      <c r="U326" s="172" t="str">
        <f>IFERROR(__xludf.DUMMYFUNCTION("""COMPUTED_VALUE"""),"")</f>
        <v/>
      </c>
      <c r="V326" s="173" t="str">
        <f>IFERROR(__xludf.DUMMYFUNCTION("""COMPUTED_VALUE"""),"Creeper Banner Pattern")</f>
        <v>Creeper Banner Pattern</v>
      </c>
      <c r="W326" s="174"/>
    </row>
    <row r="327">
      <c r="B327" s="175"/>
      <c r="R327" s="176"/>
      <c r="U327" s="172" t="str">
        <f>IFERROR(__xludf.DUMMYFUNCTION("""COMPUTED_VALUE"""),"")</f>
        <v/>
      </c>
      <c r="V327" s="173" t="str">
        <f>IFERROR(__xludf.DUMMYFUNCTION("""COMPUTED_VALUE"""),"Creeper Head")</f>
        <v>Creeper Head</v>
      </c>
      <c r="W327" s="174"/>
    </row>
    <row r="328">
      <c r="B328" s="175"/>
      <c r="R328" s="176"/>
      <c r="U328" s="172" t="str">
        <f>IFERROR(__xludf.DUMMYFUNCTION("""COMPUTED_VALUE"""),"")</f>
        <v/>
      </c>
      <c r="V328" s="173" t="str">
        <f>IFERROR(__xludf.DUMMYFUNCTION("""COMPUTED_VALUE"""),"Crimson Button")</f>
        <v>Crimson Button</v>
      </c>
      <c r="W328" s="174"/>
    </row>
    <row r="329">
      <c r="B329" s="175"/>
      <c r="R329" s="176"/>
      <c r="U329" s="172" t="str">
        <f>IFERROR(__xludf.DUMMYFUNCTION("""COMPUTED_VALUE"""),"")</f>
        <v/>
      </c>
      <c r="V329" s="173" t="str">
        <f>IFERROR(__xludf.DUMMYFUNCTION("""COMPUTED_VALUE"""),"Crimson Door")</f>
        <v>Crimson Door</v>
      </c>
      <c r="W329" s="174"/>
    </row>
    <row r="330">
      <c r="B330" s="175"/>
      <c r="R330" s="176"/>
      <c r="U330" s="172" t="str">
        <f>IFERROR(__xludf.DUMMYFUNCTION("""COMPUTED_VALUE"""),"")</f>
        <v/>
      </c>
      <c r="V330" s="173" t="str">
        <f>IFERROR(__xludf.DUMMYFUNCTION("""COMPUTED_VALUE"""),"Crimson Fence")</f>
        <v>Crimson Fence</v>
      </c>
      <c r="W330" s="174"/>
    </row>
    <row r="331">
      <c r="B331" s="175"/>
      <c r="R331" s="176"/>
      <c r="U331" s="172" t="str">
        <f>IFERROR(__xludf.DUMMYFUNCTION("""COMPUTED_VALUE"""),"")</f>
        <v/>
      </c>
      <c r="V331" s="173" t="str">
        <f>IFERROR(__xludf.DUMMYFUNCTION("""COMPUTED_VALUE"""),"Crimson Fence Gate")</f>
        <v>Crimson Fence Gate</v>
      </c>
      <c r="W331" s="174"/>
    </row>
    <row r="332">
      <c r="B332" s="175"/>
      <c r="R332" s="176"/>
      <c r="U332" s="172" t="str">
        <f>IFERROR(__xludf.DUMMYFUNCTION("""COMPUTED_VALUE"""),"")</f>
        <v/>
      </c>
      <c r="V332" s="173" t="str">
        <f>IFERROR(__xludf.DUMMYFUNCTION("""COMPUTED_VALUE"""),"Crimson Fungus")</f>
        <v>Crimson Fungus</v>
      </c>
      <c r="W332" s="174"/>
    </row>
    <row r="333">
      <c r="B333" s="175"/>
      <c r="R333" s="176"/>
      <c r="U333" s="172" t="str">
        <f>IFERROR(__xludf.DUMMYFUNCTION("""COMPUTED_VALUE"""),"")</f>
        <v/>
      </c>
      <c r="V333" s="173" t="str">
        <f>IFERROR(__xludf.DUMMYFUNCTION("""COMPUTED_VALUE"""),"Crimson Hanging Sign")</f>
        <v>Crimson Hanging Sign</v>
      </c>
      <c r="W333" s="174"/>
    </row>
    <row r="334">
      <c r="B334" s="175"/>
      <c r="R334" s="176"/>
      <c r="U334" s="172" t="str">
        <f>IFERROR(__xludf.DUMMYFUNCTION("""COMPUTED_VALUE"""),"")</f>
        <v/>
      </c>
      <c r="V334" s="173" t="str">
        <f>IFERROR(__xludf.DUMMYFUNCTION("""COMPUTED_VALUE"""),"Crimson Hyphae")</f>
        <v>Crimson Hyphae</v>
      </c>
      <c r="W334" s="174"/>
    </row>
    <row r="335">
      <c r="B335" s="175"/>
      <c r="R335" s="176"/>
      <c r="U335" s="172" t="str">
        <f>IFERROR(__xludf.DUMMYFUNCTION("""COMPUTED_VALUE"""),"")</f>
        <v/>
      </c>
      <c r="V335" s="173" t="str">
        <f>IFERROR(__xludf.DUMMYFUNCTION("""COMPUTED_VALUE"""),"Crimson Nylium")</f>
        <v>Crimson Nylium</v>
      </c>
      <c r="W335" s="174"/>
    </row>
    <row r="336">
      <c r="B336" s="175"/>
      <c r="R336" s="176"/>
      <c r="U336" s="172" t="str">
        <f>IFERROR(__xludf.DUMMYFUNCTION("""COMPUTED_VALUE"""),"")</f>
        <v/>
      </c>
      <c r="V336" s="173" t="str">
        <f>IFERROR(__xludf.DUMMYFUNCTION("""COMPUTED_VALUE"""),"Crimson Planks")</f>
        <v>Crimson Planks</v>
      </c>
      <c r="W336" s="174"/>
    </row>
    <row r="337">
      <c r="B337" s="175"/>
      <c r="R337" s="176"/>
      <c r="U337" s="172" t="str">
        <f>IFERROR(__xludf.DUMMYFUNCTION("""COMPUTED_VALUE"""),"")</f>
        <v/>
      </c>
      <c r="V337" s="173" t="str">
        <f>IFERROR(__xludf.DUMMYFUNCTION("""COMPUTED_VALUE"""),"Crimson Pressure Plate")</f>
        <v>Crimson Pressure Plate</v>
      </c>
      <c r="W337" s="174"/>
    </row>
    <row r="338">
      <c r="B338" s="175"/>
      <c r="R338" s="176"/>
      <c r="U338" s="172" t="str">
        <f>IFERROR(__xludf.DUMMYFUNCTION("""COMPUTED_VALUE"""),"")</f>
        <v/>
      </c>
      <c r="V338" s="173" t="str">
        <f>IFERROR(__xludf.DUMMYFUNCTION("""COMPUTED_VALUE"""),"Crimson Roots")</f>
        <v>Crimson Roots</v>
      </c>
      <c r="W338" s="174"/>
    </row>
    <row r="339">
      <c r="B339" s="175"/>
      <c r="R339" s="176"/>
      <c r="U339" s="172" t="str">
        <f>IFERROR(__xludf.DUMMYFUNCTION("""COMPUTED_VALUE"""),"")</f>
        <v/>
      </c>
      <c r="V339" s="173" t="str">
        <f>IFERROR(__xludf.DUMMYFUNCTION("""COMPUTED_VALUE"""),"Crimson Sign")</f>
        <v>Crimson Sign</v>
      </c>
      <c r="W339" s="174"/>
    </row>
    <row r="340">
      <c r="B340" s="175"/>
      <c r="R340" s="176"/>
      <c r="U340" s="172" t="str">
        <f>IFERROR(__xludf.DUMMYFUNCTION("""COMPUTED_VALUE"""),"")</f>
        <v/>
      </c>
      <c r="V340" s="173" t="str">
        <f>IFERROR(__xludf.DUMMYFUNCTION("""COMPUTED_VALUE"""),"Crimson Slab")</f>
        <v>Crimson Slab</v>
      </c>
      <c r="W340" s="174"/>
    </row>
    <row r="341">
      <c r="B341" s="175"/>
      <c r="R341" s="176"/>
      <c r="U341" s="172" t="str">
        <f>IFERROR(__xludf.DUMMYFUNCTION("""COMPUTED_VALUE"""),"")</f>
        <v/>
      </c>
      <c r="V341" s="173" t="str">
        <f>IFERROR(__xludf.DUMMYFUNCTION("""COMPUTED_VALUE"""),"Crimson Stairs")</f>
        <v>Crimson Stairs</v>
      </c>
      <c r="W341" s="174"/>
    </row>
    <row r="342">
      <c r="B342" s="175"/>
      <c r="R342" s="176"/>
      <c r="U342" s="172" t="str">
        <f>IFERROR(__xludf.DUMMYFUNCTION("""COMPUTED_VALUE"""),"")</f>
        <v/>
      </c>
      <c r="V342" s="173" t="str">
        <f>IFERROR(__xludf.DUMMYFUNCTION("""COMPUTED_VALUE"""),"Crimson Stem")</f>
        <v>Crimson Stem</v>
      </c>
      <c r="W342" s="174"/>
    </row>
    <row r="343">
      <c r="B343" s="175"/>
      <c r="R343" s="176"/>
      <c r="U343" s="172" t="str">
        <f>IFERROR(__xludf.DUMMYFUNCTION("""COMPUTED_VALUE"""),"")</f>
        <v/>
      </c>
      <c r="V343" s="173" t="str">
        <f>IFERROR(__xludf.DUMMYFUNCTION("""COMPUTED_VALUE"""),"Crimson Trapdoor")</f>
        <v>Crimson Trapdoor</v>
      </c>
      <c r="W343" s="174"/>
    </row>
    <row r="344">
      <c r="B344" s="175"/>
      <c r="R344" s="176"/>
      <c r="U344" s="172" t="str">
        <f>IFERROR(__xludf.DUMMYFUNCTION("""COMPUTED_VALUE"""),"")</f>
        <v/>
      </c>
      <c r="V344" s="173" t="str">
        <f>IFERROR(__xludf.DUMMYFUNCTION("""COMPUTED_VALUE"""),"Crossbow")</f>
        <v>Crossbow</v>
      </c>
      <c r="W344" s="174"/>
    </row>
    <row r="345">
      <c r="B345" s="175"/>
      <c r="R345" s="176"/>
      <c r="U345" s="172" t="str">
        <f>IFERROR(__xludf.DUMMYFUNCTION("""COMPUTED_VALUE"""),"")</f>
        <v/>
      </c>
      <c r="V345" s="173" t="str">
        <f>IFERROR(__xludf.DUMMYFUNCTION("""COMPUTED_VALUE"""),"Crying Obsidian")</f>
        <v>Crying Obsidian</v>
      </c>
      <c r="W345" s="174"/>
    </row>
    <row r="346">
      <c r="B346" s="175"/>
      <c r="R346" s="176"/>
      <c r="U346" s="172" t="str">
        <f>IFERROR(__xludf.DUMMYFUNCTION("""COMPUTED_VALUE"""),"")</f>
        <v/>
      </c>
      <c r="V346" s="173" t="str">
        <f>IFERROR(__xludf.DUMMYFUNCTION("""COMPUTED_VALUE"""),"Cut Copper")</f>
        <v>Cut Copper</v>
      </c>
      <c r="W346" s="174"/>
    </row>
    <row r="347">
      <c r="B347" s="175"/>
      <c r="R347" s="176"/>
      <c r="U347" s="172" t="str">
        <f>IFERROR(__xludf.DUMMYFUNCTION("""COMPUTED_VALUE"""),"")</f>
        <v/>
      </c>
      <c r="V347" s="173" t="str">
        <f>IFERROR(__xludf.DUMMYFUNCTION("""COMPUTED_VALUE"""),"Cut Copper Slab")</f>
        <v>Cut Copper Slab</v>
      </c>
      <c r="W347" s="174"/>
    </row>
    <row r="348">
      <c r="B348" s="175"/>
      <c r="R348" s="176"/>
      <c r="U348" s="172" t="str">
        <f>IFERROR(__xludf.DUMMYFUNCTION("""COMPUTED_VALUE"""),"")</f>
        <v/>
      </c>
      <c r="V348" s="173" t="str">
        <f>IFERROR(__xludf.DUMMYFUNCTION("""COMPUTED_VALUE"""),"Cut Copper Stairs")</f>
        <v>Cut Copper Stairs</v>
      </c>
      <c r="W348" s="174"/>
    </row>
    <row r="349">
      <c r="B349" s="175"/>
      <c r="R349" s="176"/>
      <c r="U349" s="172" t="str">
        <f>IFERROR(__xludf.DUMMYFUNCTION("""COMPUTED_VALUE"""),"")</f>
        <v/>
      </c>
      <c r="V349" s="173" t="str">
        <f>IFERROR(__xludf.DUMMYFUNCTION("""COMPUTED_VALUE"""),"Cut Red Sandstone")</f>
        <v>Cut Red Sandstone</v>
      </c>
      <c r="W349" s="174"/>
    </row>
    <row r="350">
      <c r="B350" s="175"/>
      <c r="R350" s="176"/>
      <c r="U350" s="172" t="str">
        <f>IFERROR(__xludf.DUMMYFUNCTION("""COMPUTED_VALUE"""),"")</f>
        <v/>
      </c>
      <c r="V350" s="173" t="str">
        <f>IFERROR(__xludf.DUMMYFUNCTION("""COMPUTED_VALUE"""),"Cut Red Sandstone Slab")</f>
        <v>Cut Red Sandstone Slab</v>
      </c>
      <c r="W350" s="174"/>
    </row>
    <row r="351">
      <c r="B351" s="175"/>
      <c r="R351" s="176"/>
      <c r="U351" s="172" t="str">
        <f>IFERROR(__xludf.DUMMYFUNCTION("""COMPUTED_VALUE"""),"")</f>
        <v/>
      </c>
      <c r="V351" s="173" t="str">
        <f>IFERROR(__xludf.DUMMYFUNCTION("""COMPUTED_VALUE"""),"Cut Sandstone")</f>
        <v>Cut Sandstone</v>
      </c>
      <c r="W351" s="174"/>
    </row>
    <row r="352">
      <c r="B352" s="175"/>
      <c r="R352" s="176"/>
      <c r="U352" s="172" t="str">
        <f>IFERROR(__xludf.DUMMYFUNCTION("""COMPUTED_VALUE"""),"")</f>
        <v/>
      </c>
      <c r="V352" s="173" t="str">
        <f>IFERROR(__xludf.DUMMYFUNCTION("""COMPUTED_VALUE"""),"Cut Sandstone Slab")</f>
        <v>Cut Sandstone Slab</v>
      </c>
      <c r="W352" s="174"/>
    </row>
    <row r="353">
      <c r="B353" s="175"/>
      <c r="R353" s="176"/>
      <c r="U353" s="172" t="str">
        <f>IFERROR(__xludf.DUMMYFUNCTION("""COMPUTED_VALUE"""),"")</f>
        <v/>
      </c>
      <c r="V353" s="173" t="str">
        <f>IFERROR(__xludf.DUMMYFUNCTION("""COMPUTED_VALUE"""),"Cyan Banner")</f>
        <v>Cyan Banner</v>
      </c>
      <c r="W353" s="174"/>
    </row>
    <row r="354">
      <c r="B354" s="175"/>
      <c r="R354" s="176"/>
      <c r="U354" s="172" t="str">
        <f>IFERROR(__xludf.DUMMYFUNCTION("""COMPUTED_VALUE"""),"")</f>
        <v/>
      </c>
      <c r="V354" s="173" t="str">
        <f>IFERROR(__xludf.DUMMYFUNCTION("""COMPUTED_VALUE"""),"Cyan Bed")</f>
        <v>Cyan Bed</v>
      </c>
      <c r="W354" s="174"/>
    </row>
    <row r="355">
      <c r="B355" s="175"/>
      <c r="R355" s="176"/>
      <c r="U355" s="172" t="str">
        <f>IFERROR(__xludf.DUMMYFUNCTION("""COMPUTED_VALUE"""),"")</f>
        <v/>
      </c>
      <c r="V355" s="173" t="str">
        <f>IFERROR(__xludf.DUMMYFUNCTION("""COMPUTED_VALUE"""),"Cyan Candle")</f>
        <v>Cyan Candle</v>
      </c>
      <c r="W355" s="174"/>
    </row>
    <row r="356">
      <c r="B356" s="175"/>
      <c r="R356" s="176"/>
      <c r="U356" s="172" t="str">
        <f>IFERROR(__xludf.DUMMYFUNCTION("""COMPUTED_VALUE"""),"")</f>
        <v/>
      </c>
      <c r="V356" s="173" t="str">
        <f>IFERROR(__xludf.DUMMYFUNCTION("""COMPUTED_VALUE"""),"Cyan Carpet")</f>
        <v>Cyan Carpet</v>
      </c>
      <c r="W356" s="174"/>
    </row>
    <row r="357">
      <c r="B357" s="175"/>
      <c r="R357" s="176"/>
      <c r="U357" s="172" t="str">
        <f>IFERROR(__xludf.DUMMYFUNCTION("""COMPUTED_VALUE"""),"")</f>
        <v/>
      </c>
      <c r="V357" s="173" t="str">
        <f>IFERROR(__xludf.DUMMYFUNCTION("""COMPUTED_VALUE"""),"Cyan Concrete")</f>
        <v>Cyan Concrete</v>
      </c>
      <c r="W357" s="174"/>
    </row>
    <row r="358">
      <c r="B358" s="175"/>
      <c r="R358" s="176"/>
      <c r="U358" s="172" t="str">
        <f>IFERROR(__xludf.DUMMYFUNCTION("""COMPUTED_VALUE"""),"")</f>
        <v/>
      </c>
      <c r="V358" s="173" t="str">
        <f>IFERROR(__xludf.DUMMYFUNCTION("""COMPUTED_VALUE"""),"Cyan Concrete Powder")</f>
        <v>Cyan Concrete Powder</v>
      </c>
      <c r="W358" s="174"/>
    </row>
    <row r="359">
      <c r="B359" s="175"/>
      <c r="R359" s="176"/>
      <c r="U359" s="172" t="str">
        <f>IFERROR(__xludf.DUMMYFUNCTION("""COMPUTED_VALUE"""),"")</f>
        <v/>
      </c>
      <c r="V359" s="173" t="str">
        <f>IFERROR(__xludf.DUMMYFUNCTION("""COMPUTED_VALUE"""),"Cyan Dye")</f>
        <v>Cyan Dye</v>
      </c>
      <c r="W359" s="174"/>
    </row>
    <row r="360">
      <c r="B360" s="175"/>
      <c r="R360" s="176"/>
      <c r="U360" s="172" t="str">
        <f>IFERROR(__xludf.DUMMYFUNCTION("""COMPUTED_VALUE"""),"")</f>
        <v/>
      </c>
      <c r="V360" s="173" t="str">
        <f>IFERROR(__xludf.DUMMYFUNCTION("""COMPUTED_VALUE"""),"Cyan Glazed Terracotta")</f>
        <v>Cyan Glazed Terracotta</v>
      </c>
      <c r="W360" s="174"/>
    </row>
    <row r="361">
      <c r="B361" s="175"/>
      <c r="R361" s="176"/>
      <c r="U361" s="172" t="str">
        <f>IFERROR(__xludf.DUMMYFUNCTION("""COMPUTED_VALUE"""),"")</f>
        <v/>
      </c>
      <c r="V361" s="173" t="str">
        <f>IFERROR(__xludf.DUMMYFUNCTION("""COMPUTED_VALUE"""),"Cyan Shulker Box")</f>
        <v>Cyan Shulker Box</v>
      </c>
      <c r="W361" s="174"/>
    </row>
    <row r="362">
      <c r="B362" s="175"/>
      <c r="R362" s="176"/>
      <c r="U362" s="172" t="str">
        <f>IFERROR(__xludf.DUMMYFUNCTION("""COMPUTED_VALUE"""),"")</f>
        <v/>
      </c>
      <c r="V362" s="173" t="str">
        <f>IFERROR(__xludf.DUMMYFUNCTION("""COMPUTED_VALUE"""),"Cyan Stained Glass")</f>
        <v>Cyan Stained Glass</v>
      </c>
      <c r="W362" s="174"/>
    </row>
    <row r="363">
      <c r="B363" s="175"/>
      <c r="R363" s="176"/>
      <c r="U363" s="172" t="str">
        <f>IFERROR(__xludf.DUMMYFUNCTION("""COMPUTED_VALUE"""),"")</f>
        <v/>
      </c>
      <c r="V363" s="173" t="str">
        <f>IFERROR(__xludf.DUMMYFUNCTION("""COMPUTED_VALUE"""),"Cyan Stained Glass Pane")</f>
        <v>Cyan Stained Glass Pane</v>
      </c>
      <c r="W363" s="174"/>
    </row>
    <row r="364">
      <c r="B364" s="175"/>
      <c r="R364" s="176"/>
      <c r="U364" s="172" t="str">
        <f>IFERROR(__xludf.DUMMYFUNCTION("""COMPUTED_VALUE"""),"")</f>
        <v/>
      </c>
      <c r="V364" s="173" t="str">
        <f>IFERROR(__xludf.DUMMYFUNCTION("""COMPUTED_VALUE"""),"Cyan Terracotta")</f>
        <v>Cyan Terracotta</v>
      </c>
      <c r="W364" s="174"/>
    </row>
    <row r="365">
      <c r="B365" s="175"/>
      <c r="R365" s="176"/>
      <c r="U365" s="172" t="str">
        <f>IFERROR(__xludf.DUMMYFUNCTION("""COMPUTED_VALUE"""),"")</f>
        <v/>
      </c>
      <c r="V365" s="173" t="str">
        <f>IFERROR(__xludf.DUMMYFUNCTION("""COMPUTED_VALUE"""),"Cyan Wool")</f>
        <v>Cyan Wool</v>
      </c>
      <c r="W365" s="174"/>
    </row>
    <row r="366">
      <c r="B366" s="175"/>
      <c r="R366" s="176"/>
      <c r="U366" s="172" t="str">
        <f>IFERROR(__xludf.DUMMYFUNCTION("""COMPUTED_VALUE"""),"")</f>
        <v/>
      </c>
      <c r="V366" s="173" t="str">
        <f>IFERROR(__xludf.DUMMYFUNCTION("""COMPUTED_VALUE"""),"Damaged Anvil")</f>
        <v>Damaged Anvil</v>
      </c>
      <c r="W366" s="174"/>
    </row>
    <row r="367">
      <c r="B367" s="175"/>
      <c r="R367" s="176"/>
      <c r="U367" s="172" t="str">
        <f>IFERROR(__xludf.DUMMYFUNCTION("""COMPUTED_VALUE"""),"")</f>
        <v/>
      </c>
      <c r="V367" s="173" t="str">
        <f>IFERROR(__xludf.DUMMYFUNCTION("""COMPUTED_VALUE"""),"Dandelion")</f>
        <v>Dandelion</v>
      </c>
      <c r="W367" s="174"/>
    </row>
    <row r="368">
      <c r="B368" s="175"/>
      <c r="R368" s="176"/>
      <c r="U368" s="172" t="str">
        <f>IFERROR(__xludf.DUMMYFUNCTION("""COMPUTED_VALUE"""),"")</f>
        <v/>
      </c>
      <c r="V368" s="173" t="str">
        <f>IFERROR(__xludf.DUMMYFUNCTION("""COMPUTED_VALUE"""),"Danger Pottery Sherd")</f>
        <v>Danger Pottery Sherd</v>
      </c>
      <c r="W368" s="174"/>
    </row>
    <row r="369">
      <c r="B369" s="175"/>
      <c r="R369" s="176"/>
      <c r="U369" s="172" t="str">
        <f>IFERROR(__xludf.DUMMYFUNCTION("""COMPUTED_VALUE"""),"")</f>
        <v/>
      </c>
      <c r="V369" s="173" t="str">
        <f>IFERROR(__xludf.DUMMYFUNCTION("""COMPUTED_VALUE"""),"Dark Oak Boat")</f>
        <v>Dark Oak Boat</v>
      </c>
      <c r="W369" s="174"/>
    </row>
    <row r="370">
      <c r="B370" s="175"/>
      <c r="R370" s="176"/>
      <c r="U370" s="172" t="str">
        <f>IFERROR(__xludf.DUMMYFUNCTION("""COMPUTED_VALUE"""),"")</f>
        <v/>
      </c>
      <c r="V370" s="173" t="str">
        <f>IFERROR(__xludf.DUMMYFUNCTION("""COMPUTED_VALUE"""),"Dark Oak Button")</f>
        <v>Dark Oak Button</v>
      </c>
      <c r="W370" s="174"/>
    </row>
    <row r="371">
      <c r="B371" s="175"/>
      <c r="R371" s="176"/>
      <c r="U371" s="172" t="str">
        <f>IFERROR(__xludf.DUMMYFUNCTION("""COMPUTED_VALUE"""),"")</f>
        <v/>
      </c>
      <c r="V371" s="173" t="str">
        <f>IFERROR(__xludf.DUMMYFUNCTION("""COMPUTED_VALUE"""),"Dark Oak Chest Boat")</f>
        <v>Dark Oak Chest Boat</v>
      </c>
      <c r="W371" s="174"/>
    </row>
    <row r="372">
      <c r="B372" s="175"/>
      <c r="R372" s="176"/>
      <c r="U372" s="172" t="str">
        <f>IFERROR(__xludf.DUMMYFUNCTION("""COMPUTED_VALUE"""),"")</f>
        <v/>
      </c>
      <c r="V372" s="173" t="str">
        <f>IFERROR(__xludf.DUMMYFUNCTION("""COMPUTED_VALUE"""),"Dark Oak Door")</f>
        <v>Dark Oak Door</v>
      </c>
      <c r="W372" s="174"/>
    </row>
    <row r="373">
      <c r="B373" s="175"/>
      <c r="R373" s="176"/>
      <c r="U373" s="172" t="str">
        <f>IFERROR(__xludf.DUMMYFUNCTION("""COMPUTED_VALUE"""),"")</f>
        <v/>
      </c>
      <c r="V373" s="173" t="str">
        <f>IFERROR(__xludf.DUMMYFUNCTION("""COMPUTED_VALUE"""),"Dark Oak Fence")</f>
        <v>Dark Oak Fence</v>
      </c>
      <c r="W373" s="174"/>
    </row>
    <row r="374">
      <c r="B374" s="175"/>
      <c r="R374" s="176"/>
      <c r="U374" s="172" t="str">
        <f>IFERROR(__xludf.DUMMYFUNCTION("""COMPUTED_VALUE"""),"")</f>
        <v/>
      </c>
      <c r="V374" s="173" t="str">
        <f>IFERROR(__xludf.DUMMYFUNCTION("""COMPUTED_VALUE"""),"Dark Oak Fence Gate")</f>
        <v>Dark Oak Fence Gate</v>
      </c>
      <c r="W374" s="174"/>
    </row>
    <row r="375">
      <c r="B375" s="175"/>
      <c r="R375" s="176"/>
      <c r="U375" s="172" t="str">
        <f>IFERROR(__xludf.DUMMYFUNCTION("""COMPUTED_VALUE"""),"")</f>
        <v/>
      </c>
      <c r="V375" s="173" t="str">
        <f>IFERROR(__xludf.DUMMYFUNCTION("""COMPUTED_VALUE"""),"Dark Oak Hanging Sign")</f>
        <v>Dark Oak Hanging Sign</v>
      </c>
      <c r="W375" s="174"/>
    </row>
    <row r="376">
      <c r="B376" s="175"/>
      <c r="R376" s="176"/>
      <c r="U376" s="172" t="str">
        <f>IFERROR(__xludf.DUMMYFUNCTION("""COMPUTED_VALUE"""),"")</f>
        <v/>
      </c>
      <c r="V376" s="173" t="str">
        <f>IFERROR(__xludf.DUMMYFUNCTION("""COMPUTED_VALUE"""),"Dark Oak Leaves")</f>
        <v>Dark Oak Leaves</v>
      </c>
      <c r="W376" s="174"/>
    </row>
    <row r="377">
      <c r="B377" s="175"/>
      <c r="R377" s="176"/>
      <c r="U377" s="172" t="str">
        <f>IFERROR(__xludf.DUMMYFUNCTION("""COMPUTED_VALUE"""),"")</f>
        <v/>
      </c>
      <c r="V377" s="173" t="str">
        <f>IFERROR(__xludf.DUMMYFUNCTION("""COMPUTED_VALUE"""),"Dark Oak Log")</f>
        <v>Dark Oak Log</v>
      </c>
      <c r="W377" s="174"/>
    </row>
    <row r="378">
      <c r="B378" s="175"/>
      <c r="R378" s="176"/>
      <c r="U378" s="172" t="str">
        <f>IFERROR(__xludf.DUMMYFUNCTION("""COMPUTED_VALUE"""),"")</f>
        <v/>
      </c>
      <c r="V378" s="173" t="str">
        <f>IFERROR(__xludf.DUMMYFUNCTION("""COMPUTED_VALUE"""),"Dark Oak Planks")</f>
        <v>Dark Oak Planks</v>
      </c>
      <c r="W378" s="174"/>
    </row>
    <row r="379">
      <c r="B379" s="175"/>
      <c r="R379" s="176"/>
      <c r="U379" s="172" t="str">
        <f>IFERROR(__xludf.DUMMYFUNCTION("""COMPUTED_VALUE"""),"")</f>
        <v/>
      </c>
      <c r="V379" s="173" t="str">
        <f>IFERROR(__xludf.DUMMYFUNCTION("""COMPUTED_VALUE"""),"Dark Oak Pressure Plate")</f>
        <v>Dark Oak Pressure Plate</v>
      </c>
      <c r="W379" s="174"/>
    </row>
    <row r="380">
      <c r="B380" s="175"/>
      <c r="R380" s="176"/>
      <c r="U380" s="172" t="str">
        <f>IFERROR(__xludf.DUMMYFUNCTION("""COMPUTED_VALUE"""),"")</f>
        <v/>
      </c>
      <c r="V380" s="173" t="str">
        <f>IFERROR(__xludf.DUMMYFUNCTION("""COMPUTED_VALUE"""),"Dark Oak Sapling")</f>
        <v>Dark Oak Sapling</v>
      </c>
      <c r="W380" s="174"/>
    </row>
    <row r="381">
      <c r="B381" s="175"/>
      <c r="R381" s="176"/>
      <c r="U381" s="172" t="str">
        <f>IFERROR(__xludf.DUMMYFUNCTION("""COMPUTED_VALUE"""),"")</f>
        <v/>
      </c>
      <c r="V381" s="173" t="str">
        <f>IFERROR(__xludf.DUMMYFUNCTION("""COMPUTED_VALUE"""),"Dark Oak Sign")</f>
        <v>Dark Oak Sign</v>
      </c>
      <c r="W381" s="174"/>
    </row>
    <row r="382">
      <c r="B382" s="175"/>
      <c r="R382" s="176"/>
      <c r="U382" s="172" t="str">
        <f>IFERROR(__xludf.DUMMYFUNCTION("""COMPUTED_VALUE"""),"")</f>
        <v/>
      </c>
      <c r="V382" s="173" t="str">
        <f>IFERROR(__xludf.DUMMYFUNCTION("""COMPUTED_VALUE"""),"Dark Oak Slab")</f>
        <v>Dark Oak Slab</v>
      </c>
      <c r="W382" s="174"/>
    </row>
    <row r="383">
      <c r="B383" s="175"/>
      <c r="R383" s="176"/>
      <c r="U383" s="172" t="str">
        <f>IFERROR(__xludf.DUMMYFUNCTION("""COMPUTED_VALUE"""),"")</f>
        <v/>
      </c>
      <c r="V383" s="173" t="str">
        <f>IFERROR(__xludf.DUMMYFUNCTION("""COMPUTED_VALUE"""),"Dark Oak Stairs")</f>
        <v>Dark Oak Stairs</v>
      </c>
      <c r="W383" s="174"/>
    </row>
    <row r="384">
      <c r="B384" s="175"/>
      <c r="R384" s="176"/>
      <c r="U384" s="172" t="str">
        <f>IFERROR(__xludf.DUMMYFUNCTION("""COMPUTED_VALUE"""),"")</f>
        <v/>
      </c>
      <c r="V384" s="173" t="str">
        <f>IFERROR(__xludf.DUMMYFUNCTION("""COMPUTED_VALUE"""),"Dark Oak Trapdoor")</f>
        <v>Dark Oak Trapdoor</v>
      </c>
      <c r="W384" s="174"/>
    </row>
    <row r="385">
      <c r="B385" s="175"/>
      <c r="R385" s="176"/>
      <c r="U385" s="172" t="str">
        <f>IFERROR(__xludf.DUMMYFUNCTION("""COMPUTED_VALUE"""),"")</f>
        <v/>
      </c>
      <c r="V385" s="173" t="str">
        <f>IFERROR(__xludf.DUMMYFUNCTION("""COMPUTED_VALUE"""),"Dark Oak Wood")</f>
        <v>Dark Oak Wood</v>
      </c>
      <c r="W385" s="174"/>
    </row>
    <row r="386">
      <c r="B386" s="175"/>
      <c r="R386" s="176"/>
      <c r="U386" s="172" t="str">
        <f>IFERROR(__xludf.DUMMYFUNCTION("""COMPUTED_VALUE"""),"")</f>
        <v/>
      </c>
      <c r="V386" s="173" t="str">
        <f>IFERROR(__xludf.DUMMYFUNCTION("""COMPUTED_VALUE"""),"Dark Prismarine")</f>
        <v>Dark Prismarine</v>
      </c>
      <c r="W386" s="174"/>
    </row>
    <row r="387">
      <c r="B387" s="175"/>
      <c r="R387" s="176"/>
      <c r="U387" s="172" t="str">
        <f>IFERROR(__xludf.DUMMYFUNCTION("""COMPUTED_VALUE"""),"")</f>
        <v/>
      </c>
      <c r="V387" s="173" t="str">
        <f>IFERROR(__xludf.DUMMYFUNCTION("""COMPUTED_VALUE"""),"Dark Prismarine Slab")</f>
        <v>Dark Prismarine Slab</v>
      </c>
      <c r="W387" s="174"/>
    </row>
    <row r="388">
      <c r="B388" s="175"/>
      <c r="R388" s="176"/>
      <c r="U388" s="172" t="str">
        <f>IFERROR(__xludf.DUMMYFUNCTION("""COMPUTED_VALUE"""),"")</f>
        <v/>
      </c>
      <c r="V388" s="173" t="str">
        <f>IFERROR(__xludf.DUMMYFUNCTION("""COMPUTED_VALUE"""),"Dark Prismarine Stairs")</f>
        <v>Dark Prismarine Stairs</v>
      </c>
      <c r="W388" s="174"/>
    </row>
    <row r="389">
      <c r="B389" s="175"/>
      <c r="R389" s="176"/>
      <c r="U389" s="172" t="str">
        <f>IFERROR(__xludf.DUMMYFUNCTION("""COMPUTED_VALUE"""),"")</f>
        <v/>
      </c>
      <c r="V389" s="173" t="str">
        <f>IFERROR(__xludf.DUMMYFUNCTION("""COMPUTED_VALUE"""),"Daylight Detector")</f>
        <v>Daylight Detector</v>
      </c>
      <c r="W389" s="174"/>
    </row>
    <row r="390">
      <c r="B390" s="175"/>
      <c r="R390" s="176"/>
      <c r="U390" s="172" t="str">
        <f>IFERROR(__xludf.DUMMYFUNCTION("""COMPUTED_VALUE"""),"")</f>
        <v/>
      </c>
      <c r="V390" s="173" t="str">
        <f>IFERROR(__xludf.DUMMYFUNCTION("""COMPUTED_VALUE"""),"Dead Brain Coral")</f>
        <v>Dead Brain Coral</v>
      </c>
      <c r="W390" s="174"/>
    </row>
    <row r="391">
      <c r="B391" s="175"/>
      <c r="R391" s="176"/>
      <c r="U391" s="172" t="str">
        <f>IFERROR(__xludf.DUMMYFUNCTION("""COMPUTED_VALUE"""),"")</f>
        <v/>
      </c>
      <c r="V391" s="173" t="str">
        <f>IFERROR(__xludf.DUMMYFUNCTION("""COMPUTED_VALUE"""),"Dead Brain Coral Block")</f>
        <v>Dead Brain Coral Block</v>
      </c>
      <c r="W391" s="174"/>
    </row>
    <row r="392">
      <c r="B392" s="175"/>
      <c r="R392" s="176"/>
      <c r="U392" s="172" t="str">
        <f>IFERROR(__xludf.DUMMYFUNCTION("""COMPUTED_VALUE"""),"")</f>
        <v/>
      </c>
      <c r="V392" s="173" t="str">
        <f>IFERROR(__xludf.DUMMYFUNCTION("""COMPUTED_VALUE"""),"Dead Brain Coral Fan")</f>
        <v>Dead Brain Coral Fan</v>
      </c>
      <c r="W392" s="174"/>
    </row>
    <row r="393">
      <c r="B393" s="175"/>
      <c r="R393" s="176"/>
      <c r="U393" s="172" t="str">
        <f>IFERROR(__xludf.DUMMYFUNCTION("""COMPUTED_VALUE"""),"")</f>
        <v/>
      </c>
      <c r="V393" s="173" t="str">
        <f>IFERROR(__xludf.DUMMYFUNCTION("""COMPUTED_VALUE"""),"Dead Bubble Coral")</f>
        <v>Dead Bubble Coral</v>
      </c>
      <c r="W393" s="174"/>
    </row>
    <row r="394">
      <c r="B394" s="175"/>
      <c r="R394" s="176"/>
      <c r="U394" s="172" t="str">
        <f>IFERROR(__xludf.DUMMYFUNCTION("""COMPUTED_VALUE"""),"")</f>
        <v/>
      </c>
      <c r="V394" s="173" t="str">
        <f>IFERROR(__xludf.DUMMYFUNCTION("""COMPUTED_VALUE"""),"Dead Bubble Coral Block")</f>
        <v>Dead Bubble Coral Block</v>
      </c>
      <c r="W394" s="174"/>
    </row>
    <row r="395">
      <c r="B395" s="175"/>
      <c r="R395" s="176"/>
      <c r="U395" s="172" t="str">
        <f>IFERROR(__xludf.DUMMYFUNCTION("""COMPUTED_VALUE"""),"")</f>
        <v/>
      </c>
      <c r="V395" s="173" t="str">
        <f>IFERROR(__xludf.DUMMYFUNCTION("""COMPUTED_VALUE"""),"Dead Bubble Coral Fan")</f>
        <v>Dead Bubble Coral Fan</v>
      </c>
      <c r="W395" s="174"/>
    </row>
    <row r="396">
      <c r="B396" s="175"/>
      <c r="R396" s="176"/>
      <c r="U396" s="172" t="str">
        <f>IFERROR(__xludf.DUMMYFUNCTION("""COMPUTED_VALUE"""),"")</f>
        <v/>
      </c>
      <c r="V396" s="173" t="str">
        <f>IFERROR(__xludf.DUMMYFUNCTION("""COMPUTED_VALUE"""),"Dead Bush")</f>
        <v>Dead Bush</v>
      </c>
      <c r="W396" s="174"/>
    </row>
    <row r="397">
      <c r="B397" s="175"/>
      <c r="R397" s="176"/>
      <c r="U397" s="172" t="str">
        <f>IFERROR(__xludf.DUMMYFUNCTION("""COMPUTED_VALUE"""),"")</f>
        <v/>
      </c>
      <c r="V397" s="173" t="str">
        <f>IFERROR(__xludf.DUMMYFUNCTION("""COMPUTED_VALUE"""),"Dead Fire Coral")</f>
        <v>Dead Fire Coral</v>
      </c>
      <c r="W397" s="174"/>
    </row>
    <row r="398">
      <c r="B398" s="175"/>
      <c r="R398" s="176"/>
      <c r="U398" s="172" t="str">
        <f>IFERROR(__xludf.DUMMYFUNCTION("""COMPUTED_VALUE"""),"")</f>
        <v/>
      </c>
      <c r="V398" s="173" t="str">
        <f>IFERROR(__xludf.DUMMYFUNCTION("""COMPUTED_VALUE"""),"Dead Fire Coral Block")</f>
        <v>Dead Fire Coral Block</v>
      </c>
      <c r="W398" s="174"/>
    </row>
    <row r="399">
      <c r="B399" s="175"/>
      <c r="R399" s="176"/>
      <c r="U399" s="172" t="str">
        <f>IFERROR(__xludf.DUMMYFUNCTION("""COMPUTED_VALUE"""),"")</f>
        <v/>
      </c>
      <c r="V399" s="173" t="str">
        <f>IFERROR(__xludf.DUMMYFUNCTION("""COMPUTED_VALUE"""),"Dead Fire Coral Fan")</f>
        <v>Dead Fire Coral Fan</v>
      </c>
      <c r="W399" s="174"/>
    </row>
    <row r="400">
      <c r="B400" s="175"/>
      <c r="R400" s="176"/>
      <c r="U400" s="172" t="str">
        <f>IFERROR(__xludf.DUMMYFUNCTION("""COMPUTED_VALUE"""),"")</f>
        <v/>
      </c>
      <c r="V400" s="173" t="str">
        <f>IFERROR(__xludf.DUMMYFUNCTION("""COMPUTED_VALUE"""),"Dead Horn Coral")</f>
        <v>Dead Horn Coral</v>
      </c>
      <c r="W400" s="174"/>
    </row>
    <row r="401">
      <c r="B401" s="175"/>
      <c r="R401" s="176"/>
      <c r="U401" s="172" t="str">
        <f>IFERROR(__xludf.DUMMYFUNCTION("""COMPUTED_VALUE"""),"")</f>
        <v/>
      </c>
      <c r="V401" s="173" t="str">
        <f>IFERROR(__xludf.DUMMYFUNCTION("""COMPUTED_VALUE"""),"Dead Horn Coral Block")</f>
        <v>Dead Horn Coral Block</v>
      </c>
      <c r="W401" s="174"/>
    </row>
    <row r="402">
      <c r="B402" s="175"/>
      <c r="R402" s="176"/>
      <c r="U402" s="172" t="str">
        <f>IFERROR(__xludf.DUMMYFUNCTION("""COMPUTED_VALUE"""),"")</f>
        <v/>
      </c>
      <c r="V402" s="173" t="str">
        <f>IFERROR(__xludf.DUMMYFUNCTION("""COMPUTED_VALUE"""),"Dead Horn Coral Fan")</f>
        <v>Dead Horn Coral Fan</v>
      </c>
      <c r="W402" s="174"/>
    </row>
    <row r="403">
      <c r="B403" s="175"/>
      <c r="R403" s="176"/>
      <c r="U403" s="172" t="str">
        <f>IFERROR(__xludf.DUMMYFUNCTION("""COMPUTED_VALUE"""),"")</f>
        <v/>
      </c>
      <c r="V403" s="173" t="str">
        <f>IFERROR(__xludf.DUMMYFUNCTION("""COMPUTED_VALUE"""),"Dead Tube Coral")</f>
        <v>Dead Tube Coral</v>
      </c>
      <c r="W403" s="174"/>
    </row>
    <row r="404">
      <c r="B404" s="175"/>
      <c r="R404" s="176"/>
      <c r="U404" s="172" t="str">
        <f>IFERROR(__xludf.DUMMYFUNCTION("""COMPUTED_VALUE"""),"")</f>
        <v/>
      </c>
      <c r="V404" s="173" t="str">
        <f>IFERROR(__xludf.DUMMYFUNCTION("""COMPUTED_VALUE"""),"Dead Tube Coral Block")</f>
        <v>Dead Tube Coral Block</v>
      </c>
      <c r="W404" s="174"/>
    </row>
    <row r="405">
      <c r="B405" s="175"/>
      <c r="R405" s="176"/>
      <c r="U405" s="172" t="str">
        <f>IFERROR(__xludf.DUMMYFUNCTION("""COMPUTED_VALUE"""),"")</f>
        <v/>
      </c>
      <c r="V405" s="173" t="str">
        <f>IFERROR(__xludf.DUMMYFUNCTION("""COMPUTED_VALUE"""),"Dead Tube Coral Fan")</f>
        <v>Dead Tube Coral Fan</v>
      </c>
      <c r="W405" s="174"/>
    </row>
    <row r="406">
      <c r="B406" s="175"/>
      <c r="R406" s="176"/>
      <c r="U406" s="172" t="str">
        <f>IFERROR(__xludf.DUMMYFUNCTION("""COMPUTED_VALUE"""),"")</f>
        <v/>
      </c>
      <c r="V406" s="173" t="str">
        <f>IFERROR(__xludf.DUMMYFUNCTION("""COMPUTED_VALUE"""),"Decorated Pot")</f>
        <v>Decorated Pot</v>
      </c>
      <c r="W406" s="174"/>
    </row>
    <row r="407">
      <c r="B407" s="175"/>
      <c r="R407" s="176"/>
      <c r="U407" s="172" t="str">
        <f>IFERROR(__xludf.DUMMYFUNCTION("""COMPUTED_VALUE"""),"")</f>
        <v/>
      </c>
      <c r="V407" s="173" t="str">
        <f>IFERROR(__xludf.DUMMYFUNCTION("""COMPUTED_VALUE"""),"Deepslate")</f>
        <v>Deepslate</v>
      </c>
      <c r="W407" s="174"/>
    </row>
    <row r="408">
      <c r="B408" s="175"/>
      <c r="R408" s="176"/>
      <c r="U408" s="172" t="str">
        <f>IFERROR(__xludf.DUMMYFUNCTION("""COMPUTED_VALUE"""),"")</f>
        <v/>
      </c>
      <c r="V408" s="173" t="str">
        <f>IFERROR(__xludf.DUMMYFUNCTION("""COMPUTED_VALUE"""),"Deepslate Brick Slab")</f>
        <v>Deepslate Brick Slab</v>
      </c>
      <c r="W408" s="174"/>
    </row>
    <row r="409">
      <c r="B409" s="175"/>
      <c r="R409" s="176"/>
      <c r="U409" s="172" t="str">
        <f>IFERROR(__xludf.DUMMYFUNCTION("""COMPUTED_VALUE"""),"")</f>
        <v/>
      </c>
      <c r="V409" s="173" t="str">
        <f>IFERROR(__xludf.DUMMYFUNCTION("""COMPUTED_VALUE"""),"Deepslate Brick Stairs")</f>
        <v>Deepslate Brick Stairs</v>
      </c>
      <c r="W409" s="174"/>
    </row>
    <row r="410">
      <c r="B410" s="175"/>
      <c r="R410" s="176"/>
      <c r="U410" s="172" t="str">
        <f>IFERROR(__xludf.DUMMYFUNCTION("""COMPUTED_VALUE"""),"")</f>
        <v/>
      </c>
      <c r="V410" s="173" t="str">
        <f>IFERROR(__xludf.DUMMYFUNCTION("""COMPUTED_VALUE"""),"Deepslate Brick Wall")</f>
        <v>Deepslate Brick Wall</v>
      </c>
      <c r="W410" s="174"/>
    </row>
    <row r="411">
      <c r="B411" s="175"/>
      <c r="R411" s="176"/>
      <c r="U411" s="172" t="str">
        <f>IFERROR(__xludf.DUMMYFUNCTION("""COMPUTED_VALUE"""),"")</f>
        <v/>
      </c>
      <c r="V411" s="173" t="str">
        <f>IFERROR(__xludf.DUMMYFUNCTION("""COMPUTED_VALUE"""),"Deepslate Bricks")</f>
        <v>Deepslate Bricks</v>
      </c>
      <c r="W411" s="174"/>
    </row>
    <row r="412">
      <c r="B412" s="175"/>
      <c r="R412" s="176"/>
      <c r="U412" s="172" t="str">
        <f>IFERROR(__xludf.DUMMYFUNCTION("""COMPUTED_VALUE"""),"")</f>
        <v/>
      </c>
      <c r="V412" s="173" t="str">
        <f>IFERROR(__xludf.DUMMYFUNCTION("""COMPUTED_VALUE"""),"Deepslate Coal Ore")</f>
        <v>Deepslate Coal Ore</v>
      </c>
      <c r="W412" s="174"/>
    </row>
    <row r="413">
      <c r="B413" s="175"/>
      <c r="R413" s="176"/>
      <c r="U413" s="172" t="str">
        <f>IFERROR(__xludf.DUMMYFUNCTION("""COMPUTED_VALUE"""),"")</f>
        <v/>
      </c>
      <c r="V413" s="173" t="str">
        <f>IFERROR(__xludf.DUMMYFUNCTION("""COMPUTED_VALUE"""),"Deepslate Copper Ore")</f>
        <v>Deepslate Copper Ore</v>
      </c>
      <c r="W413" s="174"/>
    </row>
    <row r="414">
      <c r="B414" s="175"/>
      <c r="R414" s="176"/>
      <c r="U414" s="172" t="str">
        <f>IFERROR(__xludf.DUMMYFUNCTION("""COMPUTED_VALUE"""),"")</f>
        <v/>
      </c>
      <c r="V414" s="173" t="str">
        <f>IFERROR(__xludf.DUMMYFUNCTION("""COMPUTED_VALUE"""),"Deepslate Diamond Ore")</f>
        <v>Deepslate Diamond Ore</v>
      </c>
      <c r="W414" s="174"/>
    </row>
    <row r="415">
      <c r="B415" s="175"/>
      <c r="R415" s="176"/>
      <c r="U415" s="172" t="str">
        <f>IFERROR(__xludf.DUMMYFUNCTION("""COMPUTED_VALUE"""),"")</f>
        <v/>
      </c>
      <c r="V415" s="173" t="str">
        <f>IFERROR(__xludf.DUMMYFUNCTION("""COMPUTED_VALUE"""),"Deepslate Emerald Ore")</f>
        <v>Deepslate Emerald Ore</v>
      </c>
      <c r="W415" s="174"/>
    </row>
    <row r="416">
      <c r="B416" s="175"/>
      <c r="R416" s="176"/>
      <c r="U416" s="172" t="str">
        <f>IFERROR(__xludf.DUMMYFUNCTION("""COMPUTED_VALUE"""),"")</f>
        <v/>
      </c>
      <c r="V416" s="173" t="str">
        <f>IFERROR(__xludf.DUMMYFUNCTION("""COMPUTED_VALUE"""),"Deepslate Gold Ore")</f>
        <v>Deepslate Gold Ore</v>
      </c>
      <c r="W416" s="174"/>
    </row>
    <row r="417">
      <c r="B417" s="175"/>
      <c r="R417" s="176"/>
      <c r="U417" s="172" t="str">
        <f>IFERROR(__xludf.DUMMYFUNCTION("""COMPUTED_VALUE"""),"")</f>
        <v/>
      </c>
      <c r="V417" s="173" t="str">
        <f>IFERROR(__xludf.DUMMYFUNCTION("""COMPUTED_VALUE"""),"Deepslate Iron Ore")</f>
        <v>Deepslate Iron Ore</v>
      </c>
      <c r="W417" s="174"/>
    </row>
    <row r="418">
      <c r="B418" s="175"/>
      <c r="R418" s="176"/>
      <c r="U418" s="172" t="str">
        <f>IFERROR(__xludf.DUMMYFUNCTION("""COMPUTED_VALUE"""),"")</f>
        <v/>
      </c>
      <c r="V418" s="173" t="str">
        <f>IFERROR(__xludf.DUMMYFUNCTION("""COMPUTED_VALUE"""),"Deepslate Lapis Ore")</f>
        <v>Deepslate Lapis Ore</v>
      </c>
      <c r="W418" s="174"/>
    </row>
    <row r="419">
      <c r="B419" s="175"/>
      <c r="R419" s="176"/>
      <c r="U419" s="172" t="str">
        <f>IFERROR(__xludf.DUMMYFUNCTION("""COMPUTED_VALUE"""),"")</f>
        <v/>
      </c>
      <c r="V419" s="173" t="str">
        <f>IFERROR(__xludf.DUMMYFUNCTION("""COMPUTED_VALUE"""),"Deepslate Redstone Ore")</f>
        <v>Deepslate Redstone Ore</v>
      </c>
      <c r="W419" s="174"/>
    </row>
    <row r="420">
      <c r="B420" s="175"/>
      <c r="R420" s="176"/>
      <c r="U420" s="172" t="str">
        <f>IFERROR(__xludf.DUMMYFUNCTION("""COMPUTED_VALUE"""),"")</f>
        <v/>
      </c>
      <c r="V420" s="173" t="str">
        <f>IFERROR(__xludf.DUMMYFUNCTION("""COMPUTED_VALUE"""),"Deepslate Tile Slab")</f>
        <v>Deepslate Tile Slab</v>
      </c>
      <c r="W420" s="174"/>
    </row>
    <row r="421">
      <c r="B421" s="175"/>
      <c r="R421" s="176"/>
      <c r="U421" s="172" t="str">
        <f>IFERROR(__xludf.DUMMYFUNCTION("""COMPUTED_VALUE"""),"")</f>
        <v/>
      </c>
      <c r="V421" s="173" t="str">
        <f>IFERROR(__xludf.DUMMYFUNCTION("""COMPUTED_VALUE"""),"Deepslate Tile Stairs")</f>
        <v>Deepslate Tile Stairs</v>
      </c>
      <c r="W421" s="174"/>
    </row>
    <row r="422">
      <c r="B422" s="175"/>
      <c r="R422" s="176"/>
      <c r="U422" s="172" t="str">
        <f>IFERROR(__xludf.DUMMYFUNCTION("""COMPUTED_VALUE"""),"")</f>
        <v/>
      </c>
      <c r="V422" s="173" t="str">
        <f>IFERROR(__xludf.DUMMYFUNCTION("""COMPUTED_VALUE"""),"Deepslate Tile Wall")</f>
        <v>Deepslate Tile Wall</v>
      </c>
      <c r="W422" s="174"/>
    </row>
    <row r="423">
      <c r="B423" s="175"/>
      <c r="R423" s="176"/>
      <c r="U423" s="172" t="str">
        <f>IFERROR(__xludf.DUMMYFUNCTION("""COMPUTED_VALUE"""),"")</f>
        <v/>
      </c>
      <c r="V423" s="173" t="str">
        <f>IFERROR(__xludf.DUMMYFUNCTION("""COMPUTED_VALUE"""),"Deepslate Tiles")</f>
        <v>Deepslate Tiles</v>
      </c>
      <c r="W423" s="174"/>
    </row>
    <row r="424">
      <c r="B424" s="175"/>
      <c r="R424" s="176"/>
      <c r="U424" s="172" t="str">
        <f>IFERROR(__xludf.DUMMYFUNCTION("""COMPUTED_VALUE"""),"")</f>
        <v/>
      </c>
      <c r="V424" s="173" t="str">
        <f>IFERROR(__xludf.DUMMYFUNCTION("""COMPUTED_VALUE"""),"Detector Rail")</f>
        <v>Detector Rail</v>
      </c>
      <c r="W424" s="174"/>
    </row>
    <row r="425">
      <c r="B425" s="175"/>
      <c r="R425" s="176"/>
      <c r="U425" s="172" t="str">
        <f>IFERROR(__xludf.DUMMYFUNCTION("""COMPUTED_VALUE"""),"")</f>
        <v/>
      </c>
      <c r="V425" s="173" t="str">
        <f>IFERROR(__xludf.DUMMYFUNCTION("""COMPUTED_VALUE"""),"Diamond")</f>
        <v>Diamond</v>
      </c>
      <c r="W425" s="174"/>
    </row>
    <row r="426">
      <c r="B426" s="175"/>
      <c r="R426" s="176"/>
      <c r="U426" s="172" t="str">
        <f>IFERROR(__xludf.DUMMYFUNCTION("""COMPUTED_VALUE"""),"")</f>
        <v/>
      </c>
      <c r="V426" s="173" t="str">
        <f>IFERROR(__xludf.DUMMYFUNCTION("""COMPUTED_VALUE"""),"Diamond Axe")</f>
        <v>Diamond Axe</v>
      </c>
      <c r="W426" s="174"/>
    </row>
    <row r="427">
      <c r="B427" s="175"/>
      <c r="R427" s="176"/>
      <c r="U427" s="172" t="str">
        <f>IFERROR(__xludf.DUMMYFUNCTION("""COMPUTED_VALUE"""),"")</f>
        <v/>
      </c>
      <c r="V427" s="173" t="str">
        <f>IFERROR(__xludf.DUMMYFUNCTION("""COMPUTED_VALUE"""),"Diamond Block")</f>
        <v>Diamond Block</v>
      </c>
      <c r="W427" s="174"/>
    </row>
    <row r="428">
      <c r="B428" s="175"/>
      <c r="R428" s="176"/>
      <c r="U428" s="172" t="str">
        <f>IFERROR(__xludf.DUMMYFUNCTION("""COMPUTED_VALUE"""),"")</f>
        <v/>
      </c>
      <c r="V428" s="173" t="str">
        <f>IFERROR(__xludf.DUMMYFUNCTION("""COMPUTED_VALUE"""),"Diamond Boots")</f>
        <v>Diamond Boots</v>
      </c>
      <c r="W428" s="174"/>
    </row>
    <row r="429">
      <c r="B429" s="175"/>
      <c r="R429" s="176"/>
      <c r="U429" s="172" t="str">
        <f>IFERROR(__xludf.DUMMYFUNCTION("""COMPUTED_VALUE"""),"")</f>
        <v/>
      </c>
      <c r="V429" s="173" t="str">
        <f>IFERROR(__xludf.DUMMYFUNCTION("""COMPUTED_VALUE"""),"Diamond Chestplate")</f>
        <v>Diamond Chestplate</v>
      </c>
      <c r="W429" s="174"/>
    </row>
    <row r="430">
      <c r="B430" s="175"/>
      <c r="R430" s="176"/>
      <c r="U430" s="172" t="str">
        <f>IFERROR(__xludf.DUMMYFUNCTION("""COMPUTED_VALUE"""),"")</f>
        <v/>
      </c>
      <c r="V430" s="173" t="str">
        <f>IFERROR(__xludf.DUMMYFUNCTION("""COMPUTED_VALUE"""),"Diamond Helmet")</f>
        <v>Diamond Helmet</v>
      </c>
      <c r="W430" s="174"/>
    </row>
    <row r="431">
      <c r="B431" s="175"/>
      <c r="R431" s="176"/>
      <c r="U431" s="172" t="str">
        <f>IFERROR(__xludf.DUMMYFUNCTION("""COMPUTED_VALUE"""),"")</f>
        <v/>
      </c>
      <c r="V431" s="173" t="str">
        <f>IFERROR(__xludf.DUMMYFUNCTION("""COMPUTED_VALUE"""),"Diamond Hoe")</f>
        <v>Diamond Hoe</v>
      </c>
      <c r="W431" s="174"/>
    </row>
    <row r="432">
      <c r="B432" s="175"/>
      <c r="R432" s="176"/>
      <c r="U432" s="172" t="str">
        <f>IFERROR(__xludf.DUMMYFUNCTION("""COMPUTED_VALUE"""),"")</f>
        <v/>
      </c>
      <c r="V432" s="173" t="str">
        <f>IFERROR(__xludf.DUMMYFUNCTION("""COMPUTED_VALUE"""),"Diamond Horse Armor")</f>
        <v>Diamond Horse Armor</v>
      </c>
      <c r="W432" s="174"/>
    </row>
    <row r="433">
      <c r="B433" s="175"/>
      <c r="R433" s="176"/>
      <c r="U433" s="172" t="str">
        <f>IFERROR(__xludf.DUMMYFUNCTION("""COMPUTED_VALUE"""),"")</f>
        <v/>
      </c>
      <c r="V433" s="173" t="str">
        <f>IFERROR(__xludf.DUMMYFUNCTION("""COMPUTED_VALUE"""),"Diamond Leggings")</f>
        <v>Diamond Leggings</v>
      </c>
      <c r="W433" s="174"/>
    </row>
    <row r="434">
      <c r="B434" s="175"/>
      <c r="R434" s="176"/>
      <c r="U434" s="172" t="str">
        <f>IFERROR(__xludf.DUMMYFUNCTION("""COMPUTED_VALUE"""),"")</f>
        <v/>
      </c>
      <c r="V434" s="173" t="str">
        <f>IFERROR(__xludf.DUMMYFUNCTION("""COMPUTED_VALUE"""),"Diamond Ore")</f>
        <v>Diamond Ore</v>
      </c>
      <c r="W434" s="174"/>
    </row>
    <row r="435">
      <c r="B435" s="175"/>
      <c r="R435" s="176"/>
      <c r="U435" s="172" t="str">
        <f>IFERROR(__xludf.DUMMYFUNCTION("""COMPUTED_VALUE"""),"")</f>
        <v/>
      </c>
      <c r="V435" s="173" t="str">
        <f>IFERROR(__xludf.DUMMYFUNCTION("""COMPUTED_VALUE"""),"Diamond Pickaxe")</f>
        <v>Diamond Pickaxe</v>
      </c>
      <c r="W435" s="174"/>
    </row>
    <row r="436">
      <c r="B436" s="175"/>
      <c r="R436" s="176"/>
      <c r="U436" s="172" t="str">
        <f>IFERROR(__xludf.DUMMYFUNCTION("""COMPUTED_VALUE"""),"")</f>
        <v/>
      </c>
      <c r="V436" s="173" t="str">
        <f>IFERROR(__xludf.DUMMYFUNCTION("""COMPUTED_VALUE"""),"Diamond Shovel")</f>
        <v>Diamond Shovel</v>
      </c>
      <c r="W436" s="174"/>
    </row>
    <row r="437">
      <c r="B437" s="175"/>
      <c r="R437" s="176"/>
      <c r="U437" s="172" t="str">
        <f>IFERROR(__xludf.DUMMYFUNCTION("""COMPUTED_VALUE"""),"")</f>
        <v/>
      </c>
      <c r="V437" s="173" t="str">
        <f>IFERROR(__xludf.DUMMYFUNCTION("""COMPUTED_VALUE"""),"Diamond Sword")</f>
        <v>Diamond Sword</v>
      </c>
      <c r="W437" s="174"/>
    </row>
    <row r="438">
      <c r="B438" s="175"/>
      <c r="R438" s="176"/>
      <c r="U438" s="172" t="str">
        <f>IFERROR(__xludf.DUMMYFUNCTION("""COMPUTED_VALUE"""),"")</f>
        <v/>
      </c>
      <c r="V438" s="173" t="str">
        <f>IFERROR(__xludf.DUMMYFUNCTION("""COMPUTED_VALUE"""),"Diorite")</f>
        <v>Diorite</v>
      </c>
      <c r="W438" s="174"/>
    </row>
    <row r="439">
      <c r="B439" s="175"/>
      <c r="R439" s="176"/>
      <c r="U439" s="172" t="str">
        <f>IFERROR(__xludf.DUMMYFUNCTION("""COMPUTED_VALUE"""),"")</f>
        <v/>
      </c>
      <c r="V439" s="173" t="str">
        <f>IFERROR(__xludf.DUMMYFUNCTION("""COMPUTED_VALUE"""),"Diorite Slab")</f>
        <v>Diorite Slab</v>
      </c>
      <c r="W439" s="174"/>
    </row>
    <row r="440">
      <c r="B440" s="175"/>
      <c r="R440" s="176"/>
      <c r="U440" s="172" t="str">
        <f>IFERROR(__xludf.DUMMYFUNCTION("""COMPUTED_VALUE"""),"")</f>
        <v/>
      </c>
      <c r="V440" s="173" t="str">
        <f>IFERROR(__xludf.DUMMYFUNCTION("""COMPUTED_VALUE"""),"Diorite Stairs")</f>
        <v>Diorite Stairs</v>
      </c>
      <c r="W440" s="174"/>
    </row>
    <row r="441">
      <c r="B441" s="175"/>
      <c r="R441" s="176"/>
      <c r="U441" s="172" t="str">
        <f>IFERROR(__xludf.DUMMYFUNCTION("""COMPUTED_VALUE"""),"")</f>
        <v/>
      </c>
      <c r="V441" s="173" t="str">
        <f>IFERROR(__xludf.DUMMYFUNCTION("""COMPUTED_VALUE"""),"Diorite Wall")</f>
        <v>Diorite Wall</v>
      </c>
      <c r="W441" s="174"/>
    </row>
    <row r="442">
      <c r="B442" s="175"/>
      <c r="R442" s="176"/>
      <c r="U442" s="172" t="str">
        <f>IFERROR(__xludf.DUMMYFUNCTION("""COMPUTED_VALUE"""),"")</f>
        <v/>
      </c>
      <c r="V442" s="173" t="str">
        <f>IFERROR(__xludf.DUMMYFUNCTION("""COMPUTED_VALUE"""),"Dirt")</f>
        <v>Dirt</v>
      </c>
      <c r="W442" s="174"/>
    </row>
    <row r="443">
      <c r="B443" s="175"/>
      <c r="R443" s="176"/>
      <c r="U443" s="172" t="str">
        <f>IFERROR(__xludf.DUMMYFUNCTION("""COMPUTED_VALUE"""),"")</f>
        <v/>
      </c>
      <c r="V443" s="173" t="str">
        <f>IFERROR(__xludf.DUMMYFUNCTION("""COMPUTED_VALUE"""),"Disc Fragment 5")</f>
        <v>Disc Fragment 5</v>
      </c>
      <c r="W443" s="174"/>
    </row>
    <row r="444">
      <c r="B444" s="175"/>
      <c r="R444" s="176"/>
      <c r="U444" s="172" t="str">
        <f>IFERROR(__xludf.DUMMYFUNCTION("""COMPUTED_VALUE"""),"")</f>
        <v/>
      </c>
      <c r="V444" s="173" t="str">
        <f>IFERROR(__xludf.DUMMYFUNCTION("""COMPUTED_VALUE"""),"Dispenser")</f>
        <v>Dispenser</v>
      </c>
      <c r="W444" s="174"/>
    </row>
    <row r="445">
      <c r="B445" s="175"/>
      <c r="R445" s="176"/>
      <c r="U445" s="172" t="str">
        <f>IFERROR(__xludf.DUMMYFUNCTION("""COMPUTED_VALUE"""),"")</f>
        <v/>
      </c>
      <c r="V445" s="173" t="str">
        <f>IFERROR(__xludf.DUMMYFUNCTION("""COMPUTED_VALUE"""),"Dragon Breath")</f>
        <v>Dragon Breath</v>
      </c>
      <c r="W445" s="174"/>
    </row>
    <row r="446">
      <c r="B446" s="175"/>
      <c r="R446" s="176"/>
      <c r="U446" s="172" t="str">
        <f>IFERROR(__xludf.DUMMYFUNCTION("""COMPUTED_VALUE"""),"")</f>
        <v/>
      </c>
      <c r="V446" s="173" t="str">
        <f>IFERROR(__xludf.DUMMYFUNCTION("""COMPUTED_VALUE"""),"Dragon Egg")</f>
        <v>Dragon Egg</v>
      </c>
      <c r="W446" s="174"/>
    </row>
    <row r="447">
      <c r="B447" s="175"/>
      <c r="R447" s="176"/>
      <c r="U447" s="172" t="str">
        <f>IFERROR(__xludf.DUMMYFUNCTION("""COMPUTED_VALUE"""),"")</f>
        <v/>
      </c>
      <c r="V447" s="173" t="str">
        <f>IFERROR(__xludf.DUMMYFUNCTION("""COMPUTED_VALUE"""),"Dragon Head")</f>
        <v>Dragon Head</v>
      </c>
      <c r="W447" s="174"/>
    </row>
    <row r="448">
      <c r="B448" s="175"/>
      <c r="R448" s="176"/>
      <c r="U448" s="172" t="str">
        <f>IFERROR(__xludf.DUMMYFUNCTION("""COMPUTED_VALUE"""),"")</f>
        <v/>
      </c>
      <c r="V448" s="173" t="str">
        <f>IFERROR(__xludf.DUMMYFUNCTION("""COMPUTED_VALUE"""),"Dried Kelp")</f>
        <v>Dried Kelp</v>
      </c>
      <c r="W448" s="174"/>
    </row>
    <row r="449">
      <c r="B449" s="175"/>
      <c r="R449" s="176"/>
      <c r="U449" s="172" t="str">
        <f>IFERROR(__xludf.DUMMYFUNCTION("""COMPUTED_VALUE"""),"")</f>
        <v/>
      </c>
      <c r="V449" s="173" t="str">
        <f>IFERROR(__xludf.DUMMYFUNCTION("""COMPUTED_VALUE"""),"Dried Kelp Block")</f>
        <v>Dried Kelp Block</v>
      </c>
      <c r="W449" s="174"/>
    </row>
    <row r="450">
      <c r="B450" s="175"/>
      <c r="R450" s="176"/>
      <c r="U450" s="172" t="str">
        <f>IFERROR(__xludf.DUMMYFUNCTION("""COMPUTED_VALUE"""),"")</f>
        <v/>
      </c>
      <c r="V450" s="173" t="str">
        <f>IFERROR(__xludf.DUMMYFUNCTION("""COMPUTED_VALUE"""),"Dripstone Block")</f>
        <v>Dripstone Block</v>
      </c>
      <c r="W450" s="174"/>
    </row>
    <row r="451">
      <c r="B451" s="175"/>
      <c r="R451" s="176"/>
      <c r="U451" s="172" t="str">
        <f>IFERROR(__xludf.DUMMYFUNCTION("""COMPUTED_VALUE"""),"")</f>
        <v/>
      </c>
      <c r="V451" s="173" t="str">
        <f>IFERROR(__xludf.DUMMYFUNCTION("""COMPUTED_VALUE"""),"Dropper")</f>
        <v>Dropper</v>
      </c>
      <c r="W451" s="174"/>
    </row>
    <row r="452">
      <c r="B452" s="175"/>
      <c r="R452" s="176"/>
      <c r="U452" s="172" t="str">
        <f>IFERROR(__xludf.DUMMYFUNCTION("""COMPUTED_VALUE"""),"")</f>
        <v/>
      </c>
      <c r="V452" s="173" t="str">
        <f>IFERROR(__xludf.DUMMYFUNCTION("""COMPUTED_VALUE"""),"Dune Armor Trim")</f>
        <v>Dune Armor Trim</v>
      </c>
      <c r="W452" s="174"/>
    </row>
    <row r="453">
      <c r="B453" s="175"/>
      <c r="R453" s="176"/>
      <c r="U453" s="172" t="str">
        <f>IFERROR(__xludf.DUMMYFUNCTION("""COMPUTED_VALUE"""),"")</f>
        <v/>
      </c>
      <c r="V453" s="173" t="str">
        <f>IFERROR(__xludf.DUMMYFUNCTION("""COMPUTED_VALUE"""),"Echo Shard")</f>
        <v>Echo Shard</v>
      </c>
      <c r="W453" s="174"/>
    </row>
    <row r="454">
      <c r="B454" s="175"/>
      <c r="R454" s="176"/>
      <c r="U454" s="172" t="str">
        <f>IFERROR(__xludf.DUMMYFUNCTION("""COMPUTED_VALUE"""),"")</f>
        <v/>
      </c>
      <c r="V454" s="173" t="str">
        <f>IFERROR(__xludf.DUMMYFUNCTION("""COMPUTED_VALUE"""),"Egg")</f>
        <v>Egg</v>
      </c>
      <c r="W454" s="174"/>
    </row>
    <row r="455">
      <c r="B455" s="175"/>
      <c r="R455" s="176"/>
      <c r="U455" s="172" t="str">
        <f>IFERROR(__xludf.DUMMYFUNCTION("""COMPUTED_VALUE"""),"")</f>
        <v/>
      </c>
      <c r="V455" s="173" t="str">
        <f>IFERROR(__xludf.DUMMYFUNCTION("""COMPUTED_VALUE"""),"Elytra")</f>
        <v>Elytra</v>
      </c>
      <c r="W455" s="174"/>
    </row>
    <row r="456">
      <c r="B456" s="175"/>
      <c r="R456" s="176"/>
      <c r="U456" s="172" t="str">
        <f>IFERROR(__xludf.DUMMYFUNCTION("""COMPUTED_VALUE"""),"")</f>
        <v/>
      </c>
      <c r="V456" s="173" t="str">
        <f>IFERROR(__xludf.DUMMYFUNCTION("""COMPUTED_VALUE"""),"Emerald")</f>
        <v>Emerald</v>
      </c>
      <c r="W456" s="174"/>
    </row>
    <row r="457">
      <c r="B457" s="175"/>
      <c r="R457" s="176"/>
      <c r="U457" s="172" t="str">
        <f>IFERROR(__xludf.DUMMYFUNCTION("""COMPUTED_VALUE"""),"")</f>
        <v/>
      </c>
      <c r="V457" s="173" t="str">
        <f>IFERROR(__xludf.DUMMYFUNCTION("""COMPUTED_VALUE"""),"Emerald Block")</f>
        <v>Emerald Block</v>
      </c>
      <c r="W457" s="174"/>
    </row>
    <row r="458">
      <c r="B458" s="175"/>
      <c r="R458" s="176"/>
      <c r="U458" s="172" t="str">
        <f>IFERROR(__xludf.DUMMYFUNCTION("""COMPUTED_VALUE"""),"")</f>
        <v/>
      </c>
      <c r="V458" s="173" t="str">
        <f>IFERROR(__xludf.DUMMYFUNCTION("""COMPUTED_VALUE"""),"Emerald Ore")</f>
        <v>Emerald Ore</v>
      </c>
      <c r="W458" s="174"/>
    </row>
    <row r="459">
      <c r="B459" s="175"/>
      <c r="R459" s="176"/>
      <c r="U459" s="172" t="str">
        <f>IFERROR(__xludf.DUMMYFUNCTION("""COMPUTED_VALUE"""),"")</f>
        <v/>
      </c>
      <c r="V459" s="173" t="str">
        <f>IFERROR(__xludf.DUMMYFUNCTION("""COMPUTED_VALUE"""),"Enchanted Book")</f>
        <v>Enchanted Book</v>
      </c>
      <c r="W459" s="174"/>
    </row>
    <row r="460">
      <c r="B460" s="175"/>
      <c r="R460" s="176"/>
      <c r="U460" s="172" t="str">
        <f>IFERROR(__xludf.DUMMYFUNCTION("""COMPUTED_VALUE"""),"")</f>
        <v/>
      </c>
      <c r="V460" s="173" t="str">
        <f>IFERROR(__xludf.DUMMYFUNCTION("""COMPUTED_VALUE"""),"Enchanted Golden Apple")</f>
        <v>Enchanted Golden Apple</v>
      </c>
      <c r="W460" s="174"/>
    </row>
    <row r="461">
      <c r="B461" s="175"/>
      <c r="R461" s="176"/>
      <c r="U461" s="172" t="str">
        <f>IFERROR(__xludf.DUMMYFUNCTION("""COMPUTED_VALUE"""),"")</f>
        <v/>
      </c>
      <c r="V461" s="173" t="str">
        <f>IFERROR(__xludf.DUMMYFUNCTION("""COMPUTED_VALUE"""),"Enchanting Table")</f>
        <v>Enchanting Table</v>
      </c>
      <c r="W461" s="174"/>
    </row>
    <row r="462">
      <c r="B462" s="175"/>
      <c r="R462" s="176"/>
      <c r="U462" s="172" t="str">
        <f>IFERROR(__xludf.DUMMYFUNCTION("""COMPUTED_VALUE"""),"")</f>
        <v/>
      </c>
      <c r="V462" s="173" t="str">
        <f>IFERROR(__xludf.DUMMYFUNCTION("""COMPUTED_VALUE"""),"End Crystal")</f>
        <v>End Crystal</v>
      </c>
      <c r="W462" s="174"/>
    </row>
    <row r="463">
      <c r="B463" s="175"/>
      <c r="R463" s="176"/>
      <c r="U463" s="172" t="str">
        <f>IFERROR(__xludf.DUMMYFUNCTION("""COMPUTED_VALUE"""),"")</f>
        <v/>
      </c>
      <c r="V463" s="173" t="str">
        <f>IFERROR(__xludf.DUMMYFUNCTION("""COMPUTED_VALUE"""),"End Rod")</f>
        <v>End Rod</v>
      </c>
      <c r="W463" s="174"/>
    </row>
    <row r="464">
      <c r="B464" s="175"/>
      <c r="R464" s="176"/>
      <c r="U464" s="172" t="str">
        <f>IFERROR(__xludf.DUMMYFUNCTION("""COMPUTED_VALUE"""),"")</f>
        <v/>
      </c>
      <c r="V464" s="173" t="str">
        <f>IFERROR(__xludf.DUMMYFUNCTION("""COMPUTED_VALUE"""),"End Stone")</f>
        <v>End Stone</v>
      </c>
      <c r="W464" s="174"/>
    </row>
    <row r="465">
      <c r="B465" s="175"/>
      <c r="R465" s="176"/>
      <c r="U465" s="172" t="str">
        <f>IFERROR(__xludf.DUMMYFUNCTION("""COMPUTED_VALUE"""),"")</f>
        <v/>
      </c>
      <c r="V465" s="173" t="str">
        <f>IFERROR(__xludf.DUMMYFUNCTION("""COMPUTED_VALUE"""),"End Stone Brick Slab")</f>
        <v>End Stone Brick Slab</v>
      </c>
      <c r="W465" s="174"/>
    </row>
    <row r="466">
      <c r="B466" s="175"/>
      <c r="R466" s="176"/>
      <c r="U466" s="172" t="str">
        <f>IFERROR(__xludf.DUMMYFUNCTION("""COMPUTED_VALUE"""),"")</f>
        <v/>
      </c>
      <c r="V466" s="173" t="str">
        <f>IFERROR(__xludf.DUMMYFUNCTION("""COMPUTED_VALUE"""),"End Stone Brick Stairs")</f>
        <v>End Stone Brick Stairs</v>
      </c>
      <c r="W466" s="174"/>
    </row>
    <row r="467">
      <c r="B467" s="175"/>
      <c r="R467" s="176"/>
      <c r="U467" s="172" t="str">
        <f>IFERROR(__xludf.DUMMYFUNCTION("""COMPUTED_VALUE"""),"")</f>
        <v/>
      </c>
      <c r="V467" s="173" t="str">
        <f>IFERROR(__xludf.DUMMYFUNCTION("""COMPUTED_VALUE"""),"End Stone Brick Wall")</f>
        <v>End Stone Brick Wall</v>
      </c>
      <c r="W467" s="174"/>
    </row>
    <row r="468">
      <c r="B468" s="175"/>
      <c r="R468" s="176"/>
      <c r="U468" s="172" t="str">
        <f>IFERROR(__xludf.DUMMYFUNCTION("""COMPUTED_VALUE"""),"")</f>
        <v/>
      </c>
      <c r="V468" s="173" t="str">
        <f>IFERROR(__xludf.DUMMYFUNCTION("""COMPUTED_VALUE"""),"End Stone Bricks")</f>
        <v>End Stone Bricks</v>
      </c>
      <c r="W468" s="174"/>
    </row>
    <row r="469">
      <c r="B469" s="175"/>
      <c r="R469" s="176"/>
      <c r="U469" s="172" t="str">
        <f>IFERROR(__xludf.DUMMYFUNCTION("""COMPUTED_VALUE"""),"")</f>
        <v/>
      </c>
      <c r="V469" s="173" t="str">
        <f>IFERROR(__xludf.DUMMYFUNCTION("""COMPUTED_VALUE"""),"Ender Chest")</f>
        <v>Ender Chest</v>
      </c>
      <c r="W469" s="174"/>
    </row>
    <row r="470">
      <c r="B470" s="175"/>
      <c r="R470" s="176"/>
      <c r="U470" s="172" t="str">
        <f>IFERROR(__xludf.DUMMYFUNCTION("""COMPUTED_VALUE"""),"")</f>
        <v/>
      </c>
      <c r="V470" s="173" t="str">
        <f>IFERROR(__xludf.DUMMYFUNCTION("""COMPUTED_VALUE"""),"Ender Eye")</f>
        <v>Ender Eye</v>
      </c>
      <c r="W470" s="174"/>
    </row>
    <row r="471">
      <c r="B471" s="175"/>
      <c r="R471" s="176"/>
      <c r="U471" s="172" t="str">
        <f>IFERROR(__xludf.DUMMYFUNCTION("""COMPUTED_VALUE"""),"")</f>
        <v/>
      </c>
      <c r="V471" s="173" t="str">
        <f>IFERROR(__xludf.DUMMYFUNCTION("""COMPUTED_VALUE"""),"Ender Pearl")</f>
        <v>Ender Pearl</v>
      </c>
      <c r="W471" s="174"/>
    </row>
    <row r="472">
      <c r="B472" s="175"/>
      <c r="R472" s="176"/>
      <c r="U472" s="172" t="str">
        <f>IFERROR(__xludf.DUMMYFUNCTION("""COMPUTED_VALUE"""),"")</f>
        <v/>
      </c>
      <c r="V472" s="173" t="str">
        <f>IFERROR(__xludf.DUMMYFUNCTION("""COMPUTED_VALUE"""),"Experience Bottle")</f>
        <v>Experience Bottle</v>
      </c>
      <c r="W472" s="174"/>
    </row>
    <row r="473">
      <c r="B473" s="175"/>
      <c r="R473" s="176"/>
      <c r="U473" s="172" t="str">
        <f>IFERROR(__xludf.DUMMYFUNCTION("""COMPUTED_VALUE"""),"")</f>
        <v/>
      </c>
      <c r="V473" s="173" t="str">
        <f>IFERROR(__xludf.DUMMYFUNCTION("""COMPUTED_VALUE"""),"Explorer Pottery Sherd")</f>
        <v>Explorer Pottery Sherd</v>
      </c>
      <c r="W473" s="174"/>
    </row>
    <row r="474">
      <c r="B474" s="175"/>
      <c r="R474" s="176"/>
      <c r="U474" s="172" t="str">
        <f>IFERROR(__xludf.DUMMYFUNCTION("""COMPUTED_VALUE"""),"")</f>
        <v/>
      </c>
      <c r="V474" s="173" t="str">
        <f>IFERROR(__xludf.DUMMYFUNCTION("""COMPUTED_VALUE"""),"Exposed Chiseled Copper")</f>
        <v>Exposed Chiseled Copper</v>
      </c>
      <c r="W474" s="174"/>
    </row>
    <row r="475">
      <c r="B475" s="175"/>
      <c r="R475" s="176"/>
      <c r="U475" s="172" t="str">
        <f>IFERROR(__xludf.DUMMYFUNCTION("""COMPUTED_VALUE"""),"")</f>
        <v/>
      </c>
      <c r="V475" s="173" t="str">
        <f>IFERROR(__xludf.DUMMYFUNCTION("""COMPUTED_VALUE"""),"Exposed Copper")</f>
        <v>Exposed Copper</v>
      </c>
      <c r="W475" s="174"/>
    </row>
    <row r="476">
      <c r="B476" s="175"/>
      <c r="R476" s="176"/>
      <c r="U476" s="172" t="str">
        <f>IFERROR(__xludf.DUMMYFUNCTION("""COMPUTED_VALUE"""),"")</f>
        <v/>
      </c>
      <c r="V476" s="173" t="str">
        <f>IFERROR(__xludf.DUMMYFUNCTION("""COMPUTED_VALUE"""),"Exposed Copper Bulb")</f>
        <v>Exposed Copper Bulb</v>
      </c>
      <c r="W476" s="174"/>
    </row>
    <row r="477">
      <c r="B477" s="175"/>
      <c r="R477" s="176"/>
      <c r="U477" s="172" t="str">
        <f>IFERROR(__xludf.DUMMYFUNCTION("""COMPUTED_VALUE"""),"")</f>
        <v/>
      </c>
      <c r="V477" s="173" t="str">
        <f>IFERROR(__xludf.DUMMYFUNCTION("""COMPUTED_VALUE"""),"Exposed Copper Door")</f>
        <v>Exposed Copper Door</v>
      </c>
      <c r="W477" s="174"/>
    </row>
    <row r="478">
      <c r="B478" s="175"/>
      <c r="R478" s="176"/>
      <c r="U478" s="172" t="str">
        <f>IFERROR(__xludf.DUMMYFUNCTION("""COMPUTED_VALUE"""),"")</f>
        <v/>
      </c>
      <c r="V478" s="173" t="str">
        <f>IFERROR(__xludf.DUMMYFUNCTION("""COMPUTED_VALUE"""),"Exposed Copper Grate")</f>
        <v>Exposed Copper Grate</v>
      </c>
      <c r="W478" s="174"/>
    </row>
    <row r="479">
      <c r="B479" s="175"/>
      <c r="R479" s="176"/>
      <c r="U479" s="172" t="str">
        <f>IFERROR(__xludf.DUMMYFUNCTION("""COMPUTED_VALUE"""),"")</f>
        <v/>
      </c>
      <c r="V479" s="173" t="str">
        <f>IFERROR(__xludf.DUMMYFUNCTION("""COMPUTED_VALUE"""),"Exposed Copper Trapdoor")</f>
        <v>Exposed Copper Trapdoor</v>
      </c>
      <c r="W479" s="174"/>
    </row>
    <row r="480">
      <c r="B480" s="175"/>
      <c r="R480" s="176"/>
      <c r="U480" s="172" t="str">
        <f>IFERROR(__xludf.DUMMYFUNCTION("""COMPUTED_VALUE"""),"")</f>
        <v/>
      </c>
      <c r="V480" s="173" t="str">
        <f>IFERROR(__xludf.DUMMYFUNCTION("""COMPUTED_VALUE"""),"Exposed Cut Copper")</f>
        <v>Exposed Cut Copper</v>
      </c>
      <c r="W480" s="174"/>
    </row>
    <row r="481">
      <c r="B481" s="175"/>
      <c r="R481" s="176"/>
      <c r="U481" s="172" t="str">
        <f>IFERROR(__xludf.DUMMYFUNCTION("""COMPUTED_VALUE"""),"")</f>
        <v/>
      </c>
      <c r="V481" s="173" t="str">
        <f>IFERROR(__xludf.DUMMYFUNCTION("""COMPUTED_VALUE"""),"Exposed Cut Copper Slab")</f>
        <v>Exposed Cut Copper Slab</v>
      </c>
      <c r="W481" s="174"/>
    </row>
    <row r="482">
      <c r="B482" s="175"/>
      <c r="R482" s="176"/>
      <c r="U482" s="172" t="str">
        <f>IFERROR(__xludf.DUMMYFUNCTION("""COMPUTED_VALUE"""),"")</f>
        <v/>
      </c>
      <c r="V482" s="173" t="str">
        <f>IFERROR(__xludf.DUMMYFUNCTION("""COMPUTED_VALUE"""),"Exposed Cut Copper Stairs")</f>
        <v>Exposed Cut Copper Stairs</v>
      </c>
      <c r="W482" s="174"/>
    </row>
    <row r="483">
      <c r="B483" s="175"/>
      <c r="R483" s="176"/>
      <c r="U483" s="172" t="str">
        <f>IFERROR(__xludf.DUMMYFUNCTION("""COMPUTED_VALUE"""),"")</f>
        <v/>
      </c>
      <c r="V483" s="173" t="str">
        <f>IFERROR(__xludf.DUMMYFUNCTION("""COMPUTED_VALUE"""),"Eye Armor Trim")</f>
        <v>Eye Armor Trim</v>
      </c>
      <c r="W483" s="174"/>
    </row>
    <row r="484">
      <c r="B484" s="175"/>
      <c r="R484" s="176"/>
      <c r="U484" s="172" t="str">
        <f>IFERROR(__xludf.DUMMYFUNCTION("""COMPUTED_VALUE"""),"")</f>
        <v/>
      </c>
      <c r="V484" s="173" t="str">
        <f>IFERROR(__xludf.DUMMYFUNCTION("""COMPUTED_VALUE"""),"Feather")</f>
        <v>Feather</v>
      </c>
      <c r="W484" s="174"/>
    </row>
    <row r="485">
      <c r="B485" s="175"/>
      <c r="R485" s="176"/>
      <c r="U485" s="172" t="str">
        <f>IFERROR(__xludf.DUMMYFUNCTION("""COMPUTED_VALUE"""),"")</f>
        <v/>
      </c>
      <c r="V485" s="173" t="str">
        <f>IFERROR(__xludf.DUMMYFUNCTION("""COMPUTED_VALUE"""),"Fermented Spider Eye")</f>
        <v>Fermented Spider Eye</v>
      </c>
      <c r="W485" s="174"/>
    </row>
    <row r="486">
      <c r="B486" s="175"/>
      <c r="R486" s="176"/>
      <c r="U486" s="172" t="str">
        <f>IFERROR(__xludf.DUMMYFUNCTION("""COMPUTED_VALUE"""),"")</f>
        <v/>
      </c>
      <c r="V486" s="173" t="str">
        <f>IFERROR(__xludf.DUMMYFUNCTION("""COMPUTED_VALUE"""),"Fern")</f>
        <v>Fern</v>
      </c>
      <c r="W486" s="174"/>
    </row>
    <row r="487">
      <c r="B487" s="175"/>
      <c r="R487" s="176"/>
      <c r="U487" s="172" t="str">
        <f>IFERROR(__xludf.DUMMYFUNCTION("""COMPUTED_VALUE"""),"")</f>
        <v/>
      </c>
      <c r="V487" s="173" t="str">
        <f>IFERROR(__xludf.DUMMYFUNCTION("""COMPUTED_VALUE"""),"Filled Map")</f>
        <v>Filled Map</v>
      </c>
      <c r="W487" s="174"/>
    </row>
    <row r="488">
      <c r="B488" s="175"/>
      <c r="R488" s="176"/>
      <c r="U488" s="172" t="str">
        <f>IFERROR(__xludf.DUMMYFUNCTION("""COMPUTED_VALUE"""),"")</f>
        <v/>
      </c>
      <c r="V488" s="173" t="str">
        <f>IFERROR(__xludf.DUMMYFUNCTION("""COMPUTED_VALUE"""),"Fire Charge")</f>
        <v>Fire Charge</v>
      </c>
      <c r="W488" s="174"/>
    </row>
    <row r="489">
      <c r="B489" s="175"/>
      <c r="R489" s="176"/>
      <c r="U489" s="172" t="str">
        <f>IFERROR(__xludf.DUMMYFUNCTION("""COMPUTED_VALUE"""),"")</f>
        <v/>
      </c>
      <c r="V489" s="173" t="str">
        <f>IFERROR(__xludf.DUMMYFUNCTION("""COMPUTED_VALUE"""),"Fire Coral")</f>
        <v>Fire Coral</v>
      </c>
      <c r="W489" s="174"/>
    </row>
    <row r="490">
      <c r="B490" s="175"/>
      <c r="R490" s="176"/>
      <c r="U490" s="172" t="str">
        <f>IFERROR(__xludf.DUMMYFUNCTION("""COMPUTED_VALUE"""),"")</f>
        <v/>
      </c>
      <c r="V490" s="173" t="str">
        <f>IFERROR(__xludf.DUMMYFUNCTION("""COMPUTED_VALUE"""),"Fire Coral Block")</f>
        <v>Fire Coral Block</v>
      </c>
      <c r="W490" s="174"/>
    </row>
    <row r="491">
      <c r="B491" s="175"/>
      <c r="R491" s="176"/>
      <c r="U491" s="172" t="str">
        <f>IFERROR(__xludf.DUMMYFUNCTION("""COMPUTED_VALUE"""),"")</f>
        <v/>
      </c>
      <c r="V491" s="173" t="str">
        <f>IFERROR(__xludf.DUMMYFUNCTION("""COMPUTED_VALUE"""),"Fire Coral Fan")</f>
        <v>Fire Coral Fan</v>
      </c>
      <c r="W491" s="174"/>
    </row>
    <row r="492">
      <c r="B492" s="175"/>
      <c r="R492" s="176"/>
      <c r="U492" s="172" t="str">
        <f>IFERROR(__xludf.DUMMYFUNCTION("""COMPUTED_VALUE"""),"")</f>
        <v/>
      </c>
      <c r="V492" s="173" t="str">
        <f>IFERROR(__xludf.DUMMYFUNCTION("""COMPUTED_VALUE"""),"Firework Rocket")</f>
        <v>Firework Rocket</v>
      </c>
      <c r="W492" s="174"/>
    </row>
    <row r="493">
      <c r="B493" s="175"/>
      <c r="R493" s="176"/>
      <c r="U493" s="172" t="str">
        <f>IFERROR(__xludf.DUMMYFUNCTION("""COMPUTED_VALUE"""),"")</f>
        <v/>
      </c>
      <c r="V493" s="173" t="str">
        <f>IFERROR(__xludf.DUMMYFUNCTION("""COMPUTED_VALUE"""),"Firework Star")</f>
        <v>Firework Star</v>
      </c>
      <c r="W493" s="174"/>
    </row>
    <row r="494">
      <c r="B494" s="175"/>
      <c r="R494" s="176"/>
      <c r="U494" s="172" t="str">
        <f>IFERROR(__xludf.DUMMYFUNCTION("""COMPUTED_VALUE"""),"")</f>
        <v/>
      </c>
      <c r="V494" s="173" t="str">
        <f>IFERROR(__xludf.DUMMYFUNCTION("""COMPUTED_VALUE"""),"Fishing Rod")</f>
        <v>Fishing Rod</v>
      </c>
      <c r="W494" s="174"/>
    </row>
    <row r="495">
      <c r="B495" s="175"/>
      <c r="R495" s="176"/>
      <c r="U495" s="172" t="str">
        <f>IFERROR(__xludf.DUMMYFUNCTION("""COMPUTED_VALUE"""),"")</f>
        <v/>
      </c>
      <c r="V495" s="173" t="str">
        <f>IFERROR(__xludf.DUMMYFUNCTION("""COMPUTED_VALUE"""),"Fletching Table")</f>
        <v>Fletching Table</v>
      </c>
      <c r="W495" s="174"/>
    </row>
    <row r="496">
      <c r="B496" s="175"/>
      <c r="R496" s="176"/>
      <c r="U496" s="172" t="str">
        <f>IFERROR(__xludf.DUMMYFUNCTION("""COMPUTED_VALUE"""),"")</f>
        <v/>
      </c>
      <c r="V496" s="173" t="str">
        <f>IFERROR(__xludf.DUMMYFUNCTION("""COMPUTED_VALUE"""),"Flint")</f>
        <v>Flint</v>
      </c>
      <c r="W496" s="174"/>
    </row>
    <row r="497">
      <c r="B497" s="175"/>
      <c r="R497" s="176"/>
      <c r="U497" s="172" t="str">
        <f>IFERROR(__xludf.DUMMYFUNCTION("""COMPUTED_VALUE"""),"")</f>
        <v/>
      </c>
      <c r="V497" s="173" t="str">
        <f>IFERROR(__xludf.DUMMYFUNCTION("""COMPUTED_VALUE"""),"Flint And Steel")</f>
        <v>Flint And Steel</v>
      </c>
      <c r="W497" s="174"/>
    </row>
    <row r="498">
      <c r="B498" s="175"/>
      <c r="R498" s="176"/>
      <c r="U498" s="172" t="str">
        <f>IFERROR(__xludf.DUMMYFUNCTION("""COMPUTED_VALUE"""),"")</f>
        <v/>
      </c>
      <c r="V498" s="173" t="str">
        <f>IFERROR(__xludf.DUMMYFUNCTION("""COMPUTED_VALUE"""),"Flow Armor Trim Smithing Template")</f>
        <v>Flow Armor Trim Smithing Template</v>
      </c>
      <c r="W498" s="174"/>
    </row>
    <row r="499">
      <c r="B499" s="175"/>
      <c r="R499" s="176"/>
      <c r="U499" s="172" t="str">
        <f>IFERROR(__xludf.DUMMYFUNCTION("""COMPUTED_VALUE"""),"")</f>
        <v/>
      </c>
      <c r="V499" s="173" t="str">
        <f>IFERROR(__xludf.DUMMYFUNCTION("""COMPUTED_VALUE"""),"Flow Banner Pattern")</f>
        <v>Flow Banner Pattern</v>
      </c>
      <c r="W499" s="174"/>
    </row>
    <row r="500">
      <c r="B500" s="175"/>
      <c r="R500" s="176"/>
      <c r="U500" s="172" t="str">
        <f>IFERROR(__xludf.DUMMYFUNCTION("""COMPUTED_VALUE"""),"")</f>
        <v/>
      </c>
      <c r="V500" s="173" t="str">
        <f>IFERROR(__xludf.DUMMYFUNCTION("""COMPUTED_VALUE"""),"Flow Pottery Sherd")</f>
        <v>Flow Pottery Sherd</v>
      </c>
      <c r="W500" s="174"/>
    </row>
    <row r="501">
      <c r="B501" s="175"/>
      <c r="R501" s="176"/>
      <c r="U501" s="172" t="str">
        <f>IFERROR(__xludf.DUMMYFUNCTION("""COMPUTED_VALUE"""),"")</f>
        <v/>
      </c>
      <c r="V501" s="173" t="str">
        <f>IFERROR(__xludf.DUMMYFUNCTION("""COMPUTED_VALUE"""),"Flower Banner Pattern")</f>
        <v>Flower Banner Pattern</v>
      </c>
      <c r="W501" s="174"/>
    </row>
    <row r="502">
      <c r="B502" s="175"/>
      <c r="R502" s="176"/>
      <c r="U502" s="172" t="str">
        <f>IFERROR(__xludf.DUMMYFUNCTION("""COMPUTED_VALUE"""),"")</f>
        <v/>
      </c>
      <c r="V502" s="173" t="str">
        <f>IFERROR(__xludf.DUMMYFUNCTION("""COMPUTED_VALUE"""),"Flower Pot")</f>
        <v>Flower Pot</v>
      </c>
      <c r="W502" s="174"/>
    </row>
    <row r="503">
      <c r="B503" s="175"/>
      <c r="R503" s="176"/>
      <c r="U503" s="172" t="str">
        <f>IFERROR(__xludf.DUMMYFUNCTION("""COMPUTED_VALUE"""),"")</f>
        <v/>
      </c>
      <c r="V503" s="173" t="str">
        <f>IFERROR(__xludf.DUMMYFUNCTION("""COMPUTED_VALUE"""),"Flowering Azalea")</f>
        <v>Flowering Azalea</v>
      </c>
      <c r="W503" s="174"/>
    </row>
    <row r="504">
      <c r="B504" s="175"/>
      <c r="R504" s="176"/>
      <c r="U504" s="172" t="str">
        <f>IFERROR(__xludf.DUMMYFUNCTION("""COMPUTED_VALUE"""),"")</f>
        <v/>
      </c>
      <c r="V504" s="173" t="str">
        <f>IFERROR(__xludf.DUMMYFUNCTION("""COMPUTED_VALUE"""),"Flowering Azalea Leaves")</f>
        <v>Flowering Azalea Leaves</v>
      </c>
      <c r="W504" s="174"/>
    </row>
    <row r="505">
      <c r="B505" s="175"/>
      <c r="R505" s="176"/>
      <c r="U505" s="172" t="str">
        <f>IFERROR(__xludf.DUMMYFUNCTION("""COMPUTED_VALUE"""),"")</f>
        <v/>
      </c>
      <c r="V505" s="173" t="str">
        <f>IFERROR(__xludf.DUMMYFUNCTION("""COMPUTED_VALUE"""),"Friend Pottery Sherd")</f>
        <v>Friend Pottery Sherd</v>
      </c>
      <c r="W505" s="174"/>
    </row>
    <row r="506">
      <c r="B506" s="175"/>
      <c r="R506" s="176"/>
      <c r="U506" s="172" t="str">
        <f>IFERROR(__xludf.DUMMYFUNCTION("""COMPUTED_VALUE"""),"")</f>
        <v/>
      </c>
      <c r="V506" s="173" t="str">
        <f>IFERROR(__xludf.DUMMYFUNCTION("""COMPUTED_VALUE"""),"Furnace")</f>
        <v>Furnace</v>
      </c>
      <c r="W506" s="174"/>
    </row>
    <row r="507">
      <c r="B507" s="175"/>
      <c r="R507" s="176"/>
      <c r="U507" s="172" t="str">
        <f>IFERROR(__xludf.DUMMYFUNCTION("""COMPUTED_VALUE"""),"")</f>
        <v/>
      </c>
      <c r="V507" s="173" t="str">
        <f>IFERROR(__xludf.DUMMYFUNCTION("""COMPUTED_VALUE"""),"Furnace Minecart")</f>
        <v>Furnace Minecart</v>
      </c>
      <c r="W507" s="174"/>
    </row>
    <row r="508">
      <c r="B508" s="175"/>
      <c r="R508" s="176"/>
      <c r="U508" s="172" t="str">
        <f>IFERROR(__xludf.DUMMYFUNCTION("""COMPUTED_VALUE"""),"")</f>
        <v/>
      </c>
      <c r="V508" s="173" t="str">
        <f>IFERROR(__xludf.DUMMYFUNCTION("""COMPUTED_VALUE"""),"Ghast Tear")</f>
        <v>Ghast Tear</v>
      </c>
      <c r="W508" s="174"/>
    </row>
    <row r="509">
      <c r="B509" s="175"/>
      <c r="R509" s="176"/>
      <c r="U509" s="172" t="str">
        <f>IFERROR(__xludf.DUMMYFUNCTION("""COMPUTED_VALUE"""),"")</f>
        <v/>
      </c>
      <c r="V509" s="173" t="str">
        <f>IFERROR(__xludf.DUMMYFUNCTION("""COMPUTED_VALUE"""),"Gilded Blackstone")</f>
        <v>Gilded Blackstone</v>
      </c>
      <c r="W509" s="174"/>
    </row>
    <row r="510">
      <c r="B510" s="175"/>
      <c r="R510" s="176"/>
      <c r="U510" s="172" t="str">
        <f>IFERROR(__xludf.DUMMYFUNCTION("""COMPUTED_VALUE"""),"")</f>
        <v/>
      </c>
      <c r="V510" s="173" t="str">
        <f>IFERROR(__xludf.DUMMYFUNCTION("""COMPUTED_VALUE"""),"Glass")</f>
        <v>Glass</v>
      </c>
      <c r="W510" s="174"/>
    </row>
    <row r="511">
      <c r="B511" s="175"/>
      <c r="R511" s="176"/>
      <c r="U511" s="172" t="str">
        <f>IFERROR(__xludf.DUMMYFUNCTION("""COMPUTED_VALUE"""),"")</f>
        <v/>
      </c>
      <c r="V511" s="173" t="str">
        <f>IFERROR(__xludf.DUMMYFUNCTION("""COMPUTED_VALUE"""),"Glass Bottle")</f>
        <v>Glass Bottle</v>
      </c>
      <c r="W511" s="174"/>
    </row>
    <row r="512">
      <c r="B512" s="175"/>
      <c r="R512" s="176"/>
      <c r="U512" s="172" t="str">
        <f>IFERROR(__xludf.DUMMYFUNCTION("""COMPUTED_VALUE"""),"")</f>
        <v/>
      </c>
      <c r="V512" s="173" t="str">
        <f>IFERROR(__xludf.DUMMYFUNCTION("""COMPUTED_VALUE"""),"Glass Pane")</f>
        <v>Glass Pane</v>
      </c>
      <c r="W512" s="174"/>
    </row>
    <row r="513">
      <c r="B513" s="175"/>
      <c r="R513" s="176"/>
      <c r="U513" s="172" t="str">
        <f>IFERROR(__xludf.DUMMYFUNCTION("""COMPUTED_VALUE"""),"")</f>
        <v/>
      </c>
      <c r="V513" s="173" t="str">
        <f>IFERROR(__xludf.DUMMYFUNCTION("""COMPUTED_VALUE"""),"Glistering Melon Slice")</f>
        <v>Glistering Melon Slice</v>
      </c>
      <c r="W513" s="174"/>
    </row>
    <row r="514">
      <c r="B514" s="175"/>
      <c r="R514" s="176"/>
      <c r="U514" s="172" t="str">
        <f>IFERROR(__xludf.DUMMYFUNCTION("""COMPUTED_VALUE"""),"")</f>
        <v/>
      </c>
      <c r="V514" s="173" t="str">
        <f>IFERROR(__xludf.DUMMYFUNCTION("""COMPUTED_VALUE"""),"Globe Banner Pattern")</f>
        <v>Globe Banner Pattern</v>
      </c>
      <c r="W514" s="174"/>
    </row>
    <row r="515">
      <c r="B515" s="175"/>
      <c r="R515" s="176"/>
      <c r="U515" s="172" t="str">
        <f>IFERROR(__xludf.DUMMYFUNCTION("""COMPUTED_VALUE"""),"")</f>
        <v/>
      </c>
      <c r="V515" s="173" t="str">
        <f>IFERROR(__xludf.DUMMYFUNCTION("""COMPUTED_VALUE"""),"Glow Berries")</f>
        <v>Glow Berries</v>
      </c>
      <c r="W515" s="174"/>
    </row>
    <row r="516">
      <c r="B516" s="175"/>
      <c r="R516" s="176"/>
      <c r="U516" s="172" t="str">
        <f>IFERROR(__xludf.DUMMYFUNCTION("""COMPUTED_VALUE"""),"")</f>
        <v/>
      </c>
      <c r="V516" s="173" t="str">
        <f>IFERROR(__xludf.DUMMYFUNCTION("""COMPUTED_VALUE"""),"Glow Ink Sac")</f>
        <v>Glow Ink Sac</v>
      </c>
      <c r="W516" s="174"/>
    </row>
    <row r="517">
      <c r="B517" s="175"/>
      <c r="R517" s="176"/>
      <c r="U517" s="172" t="str">
        <f>IFERROR(__xludf.DUMMYFUNCTION("""COMPUTED_VALUE"""),"")</f>
        <v/>
      </c>
      <c r="V517" s="173" t="str">
        <f>IFERROR(__xludf.DUMMYFUNCTION("""COMPUTED_VALUE"""),"Glow Item Frame")</f>
        <v>Glow Item Frame</v>
      </c>
      <c r="W517" s="174"/>
    </row>
    <row r="518">
      <c r="B518" s="175"/>
      <c r="R518" s="176"/>
      <c r="U518" s="172" t="str">
        <f>IFERROR(__xludf.DUMMYFUNCTION("""COMPUTED_VALUE"""),"")</f>
        <v/>
      </c>
      <c r="V518" s="173" t="str">
        <f>IFERROR(__xludf.DUMMYFUNCTION("""COMPUTED_VALUE"""),"Glow Lichen")</f>
        <v>Glow Lichen</v>
      </c>
      <c r="W518" s="174"/>
    </row>
    <row r="519">
      <c r="B519" s="175"/>
      <c r="R519" s="176"/>
      <c r="U519" s="172" t="str">
        <f>IFERROR(__xludf.DUMMYFUNCTION("""COMPUTED_VALUE"""),"")</f>
        <v/>
      </c>
      <c r="V519" s="173" t="str">
        <f>IFERROR(__xludf.DUMMYFUNCTION("""COMPUTED_VALUE"""),"Glowstone")</f>
        <v>Glowstone</v>
      </c>
      <c r="W519" s="174"/>
    </row>
    <row r="520">
      <c r="B520" s="175"/>
      <c r="R520" s="176"/>
      <c r="U520" s="172" t="str">
        <f>IFERROR(__xludf.DUMMYFUNCTION("""COMPUTED_VALUE"""),"")</f>
        <v/>
      </c>
      <c r="V520" s="173" t="str">
        <f>IFERROR(__xludf.DUMMYFUNCTION("""COMPUTED_VALUE"""),"Glowstone Dust")</f>
        <v>Glowstone Dust</v>
      </c>
      <c r="W520" s="174"/>
    </row>
    <row r="521">
      <c r="B521" s="175"/>
      <c r="R521" s="176"/>
      <c r="U521" s="172" t="str">
        <f>IFERROR(__xludf.DUMMYFUNCTION("""COMPUTED_VALUE"""),"")</f>
        <v/>
      </c>
      <c r="V521" s="173" t="str">
        <f>IFERROR(__xludf.DUMMYFUNCTION("""COMPUTED_VALUE"""),"Goat Horn")</f>
        <v>Goat Horn</v>
      </c>
      <c r="W521" s="174"/>
    </row>
    <row r="522">
      <c r="B522" s="175"/>
      <c r="R522" s="176"/>
      <c r="U522" s="172" t="str">
        <f>IFERROR(__xludf.DUMMYFUNCTION("""COMPUTED_VALUE"""),"")</f>
        <v/>
      </c>
      <c r="V522" s="173" t="str">
        <f>IFERROR(__xludf.DUMMYFUNCTION("""COMPUTED_VALUE"""),"Gold Block")</f>
        <v>Gold Block</v>
      </c>
      <c r="W522" s="174"/>
    </row>
    <row r="523">
      <c r="B523" s="175"/>
      <c r="R523" s="176"/>
      <c r="U523" s="172" t="str">
        <f>IFERROR(__xludf.DUMMYFUNCTION("""COMPUTED_VALUE"""),"")</f>
        <v/>
      </c>
      <c r="V523" s="173" t="str">
        <f>IFERROR(__xludf.DUMMYFUNCTION("""COMPUTED_VALUE"""),"Gold Ingot")</f>
        <v>Gold Ingot</v>
      </c>
      <c r="W523" s="174"/>
    </row>
    <row r="524">
      <c r="B524" s="175"/>
      <c r="R524" s="176"/>
      <c r="U524" s="172" t="str">
        <f>IFERROR(__xludf.DUMMYFUNCTION("""COMPUTED_VALUE"""),"")</f>
        <v/>
      </c>
      <c r="V524" s="173" t="str">
        <f>IFERROR(__xludf.DUMMYFUNCTION("""COMPUTED_VALUE"""),"Gold Nugget")</f>
        <v>Gold Nugget</v>
      </c>
      <c r="W524" s="174"/>
    </row>
    <row r="525">
      <c r="B525" s="175"/>
      <c r="R525" s="176"/>
      <c r="U525" s="172" t="str">
        <f>IFERROR(__xludf.DUMMYFUNCTION("""COMPUTED_VALUE"""),"")</f>
        <v/>
      </c>
      <c r="V525" s="173" t="str">
        <f>IFERROR(__xludf.DUMMYFUNCTION("""COMPUTED_VALUE"""),"Gold Ore")</f>
        <v>Gold Ore</v>
      </c>
      <c r="W525" s="174"/>
    </row>
    <row r="526">
      <c r="B526" s="175"/>
      <c r="R526" s="176"/>
      <c r="U526" s="172" t="str">
        <f>IFERROR(__xludf.DUMMYFUNCTION("""COMPUTED_VALUE"""),"")</f>
        <v/>
      </c>
      <c r="V526" s="173" t="str">
        <f>IFERROR(__xludf.DUMMYFUNCTION("""COMPUTED_VALUE"""),"Golden Apple")</f>
        <v>Golden Apple</v>
      </c>
      <c r="W526" s="174"/>
    </row>
    <row r="527">
      <c r="B527" s="175"/>
      <c r="R527" s="176"/>
      <c r="U527" s="172" t="str">
        <f>IFERROR(__xludf.DUMMYFUNCTION("""COMPUTED_VALUE"""),"")</f>
        <v/>
      </c>
      <c r="V527" s="173" t="str">
        <f>IFERROR(__xludf.DUMMYFUNCTION("""COMPUTED_VALUE"""),"Golden Axe")</f>
        <v>Golden Axe</v>
      </c>
      <c r="W527" s="174"/>
    </row>
    <row r="528">
      <c r="B528" s="175"/>
      <c r="R528" s="176"/>
      <c r="U528" s="172" t="str">
        <f>IFERROR(__xludf.DUMMYFUNCTION("""COMPUTED_VALUE"""),"")</f>
        <v/>
      </c>
      <c r="V528" s="173" t="str">
        <f>IFERROR(__xludf.DUMMYFUNCTION("""COMPUTED_VALUE"""),"Golden Boots")</f>
        <v>Golden Boots</v>
      </c>
      <c r="W528" s="174"/>
    </row>
    <row r="529">
      <c r="B529" s="175"/>
      <c r="R529" s="176"/>
      <c r="U529" s="172" t="str">
        <f>IFERROR(__xludf.DUMMYFUNCTION("""COMPUTED_VALUE"""),"")</f>
        <v/>
      </c>
      <c r="V529" s="173" t="str">
        <f>IFERROR(__xludf.DUMMYFUNCTION("""COMPUTED_VALUE"""),"Golden Carrot")</f>
        <v>Golden Carrot</v>
      </c>
      <c r="W529" s="174"/>
    </row>
    <row r="530">
      <c r="B530" s="175"/>
      <c r="R530" s="176"/>
      <c r="U530" s="172" t="str">
        <f>IFERROR(__xludf.DUMMYFUNCTION("""COMPUTED_VALUE"""),"")</f>
        <v/>
      </c>
      <c r="V530" s="173" t="str">
        <f>IFERROR(__xludf.DUMMYFUNCTION("""COMPUTED_VALUE"""),"Golden Chestplate")</f>
        <v>Golden Chestplate</v>
      </c>
      <c r="W530" s="174"/>
    </row>
    <row r="531">
      <c r="B531" s="175"/>
      <c r="R531" s="176"/>
      <c r="U531" s="172" t="str">
        <f>IFERROR(__xludf.DUMMYFUNCTION("""COMPUTED_VALUE"""),"")</f>
        <v/>
      </c>
      <c r="V531" s="173" t="str">
        <f>IFERROR(__xludf.DUMMYFUNCTION("""COMPUTED_VALUE"""),"Golden Helmet")</f>
        <v>Golden Helmet</v>
      </c>
      <c r="W531" s="174"/>
    </row>
    <row r="532">
      <c r="B532" s="175"/>
      <c r="R532" s="176"/>
      <c r="U532" s="172" t="str">
        <f>IFERROR(__xludf.DUMMYFUNCTION("""COMPUTED_VALUE"""),"")</f>
        <v/>
      </c>
      <c r="V532" s="173" t="str">
        <f>IFERROR(__xludf.DUMMYFUNCTION("""COMPUTED_VALUE"""),"Golden Hoe")</f>
        <v>Golden Hoe</v>
      </c>
      <c r="W532" s="174"/>
    </row>
    <row r="533">
      <c r="B533" s="175"/>
      <c r="R533" s="176"/>
      <c r="U533" s="172" t="str">
        <f>IFERROR(__xludf.DUMMYFUNCTION("""COMPUTED_VALUE"""),"")</f>
        <v/>
      </c>
      <c r="V533" s="173" t="str">
        <f>IFERROR(__xludf.DUMMYFUNCTION("""COMPUTED_VALUE"""),"Golden Horse Armor")</f>
        <v>Golden Horse Armor</v>
      </c>
      <c r="W533" s="174"/>
    </row>
    <row r="534">
      <c r="B534" s="175"/>
      <c r="R534" s="176"/>
      <c r="U534" s="172" t="str">
        <f>IFERROR(__xludf.DUMMYFUNCTION("""COMPUTED_VALUE"""),"")</f>
        <v/>
      </c>
      <c r="V534" s="173" t="str">
        <f>IFERROR(__xludf.DUMMYFUNCTION("""COMPUTED_VALUE"""),"Golden Leggings")</f>
        <v>Golden Leggings</v>
      </c>
      <c r="W534" s="174"/>
    </row>
    <row r="535">
      <c r="B535" s="175"/>
      <c r="R535" s="176"/>
      <c r="U535" s="172" t="str">
        <f>IFERROR(__xludf.DUMMYFUNCTION("""COMPUTED_VALUE"""),"")</f>
        <v/>
      </c>
      <c r="V535" s="173" t="str">
        <f>IFERROR(__xludf.DUMMYFUNCTION("""COMPUTED_VALUE"""),"Golden Pickaxe")</f>
        <v>Golden Pickaxe</v>
      </c>
      <c r="W535" s="174"/>
    </row>
    <row r="536">
      <c r="B536" s="175"/>
      <c r="R536" s="176"/>
      <c r="U536" s="172" t="str">
        <f>IFERROR(__xludf.DUMMYFUNCTION("""COMPUTED_VALUE"""),"")</f>
        <v/>
      </c>
      <c r="V536" s="173" t="str">
        <f>IFERROR(__xludf.DUMMYFUNCTION("""COMPUTED_VALUE"""),"Golden Shovel")</f>
        <v>Golden Shovel</v>
      </c>
      <c r="W536" s="174"/>
    </row>
    <row r="537">
      <c r="B537" s="175"/>
      <c r="R537" s="176"/>
      <c r="U537" s="172" t="str">
        <f>IFERROR(__xludf.DUMMYFUNCTION("""COMPUTED_VALUE"""),"")</f>
        <v/>
      </c>
      <c r="V537" s="173" t="str">
        <f>IFERROR(__xludf.DUMMYFUNCTION("""COMPUTED_VALUE"""),"Golden Sword")</f>
        <v>Golden Sword</v>
      </c>
      <c r="W537" s="174"/>
    </row>
    <row r="538">
      <c r="B538" s="175"/>
      <c r="R538" s="176"/>
      <c r="U538" s="172" t="str">
        <f>IFERROR(__xludf.DUMMYFUNCTION("""COMPUTED_VALUE"""),"")</f>
        <v/>
      </c>
      <c r="V538" s="173" t="str">
        <f>IFERROR(__xludf.DUMMYFUNCTION("""COMPUTED_VALUE"""),"Granite")</f>
        <v>Granite</v>
      </c>
      <c r="W538" s="174"/>
    </row>
    <row r="539">
      <c r="B539" s="175"/>
      <c r="R539" s="176"/>
      <c r="U539" s="172" t="str">
        <f>IFERROR(__xludf.DUMMYFUNCTION("""COMPUTED_VALUE"""),"")</f>
        <v/>
      </c>
      <c r="V539" s="173" t="str">
        <f>IFERROR(__xludf.DUMMYFUNCTION("""COMPUTED_VALUE"""),"Granite Slab")</f>
        <v>Granite Slab</v>
      </c>
      <c r="W539" s="174"/>
    </row>
    <row r="540">
      <c r="B540" s="175"/>
      <c r="R540" s="176"/>
      <c r="U540" s="172" t="str">
        <f>IFERROR(__xludf.DUMMYFUNCTION("""COMPUTED_VALUE"""),"")</f>
        <v/>
      </c>
      <c r="V540" s="173" t="str">
        <f>IFERROR(__xludf.DUMMYFUNCTION("""COMPUTED_VALUE"""),"Granite Stairs")</f>
        <v>Granite Stairs</v>
      </c>
      <c r="W540" s="174"/>
    </row>
    <row r="541">
      <c r="B541" s="175"/>
      <c r="R541" s="176"/>
      <c r="U541" s="172" t="str">
        <f>IFERROR(__xludf.DUMMYFUNCTION("""COMPUTED_VALUE"""),"")</f>
        <v/>
      </c>
      <c r="V541" s="173" t="str">
        <f>IFERROR(__xludf.DUMMYFUNCTION("""COMPUTED_VALUE"""),"Granite Wall")</f>
        <v>Granite Wall</v>
      </c>
      <c r="W541" s="174"/>
    </row>
    <row r="542">
      <c r="B542" s="175"/>
      <c r="R542" s="176"/>
      <c r="U542" s="172" t="str">
        <f>IFERROR(__xludf.DUMMYFUNCTION("""COMPUTED_VALUE"""),"")</f>
        <v/>
      </c>
      <c r="V542" s="173" t="str">
        <f>IFERROR(__xludf.DUMMYFUNCTION("""COMPUTED_VALUE"""),"Grass")</f>
        <v>Grass</v>
      </c>
      <c r="W542" s="174"/>
    </row>
    <row r="543">
      <c r="B543" s="175"/>
      <c r="R543" s="176"/>
      <c r="U543" s="172" t="str">
        <f>IFERROR(__xludf.DUMMYFUNCTION("""COMPUTED_VALUE"""),"")</f>
        <v/>
      </c>
      <c r="V543" s="173" t="str">
        <f>IFERROR(__xludf.DUMMYFUNCTION("""COMPUTED_VALUE"""),"Grass Block")</f>
        <v>Grass Block</v>
      </c>
      <c r="W543" s="174"/>
    </row>
    <row r="544">
      <c r="B544" s="175"/>
      <c r="R544" s="176"/>
      <c r="U544" s="172" t="str">
        <f>IFERROR(__xludf.DUMMYFUNCTION("""COMPUTED_VALUE"""),"")</f>
        <v/>
      </c>
      <c r="V544" s="173" t="str">
        <f>IFERROR(__xludf.DUMMYFUNCTION("""COMPUTED_VALUE"""),"Gravel")</f>
        <v>Gravel</v>
      </c>
      <c r="W544" s="174"/>
    </row>
    <row r="545">
      <c r="B545" s="175"/>
      <c r="R545" s="176"/>
      <c r="U545" s="172" t="str">
        <f>IFERROR(__xludf.DUMMYFUNCTION("""COMPUTED_VALUE"""),"")</f>
        <v/>
      </c>
      <c r="V545" s="173" t="str">
        <f>IFERROR(__xludf.DUMMYFUNCTION("""COMPUTED_VALUE"""),"Gray Banner")</f>
        <v>Gray Banner</v>
      </c>
      <c r="W545" s="174"/>
    </row>
    <row r="546">
      <c r="B546" s="175"/>
      <c r="R546" s="176"/>
      <c r="U546" s="172" t="str">
        <f>IFERROR(__xludf.DUMMYFUNCTION("""COMPUTED_VALUE"""),"")</f>
        <v/>
      </c>
      <c r="V546" s="173" t="str">
        <f>IFERROR(__xludf.DUMMYFUNCTION("""COMPUTED_VALUE"""),"Gray Bed")</f>
        <v>Gray Bed</v>
      </c>
      <c r="W546" s="174"/>
    </row>
    <row r="547">
      <c r="B547" s="175"/>
      <c r="R547" s="176"/>
      <c r="U547" s="172" t="str">
        <f>IFERROR(__xludf.DUMMYFUNCTION("""COMPUTED_VALUE"""),"")</f>
        <v/>
      </c>
      <c r="V547" s="173" t="str">
        <f>IFERROR(__xludf.DUMMYFUNCTION("""COMPUTED_VALUE"""),"Gray Candle")</f>
        <v>Gray Candle</v>
      </c>
      <c r="W547" s="174"/>
    </row>
    <row r="548">
      <c r="B548" s="175"/>
      <c r="R548" s="176"/>
      <c r="U548" s="172" t="str">
        <f>IFERROR(__xludf.DUMMYFUNCTION("""COMPUTED_VALUE"""),"")</f>
        <v/>
      </c>
      <c r="V548" s="173" t="str">
        <f>IFERROR(__xludf.DUMMYFUNCTION("""COMPUTED_VALUE"""),"Gray Carpet")</f>
        <v>Gray Carpet</v>
      </c>
      <c r="W548" s="174"/>
    </row>
    <row r="549">
      <c r="B549" s="175"/>
      <c r="R549" s="176"/>
      <c r="U549" s="172" t="str">
        <f>IFERROR(__xludf.DUMMYFUNCTION("""COMPUTED_VALUE"""),"")</f>
        <v/>
      </c>
      <c r="V549" s="173" t="str">
        <f>IFERROR(__xludf.DUMMYFUNCTION("""COMPUTED_VALUE"""),"Gray Concrete")</f>
        <v>Gray Concrete</v>
      </c>
      <c r="W549" s="174"/>
    </row>
    <row r="550">
      <c r="B550" s="175"/>
      <c r="R550" s="176"/>
      <c r="U550" s="172" t="str">
        <f>IFERROR(__xludf.DUMMYFUNCTION("""COMPUTED_VALUE"""),"")</f>
        <v/>
      </c>
      <c r="V550" s="173" t="str">
        <f>IFERROR(__xludf.DUMMYFUNCTION("""COMPUTED_VALUE"""),"Gray Concrete Powder")</f>
        <v>Gray Concrete Powder</v>
      </c>
      <c r="W550" s="174"/>
    </row>
    <row r="551">
      <c r="B551" s="175"/>
      <c r="R551" s="176"/>
      <c r="U551" s="172" t="str">
        <f>IFERROR(__xludf.DUMMYFUNCTION("""COMPUTED_VALUE"""),"")</f>
        <v/>
      </c>
      <c r="V551" s="173" t="str">
        <f>IFERROR(__xludf.DUMMYFUNCTION("""COMPUTED_VALUE"""),"Gray Dye")</f>
        <v>Gray Dye</v>
      </c>
      <c r="W551" s="174"/>
    </row>
    <row r="552">
      <c r="B552" s="175"/>
      <c r="R552" s="176"/>
      <c r="U552" s="172" t="str">
        <f>IFERROR(__xludf.DUMMYFUNCTION("""COMPUTED_VALUE"""),"")</f>
        <v/>
      </c>
      <c r="V552" s="173" t="str">
        <f>IFERROR(__xludf.DUMMYFUNCTION("""COMPUTED_VALUE"""),"Gray Glazed Terracotta")</f>
        <v>Gray Glazed Terracotta</v>
      </c>
      <c r="W552" s="174"/>
    </row>
    <row r="553">
      <c r="B553" s="175"/>
      <c r="R553" s="176"/>
      <c r="U553" s="172" t="str">
        <f>IFERROR(__xludf.DUMMYFUNCTION("""COMPUTED_VALUE"""),"")</f>
        <v/>
      </c>
      <c r="V553" s="173" t="str">
        <f>IFERROR(__xludf.DUMMYFUNCTION("""COMPUTED_VALUE"""),"Gray Shulker Box")</f>
        <v>Gray Shulker Box</v>
      </c>
      <c r="W553" s="174"/>
    </row>
    <row r="554">
      <c r="B554" s="175"/>
      <c r="R554" s="176"/>
      <c r="U554" s="172" t="str">
        <f>IFERROR(__xludf.DUMMYFUNCTION("""COMPUTED_VALUE"""),"")</f>
        <v/>
      </c>
      <c r="V554" s="173" t="str">
        <f>IFERROR(__xludf.DUMMYFUNCTION("""COMPUTED_VALUE"""),"Gray Stained Glass")</f>
        <v>Gray Stained Glass</v>
      </c>
      <c r="W554" s="174"/>
    </row>
    <row r="555">
      <c r="B555" s="175"/>
      <c r="R555" s="176"/>
      <c r="U555" s="172" t="str">
        <f>IFERROR(__xludf.DUMMYFUNCTION("""COMPUTED_VALUE"""),"")</f>
        <v/>
      </c>
      <c r="V555" s="173" t="str">
        <f>IFERROR(__xludf.DUMMYFUNCTION("""COMPUTED_VALUE"""),"Gray Stained Glass Pane")</f>
        <v>Gray Stained Glass Pane</v>
      </c>
      <c r="W555" s="174"/>
    </row>
    <row r="556">
      <c r="B556" s="175"/>
      <c r="R556" s="176"/>
      <c r="U556" s="172" t="str">
        <f>IFERROR(__xludf.DUMMYFUNCTION("""COMPUTED_VALUE"""),"")</f>
        <v/>
      </c>
      <c r="V556" s="173" t="str">
        <f>IFERROR(__xludf.DUMMYFUNCTION("""COMPUTED_VALUE"""),"Gray Terracotta")</f>
        <v>Gray Terracotta</v>
      </c>
      <c r="W556" s="174"/>
    </row>
    <row r="557">
      <c r="B557" s="175"/>
      <c r="R557" s="176"/>
      <c r="U557" s="172" t="str">
        <f>IFERROR(__xludf.DUMMYFUNCTION("""COMPUTED_VALUE"""),"")</f>
        <v/>
      </c>
      <c r="V557" s="173" t="str">
        <f>IFERROR(__xludf.DUMMYFUNCTION("""COMPUTED_VALUE"""),"Gray Wool")</f>
        <v>Gray Wool</v>
      </c>
      <c r="W557" s="174"/>
    </row>
    <row r="558">
      <c r="B558" s="175"/>
      <c r="R558" s="176"/>
      <c r="U558" s="172" t="str">
        <f>IFERROR(__xludf.DUMMYFUNCTION("""COMPUTED_VALUE"""),"")</f>
        <v/>
      </c>
      <c r="V558" s="173" t="str">
        <f>IFERROR(__xludf.DUMMYFUNCTION("""COMPUTED_VALUE"""),"Green Banner")</f>
        <v>Green Banner</v>
      </c>
      <c r="W558" s="174"/>
    </row>
    <row r="559">
      <c r="B559" s="175"/>
      <c r="R559" s="176"/>
      <c r="U559" s="172" t="str">
        <f>IFERROR(__xludf.DUMMYFUNCTION("""COMPUTED_VALUE"""),"")</f>
        <v/>
      </c>
      <c r="V559" s="173" t="str">
        <f>IFERROR(__xludf.DUMMYFUNCTION("""COMPUTED_VALUE"""),"Green Bed")</f>
        <v>Green Bed</v>
      </c>
      <c r="W559" s="174"/>
    </row>
    <row r="560">
      <c r="B560" s="175"/>
      <c r="R560" s="176"/>
      <c r="U560" s="172" t="str">
        <f>IFERROR(__xludf.DUMMYFUNCTION("""COMPUTED_VALUE"""),"")</f>
        <v/>
      </c>
      <c r="V560" s="173" t="str">
        <f>IFERROR(__xludf.DUMMYFUNCTION("""COMPUTED_VALUE"""),"Green Candle")</f>
        <v>Green Candle</v>
      </c>
      <c r="W560" s="174"/>
    </row>
    <row r="561">
      <c r="B561" s="175"/>
      <c r="R561" s="176"/>
      <c r="U561" s="172" t="str">
        <f>IFERROR(__xludf.DUMMYFUNCTION("""COMPUTED_VALUE"""),"")</f>
        <v/>
      </c>
      <c r="V561" s="173" t="str">
        <f>IFERROR(__xludf.DUMMYFUNCTION("""COMPUTED_VALUE"""),"Green Carpet")</f>
        <v>Green Carpet</v>
      </c>
      <c r="W561" s="174"/>
    </row>
    <row r="562">
      <c r="B562" s="175"/>
      <c r="R562" s="176"/>
      <c r="U562" s="172" t="str">
        <f>IFERROR(__xludf.DUMMYFUNCTION("""COMPUTED_VALUE"""),"")</f>
        <v/>
      </c>
      <c r="V562" s="173" t="str">
        <f>IFERROR(__xludf.DUMMYFUNCTION("""COMPUTED_VALUE"""),"Green Concrete")</f>
        <v>Green Concrete</v>
      </c>
      <c r="W562" s="174"/>
    </row>
    <row r="563">
      <c r="B563" s="175"/>
      <c r="R563" s="176"/>
      <c r="U563" s="172" t="str">
        <f>IFERROR(__xludf.DUMMYFUNCTION("""COMPUTED_VALUE"""),"")</f>
        <v/>
      </c>
      <c r="V563" s="173" t="str">
        <f>IFERROR(__xludf.DUMMYFUNCTION("""COMPUTED_VALUE"""),"Green Concrete Powder")</f>
        <v>Green Concrete Powder</v>
      </c>
      <c r="W563" s="174"/>
    </row>
    <row r="564">
      <c r="B564" s="175"/>
      <c r="R564" s="176"/>
      <c r="U564" s="172" t="str">
        <f>IFERROR(__xludf.DUMMYFUNCTION("""COMPUTED_VALUE"""),"")</f>
        <v/>
      </c>
      <c r="V564" s="173" t="str">
        <f>IFERROR(__xludf.DUMMYFUNCTION("""COMPUTED_VALUE"""),"Green Dye")</f>
        <v>Green Dye</v>
      </c>
      <c r="W564" s="174"/>
    </row>
    <row r="565">
      <c r="B565" s="175"/>
      <c r="R565" s="176"/>
      <c r="U565" s="172" t="str">
        <f>IFERROR(__xludf.DUMMYFUNCTION("""COMPUTED_VALUE"""),"")</f>
        <v/>
      </c>
      <c r="V565" s="173" t="str">
        <f>IFERROR(__xludf.DUMMYFUNCTION("""COMPUTED_VALUE"""),"Green Glazed Terracotta")</f>
        <v>Green Glazed Terracotta</v>
      </c>
      <c r="W565" s="174"/>
    </row>
    <row r="566">
      <c r="B566" s="175"/>
      <c r="R566" s="176"/>
      <c r="U566" s="172" t="str">
        <f>IFERROR(__xludf.DUMMYFUNCTION("""COMPUTED_VALUE"""),"")</f>
        <v/>
      </c>
      <c r="V566" s="173" t="str">
        <f>IFERROR(__xludf.DUMMYFUNCTION("""COMPUTED_VALUE"""),"Green Shulker Box")</f>
        <v>Green Shulker Box</v>
      </c>
      <c r="W566" s="174"/>
    </row>
    <row r="567">
      <c r="B567" s="175"/>
      <c r="R567" s="176"/>
      <c r="U567" s="172" t="str">
        <f>IFERROR(__xludf.DUMMYFUNCTION("""COMPUTED_VALUE"""),"")</f>
        <v/>
      </c>
      <c r="V567" s="173" t="str">
        <f>IFERROR(__xludf.DUMMYFUNCTION("""COMPUTED_VALUE"""),"Green Stained Glass")</f>
        <v>Green Stained Glass</v>
      </c>
      <c r="W567" s="174"/>
    </row>
    <row r="568">
      <c r="B568" s="175"/>
      <c r="R568" s="176"/>
      <c r="U568" s="172" t="str">
        <f>IFERROR(__xludf.DUMMYFUNCTION("""COMPUTED_VALUE"""),"")</f>
        <v/>
      </c>
      <c r="V568" s="173" t="str">
        <f>IFERROR(__xludf.DUMMYFUNCTION("""COMPUTED_VALUE"""),"Green Stained Glass Pane")</f>
        <v>Green Stained Glass Pane</v>
      </c>
      <c r="W568" s="174"/>
    </row>
    <row r="569">
      <c r="B569" s="175"/>
      <c r="R569" s="176"/>
      <c r="U569" s="172" t="str">
        <f>IFERROR(__xludf.DUMMYFUNCTION("""COMPUTED_VALUE"""),"")</f>
        <v/>
      </c>
      <c r="V569" s="173" t="str">
        <f>IFERROR(__xludf.DUMMYFUNCTION("""COMPUTED_VALUE"""),"Green Terracotta")</f>
        <v>Green Terracotta</v>
      </c>
      <c r="W569" s="174"/>
    </row>
    <row r="570">
      <c r="B570" s="175"/>
      <c r="R570" s="176"/>
      <c r="U570" s="172" t="str">
        <f>IFERROR(__xludf.DUMMYFUNCTION("""COMPUTED_VALUE"""),"")</f>
        <v/>
      </c>
      <c r="V570" s="173" t="str">
        <f>IFERROR(__xludf.DUMMYFUNCTION("""COMPUTED_VALUE"""),"Green Wool")</f>
        <v>Green Wool</v>
      </c>
      <c r="W570" s="174"/>
    </row>
    <row r="571">
      <c r="B571" s="175"/>
      <c r="R571" s="176"/>
      <c r="U571" s="172" t="str">
        <f>IFERROR(__xludf.DUMMYFUNCTION("""COMPUTED_VALUE"""),"")</f>
        <v/>
      </c>
      <c r="V571" s="173" t="str">
        <f>IFERROR(__xludf.DUMMYFUNCTION("""COMPUTED_VALUE"""),"Grindstone")</f>
        <v>Grindstone</v>
      </c>
      <c r="W571" s="174"/>
    </row>
    <row r="572">
      <c r="B572" s="175"/>
      <c r="R572" s="176"/>
      <c r="U572" s="172" t="str">
        <f>IFERROR(__xludf.DUMMYFUNCTION("""COMPUTED_VALUE"""),"")</f>
        <v/>
      </c>
      <c r="V572" s="173" t="str">
        <f>IFERROR(__xludf.DUMMYFUNCTION("""COMPUTED_VALUE"""),"Gunpowder")</f>
        <v>Gunpowder</v>
      </c>
      <c r="W572" s="174"/>
    </row>
    <row r="573">
      <c r="B573" s="175"/>
      <c r="R573" s="176"/>
      <c r="U573" s="172" t="str">
        <f>IFERROR(__xludf.DUMMYFUNCTION("""COMPUTED_VALUE"""),"")</f>
        <v/>
      </c>
      <c r="V573" s="173" t="str">
        <f>IFERROR(__xludf.DUMMYFUNCTION("""COMPUTED_VALUE"""),"Guster Banner Pattern")</f>
        <v>Guster Banner Pattern</v>
      </c>
      <c r="W573" s="174"/>
    </row>
    <row r="574">
      <c r="B574" s="175"/>
      <c r="R574" s="176"/>
      <c r="U574" s="172" t="str">
        <f>IFERROR(__xludf.DUMMYFUNCTION("""COMPUTED_VALUE"""),"")</f>
        <v/>
      </c>
      <c r="V574" s="173" t="str">
        <f>IFERROR(__xludf.DUMMYFUNCTION("""COMPUTED_VALUE"""),"Guster Pottery Sherd")</f>
        <v>Guster Pottery Sherd</v>
      </c>
      <c r="W574" s="174"/>
    </row>
    <row r="575">
      <c r="B575" s="175"/>
      <c r="R575" s="176"/>
      <c r="U575" s="172" t="str">
        <f>IFERROR(__xludf.DUMMYFUNCTION("""COMPUTED_VALUE"""),"")</f>
        <v/>
      </c>
      <c r="V575" s="173" t="str">
        <f>IFERROR(__xludf.DUMMYFUNCTION("""COMPUTED_VALUE"""),"Hanging Roots")</f>
        <v>Hanging Roots</v>
      </c>
      <c r="W575" s="174"/>
    </row>
    <row r="576">
      <c r="B576" s="175"/>
      <c r="R576" s="176"/>
      <c r="U576" s="172" t="str">
        <f>IFERROR(__xludf.DUMMYFUNCTION("""COMPUTED_VALUE"""),"")</f>
        <v/>
      </c>
      <c r="V576" s="173" t="str">
        <f>IFERROR(__xludf.DUMMYFUNCTION("""COMPUTED_VALUE"""),"Hay Block")</f>
        <v>Hay Block</v>
      </c>
      <c r="W576" s="174"/>
    </row>
    <row r="577">
      <c r="B577" s="175"/>
      <c r="R577" s="176"/>
      <c r="U577" s="172" t="str">
        <f>IFERROR(__xludf.DUMMYFUNCTION("""COMPUTED_VALUE"""),"")</f>
        <v/>
      </c>
      <c r="V577" s="173" t="str">
        <f>IFERROR(__xludf.DUMMYFUNCTION("""COMPUTED_VALUE"""),"Heart Of The Sea")</f>
        <v>Heart Of The Sea</v>
      </c>
      <c r="W577" s="174"/>
    </row>
    <row r="578">
      <c r="B578" s="175"/>
      <c r="R578" s="176"/>
      <c r="U578" s="172" t="str">
        <f>IFERROR(__xludf.DUMMYFUNCTION("""COMPUTED_VALUE"""),"")</f>
        <v/>
      </c>
      <c r="V578" s="173" t="str">
        <f>IFERROR(__xludf.DUMMYFUNCTION("""COMPUTED_VALUE"""),"Heart Pottery Sherd")</f>
        <v>Heart Pottery Sherd</v>
      </c>
      <c r="W578" s="174"/>
    </row>
    <row r="579">
      <c r="B579" s="175"/>
      <c r="R579" s="176"/>
      <c r="U579" s="172" t="str">
        <f>IFERROR(__xludf.DUMMYFUNCTION("""COMPUTED_VALUE"""),"")</f>
        <v/>
      </c>
      <c r="V579" s="173" t="str">
        <f>IFERROR(__xludf.DUMMYFUNCTION("""COMPUTED_VALUE"""),"Heartbreak Pottery Sherd")</f>
        <v>Heartbreak Pottery Sherd</v>
      </c>
      <c r="W579" s="174"/>
    </row>
    <row r="580">
      <c r="B580" s="175"/>
      <c r="R580" s="176"/>
      <c r="U580" s="172" t="str">
        <f>IFERROR(__xludf.DUMMYFUNCTION("""COMPUTED_VALUE"""),"")</f>
        <v/>
      </c>
      <c r="V580" s="173" t="str">
        <f>IFERROR(__xludf.DUMMYFUNCTION("""COMPUTED_VALUE"""),"Heavy Core")</f>
        <v>Heavy Core</v>
      </c>
      <c r="W580" s="174"/>
    </row>
    <row r="581">
      <c r="B581" s="175"/>
      <c r="R581" s="176"/>
      <c r="U581" s="172" t="str">
        <f>IFERROR(__xludf.DUMMYFUNCTION("""COMPUTED_VALUE"""),"")</f>
        <v/>
      </c>
      <c r="V581" s="173" t="str">
        <f>IFERROR(__xludf.DUMMYFUNCTION("""COMPUTED_VALUE"""),"Heavy Weighted Pressure Plate")</f>
        <v>Heavy Weighted Pressure Plate</v>
      </c>
      <c r="W581" s="174"/>
    </row>
    <row r="582">
      <c r="B582" s="175"/>
      <c r="R582" s="176"/>
      <c r="U582" s="172" t="str">
        <f>IFERROR(__xludf.DUMMYFUNCTION("""COMPUTED_VALUE"""),"")</f>
        <v/>
      </c>
      <c r="V582" s="173" t="str">
        <f>IFERROR(__xludf.DUMMYFUNCTION("""COMPUTED_VALUE"""),"Honey Block")</f>
        <v>Honey Block</v>
      </c>
      <c r="W582" s="174"/>
    </row>
    <row r="583">
      <c r="B583" s="175"/>
      <c r="R583" s="176"/>
      <c r="U583" s="172" t="str">
        <f>IFERROR(__xludf.DUMMYFUNCTION("""COMPUTED_VALUE"""),"")</f>
        <v/>
      </c>
      <c r="V583" s="173" t="str">
        <f>IFERROR(__xludf.DUMMYFUNCTION("""COMPUTED_VALUE"""),"Honey Bottle")</f>
        <v>Honey Bottle</v>
      </c>
      <c r="W583" s="174"/>
    </row>
    <row r="584">
      <c r="B584" s="175"/>
      <c r="R584" s="176"/>
      <c r="U584" s="172" t="str">
        <f>IFERROR(__xludf.DUMMYFUNCTION("""COMPUTED_VALUE"""),"")</f>
        <v/>
      </c>
      <c r="V584" s="173" t="str">
        <f>IFERROR(__xludf.DUMMYFUNCTION("""COMPUTED_VALUE"""),"Honeycomb")</f>
        <v>Honeycomb</v>
      </c>
      <c r="W584" s="174"/>
    </row>
    <row r="585">
      <c r="B585" s="175"/>
      <c r="R585" s="176"/>
      <c r="U585" s="172" t="str">
        <f>IFERROR(__xludf.DUMMYFUNCTION("""COMPUTED_VALUE"""),"")</f>
        <v/>
      </c>
      <c r="V585" s="173" t="str">
        <f>IFERROR(__xludf.DUMMYFUNCTION("""COMPUTED_VALUE"""),"Honeycomb Block")</f>
        <v>Honeycomb Block</v>
      </c>
      <c r="W585" s="174"/>
    </row>
    <row r="586">
      <c r="B586" s="175"/>
      <c r="R586" s="176"/>
      <c r="U586" s="172" t="str">
        <f>IFERROR(__xludf.DUMMYFUNCTION("""COMPUTED_VALUE"""),"")</f>
        <v/>
      </c>
      <c r="V586" s="173" t="str">
        <f>IFERROR(__xludf.DUMMYFUNCTION("""COMPUTED_VALUE"""),"Hopper")</f>
        <v>Hopper</v>
      </c>
      <c r="W586" s="174"/>
    </row>
    <row r="587">
      <c r="B587" s="175"/>
      <c r="R587" s="176"/>
      <c r="U587" s="172" t="str">
        <f>IFERROR(__xludf.DUMMYFUNCTION("""COMPUTED_VALUE"""),"")</f>
        <v/>
      </c>
      <c r="V587" s="173" t="str">
        <f>IFERROR(__xludf.DUMMYFUNCTION("""COMPUTED_VALUE"""),"Hopper Minecart")</f>
        <v>Hopper Minecart</v>
      </c>
      <c r="W587" s="174"/>
    </row>
    <row r="588">
      <c r="B588" s="175"/>
      <c r="R588" s="176"/>
      <c r="U588" s="172" t="str">
        <f>IFERROR(__xludf.DUMMYFUNCTION("""COMPUTED_VALUE"""),"")</f>
        <v/>
      </c>
      <c r="V588" s="173" t="str">
        <f>IFERROR(__xludf.DUMMYFUNCTION("""COMPUTED_VALUE"""),"Horn Coral")</f>
        <v>Horn Coral</v>
      </c>
      <c r="W588" s="174"/>
    </row>
    <row r="589">
      <c r="B589" s="175"/>
      <c r="R589" s="176"/>
      <c r="U589" s="172" t="str">
        <f>IFERROR(__xludf.DUMMYFUNCTION("""COMPUTED_VALUE"""),"")</f>
        <v/>
      </c>
      <c r="V589" s="173" t="str">
        <f>IFERROR(__xludf.DUMMYFUNCTION("""COMPUTED_VALUE"""),"Horn Coral Block")</f>
        <v>Horn Coral Block</v>
      </c>
      <c r="W589" s="174"/>
    </row>
    <row r="590">
      <c r="B590" s="175"/>
      <c r="R590" s="176"/>
      <c r="U590" s="172" t="str">
        <f>IFERROR(__xludf.DUMMYFUNCTION("""COMPUTED_VALUE"""),"")</f>
        <v/>
      </c>
      <c r="V590" s="173" t="str">
        <f>IFERROR(__xludf.DUMMYFUNCTION("""COMPUTED_VALUE"""),"Horn Coral Fan")</f>
        <v>Horn Coral Fan</v>
      </c>
      <c r="W590" s="174"/>
    </row>
    <row r="591">
      <c r="B591" s="175"/>
      <c r="R591" s="176"/>
      <c r="U591" s="172" t="str">
        <f>IFERROR(__xludf.DUMMYFUNCTION("""COMPUTED_VALUE"""),"")</f>
        <v/>
      </c>
      <c r="V591" s="173" t="str">
        <f>IFERROR(__xludf.DUMMYFUNCTION("""COMPUTED_VALUE"""),"Host Armor Trim")</f>
        <v>Host Armor Trim</v>
      </c>
      <c r="W591" s="174"/>
    </row>
    <row r="592">
      <c r="B592" s="175"/>
      <c r="R592" s="176"/>
      <c r="U592" s="172" t="str">
        <f>IFERROR(__xludf.DUMMYFUNCTION("""COMPUTED_VALUE"""),"")</f>
        <v/>
      </c>
      <c r="V592" s="173" t="str">
        <f>IFERROR(__xludf.DUMMYFUNCTION("""COMPUTED_VALUE"""),"Howl Pottery Sherd")</f>
        <v>Howl Pottery Sherd</v>
      </c>
      <c r="W592" s="174"/>
    </row>
    <row r="593">
      <c r="B593" s="175"/>
      <c r="R593" s="176"/>
      <c r="U593" s="172" t="str">
        <f>IFERROR(__xludf.DUMMYFUNCTION("""COMPUTED_VALUE"""),"")</f>
        <v/>
      </c>
      <c r="V593" s="173" t="str">
        <f>IFERROR(__xludf.DUMMYFUNCTION("""COMPUTED_VALUE"""),"Ice")</f>
        <v>Ice</v>
      </c>
      <c r="W593" s="174"/>
    </row>
    <row r="594">
      <c r="B594" s="175"/>
      <c r="R594" s="176"/>
      <c r="U594" s="172" t="str">
        <f>IFERROR(__xludf.DUMMYFUNCTION("""COMPUTED_VALUE"""),"")</f>
        <v/>
      </c>
      <c r="V594" s="173" t="str">
        <f>IFERROR(__xludf.DUMMYFUNCTION("""COMPUTED_VALUE"""),"Ink Sac")</f>
        <v>Ink Sac</v>
      </c>
      <c r="W594" s="174"/>
    </row>
    <row r="595">
      <c r="B595" s="175"/>
      <c r="R595" s="176"/>
      <c r="U595" s="172" t="str">
        <f>IFERROR(__xludf.DUMMYFUNCTION("""COMPUTED_VALUE"""),"")</f>
        <v/>
      </c>
      <c r="V595" s="173" t="str">
        <f>IFERROR(__xludf.DUMMYFUNCTION("""COMPUTED_VALUE"""),"Iron Axe")</f>
        <v>Iron Axe</v>
      </c>
      <c r="W595" s="174"/>
    </row>
    <row r="596">
      <c r="B596" s="175"/>
      <c r="R596" s="176"/>
      <c r="U596" s="172" t="str">
        <f>IFERROR(__xludf.DUMMYFUNCTION("""COMPUTED_VALUE"""),"")</f>
        <v/>
      </c>
      <c r="V596" s="173" t="str">
        <f>IFERROR(__xludf.DUMMYFUNCTION("""COMPUTED_VALUE"""),"Iron Bars")</f>
        <v>Iron Bars</v>
      </c>
      <c r="W596" s="174"/>
    </row>
    <row r="597">
      <c r="B597" s="175"/>
      <c r="R597" s="176"/>
      <c r="U597" s="172" t="str">
        <f>IFERROR(__xludf.DUMMYFUNCTION("""COMPUTED_VALUE"""),"")</f>
        <v/>
      </c>
      <c r="V597" s="173" t="str">
        <f>IFERROR(__xludf.DUMMYFUNCTION("""COMPUTED_VALUE"""),"Iron Block")</f>
        <v>Iron Block</v>
      </c>
      <c r="W597" s="174"/>
    </row>
    <row r="598">
      <c r="B598" s="175"/>
      <c r="R598" s="176"/>
      <c r="U598" s="172" t="str">
        <f>IFERROR(__xludf.DUMMYFUNCTION("""COMPUTED_VALUE"""),"")</f>
        <v/>
      </c>
      <c r="V598" s="173" t="str">
        <f>IFERROR(__xludf.DUMMYFUNCTION("""COMPUTED_VALUE"""),"Iron Boots")</f>
        <v>Iron Boots</v>
      </c>
      <c r="W598" s="174"/>
    </row>
    <row r="599">
      <c r="B599" s="175"/>
      <c r="R599" s="176"/>
      <c r="U599" s="172" t="str">
        <f>IFERROR(__xludf.DUMMYFUNCTION("""COMPUTED_VALUE"""),"")</f>
        <v/>
      </c>
      <c r="V599" s="173" t="str">
        <f>IFERROR(__xludf.DUMMYFUNCTION("""COMPUTED_VALUE"""),"Iron Chestplate")</f>
        <v>Iron Chestplate</v>
      </c>
      <c r="W599" s="174"/>
    </row>
    <row r="600">
      <c r="B600" s="175"/>
      <c r="R600" s="176"/>
      <c r="U600" s="172" t="str">
        <f>IFERROR(__xludf.DUMMYFUNCTION("""COMPUTED_VALUE"""),"")</f>
        <v/>
      </c>
      <c r="V600" s="173" t="str">
        <f>IFERROR(__xludf.DUMMYFUNCTION("""COMPUTED_VALUE"""),"Iron Door")</f>
        <v>Iron Door</v>
      </c>
      <c r="W600" s="174"/>
    </row>
    <row r="601">
      <c r="B601" s="175"/>
      <c r="R601" s="176"/>
      <c r="U601" s="172" t="str">
        <f>IFERROR(__xludf.DUMMYFUNCTION("""COMPUTED_VALUE"""),"")</f>
        <v/>
      </c>
      <c r="V601" s="173" t="str">
        <f>IFERROR(__xludf.DUMMYFUNCTION("""COMPUTED_VALUE"""),"Iron Helmet")</f>
        <v>Iron Helmet</v>
      </c>
      <c r="W601" s="174"/>
    </row>
    <row r="602">
      <c r="B602" s="175"/>
      <c r="R602" s="176"/>
      <c r="U602" s="172" t="str">
        <f>IFERROR(__xludf.DUMMYFUNCTION("""COMPUTED_VALUE"""),"")</f>
        <v/>
      </c>
      <c r="V602" s="173" t="str">
        <f>IFERROR(__xludf.DUMMYFUNCTION("""COMPUTED_VALUE"""),"Iron Hoe")</f>
        <v>Iron Hoe</v>
      </c>
      <c r="W602" s="174"/>
    </row>
    <row r="603">
      <c r="B603" s="175"/>
      <c r="R603" s="176"/>
      <c r="U603" s="172" t="str">
        <f>IFERROR(__xludf.DUMMYFUNCTION("""COMPUTED_VALUE"""),"")</f>
        <v/>
      </c>
      <c r="V603" s="173" t="str">
        <f>IFERROR(__xludf.DUMMYFUNCTION("""COMPUTED_VALUE"""),"Iron Horse Armor")</f>
        <v>Iron Horse Armor</v>
      </c>
      <c r="W603" s="174"/>
    </row>
    <row r="604">
      <c r="B604" s="175"/>
      <c r="R604" s="176"/>
      <c r="U604" s="172" t="str">
        <f>IFERROR(__xludf.DUMMYFUNCTION("""COMPUTED_VALUE"""),"")</f>
        <v/>
      </c>
      <c r="V604" s="173" t="str">
        <f>IFERROR(__xludf.DUMMYFUNCTION("""COMPUTED_VALUE"""),"Iron Ingot")</f>
        <v>Iron Ingot</v>
      </c>
      <c r="W604" s="174"/>
    </row>
    <row r="605">
      <c r="B605" s="175"/>
      <c r="R605" s="176"/>
      <c r="U605" s="172" t="str">
        <f>IFERROR(__xludf.DUMMYFUNCTION("""COMPUTED_VALUE"""),"")</f>
        <v/>
      </c>
      <c r="V605" s="173" t="str">
        <f>IFERROR(__xludf.DUMMYFUNCTION("""COMPUTED_VALUE"""),"Iron Leggings")</f>
        <v>Iron Leggings</v>
      </c>
      <c r="W605" s="174"/>
    </row>
    <row r="606">
      <c r="B606" s="175"/>
      <c r="R606" s="176"/>
      <c r="U606" s="172" t="str">
        <f>IFERROR(__xludf.DUMMYFUNCTION("""COMPUTED_VALUE"""),"")</f>
        <v/>
      </c>
      <c r="V606" s="173" t="str">
        <f>IFERROR(__xludf.DUMMYFUNCTION("""COMPUTED_VALUE"""),"Iron Nugget")</f>
        <v>Iron Nugget</v>
      </c>
      <c r="W606" s="174"/>
    </row>
    <row r="607">
      <c r="B607" s="175"/>
      <c r="R607" s="176"/>
      <c r="U607" s="172" t="str">
        <f>IFERROR(__xludf.DUMMYFUNCTION("""COMPUTED_VALUE"""),"")</f>
        <v/>
      </c>
      <c r="V607" s="173" t="str">
        <f>IFERROR(__xludf.DUMMYFUNCTION("""COMPUTED_VALUE"""),"Iron Ore")</f>
        <v>Iron Ore</v>
      </c>
      <c r="W607" s="174"/>
    </row>
    <row r="608">
      <c r="B608" s="175"/>
      <c r="R608" s="176"/>
      <c r="U608" s="172" t="str">
        <f>IFERROR(__xludf.DUMMYFUNCTION("""COMPUTED_VALUE"""),"")</f>
        <v/>
      </c>
      <c r="V608" s="173" t="str">
        <f>IFERROR(__xludf.DUMMYFUNCTION("""COMPUTED_VALUE"""),"Iron Pickaxe")</f>
        <v>Iron Pickaxe</v>
      </c>
      <c r="W608" s="174"/>
    </row>
    <row r="609">
      <c r="B609" s="175"/>
      <c r="R609" s="176"/>
      <c r="U609" s="172" t="str">
        <f>IFERROR(__xludf.DUMMYFUNCTION("""COMPUTED_VALUE"""),"")</f>
        <v/>
      </c>
      <c r="V609" s="173" t="str">
        <f>IFERROR(__xludf.DUMMYFUNCTION("""COMPUTED_VALUE"""),"Iron Shovel")</f>
        <v>Iron Shovel</v>
      </c>
      <c r="W609" s="174"/>
    </row>
    <row r="610">
      <c r="B610" s="175"/>
      <c r="R610" s="176"/>
      <c r="U610" s="172" t="str">
        <f>IFERROR(__xludf.DUMMYFUNCTION("""COMPUTED_VALUE"""),"")</f>
        <v/>
      </c>
      <c r="V610" s="173" t="str">
        <f>IFERROR(__xludf.DUMMYFUNCTION("""COMPUTED_VALUE"""),"Iron Sword")</f>
        <v>Iron Sword</v>
      </c>
      <c r="W610" s="174"/>
    </row>
    <row r="611">
      <c r="B611" s="175"/>
      <c r="R611" s="176"/>
      <c r="U611" s="172" t="str">
        <f>IFERROR(__xludf.DUMMYFUNCTION("""COMPUTED_VALUE"""),"")</f>
        <v/>
      </c>
      <c r="V611" s="173" t="str">
        <f>IFERROR(__xludf.DUMMYFUNCTION("""COMPUTED_VALUE"""),"Iron Trapdoor")</f>
        <v>Iron Trapdoor</v>
      </c>
      <c r="W611" s="174"/>
    </row>
    <row r="612">
      <c r="B612" s="175"/>
      <c r="R612" s="176"/>
      <c r="U612" s="172" t="str">
        <f>IFERROR(__xludf.DUMMYFUNCTION("""COMPUTED_VALUE"""),"")</f>
        <v/>
      </c>
      <c r="V612" s="173" t="str">
        <f>IFERROR(__xludf.DUMMYFUNCTION("""COMPUTED_VALUE"""),"Item Frame")</f>
        <v>Item Frame</v>
      </c>
      <c r="W612" s="174"/>
    </row>
    <row r="613">
      <c r="B613" s="175"/>
      <c r="R613" s="176"/>
      <c r="U613" s="172" t="str">
        <f>IFERROR(__xludf.DUMMYFUNCTION("""COMPUTED_VALUE"""),"")</f>
        <v/>
      </c>
      <c r="V613" s="173" t="str">
        <f>IFERROR(__xludf.DUMMYFUNCTION("""COMPUTED_VALUE"""),"Jack O Lantern")</f>
        <v>Jack O Lantern</v>
      </c>
      <c r="W613" s="174"/>
    </row>
    <row r="614">
      <c r="B614" s="175"/>
      <c r="R614" s="176"/>
      <c r="U614" s="172" t="str">
        <f>IFERROR(__xludf.DUMMYFUNCTION("""COMPUTED_VALUE"""),"")</f>
        <v/>
      </c>
      <c r="V614" s="173" t="str">
        <f>IFERROR(__xludf.DUMMYFUNCTION("""COMPUTED_VALUE"""),"Jukebox")</f>
        <v>Jukebox</v>
      </c>
      <c r="W614" s="174"/>
    </row>
    <row r="615">
      <c r="B615" s="175"/>
      <c r="R615" s="176"/>
      <c r="U615" s="172" t="str">
        <f>IFERROR(__xludf.DUMMYFUNCTION("""COMPUTED_VALUE"""),"")</f>
        <v/>
      </c>
      <c r="V615" s="173" t="str">
        <f>IFERROR(__xludf.DUMMYFUNCTION("""COMPUTED_VALUE"""),"Jungle Boat")</f>
        <v>Jungle Boat</v>
      </c>
      <c r="W615" s="174"/>
    </row>
    <row r="616">
      <c r="B616" s="175"/>
      <c r="R616" s="176"/>
      <c r="U616" s="172" t="str">
        <f>IFERROR(__xludf.DUMMYFUNCTION("""COMPUTED_VALUE"""),"")</f>
        <v/>
      </c>
      <c r="V616" s="173" t="str">
        <f>IFERROR(__xludf.DUMMYFUNCTION("""COMPUTED_VALUE"""),"Jungle Button")</f>
        <v>Jungle Button</v>
      </c>
      <c r="W616" s="174"/>
    </row>
    <row r="617">
      <c r="B617" s="175"/>
      <c r="R617" s="176"/>
      <c r="U617" s="172" t="str">
        <f>IFERROR(__xludf.DUMMYFUNCTION("""COMPUTED_VALUE"""),"")</f>
        <v/>
      </c>
      <c r="V617" s="173" t="str">
        <f>IFERROR(__xludf.DUMMYFUNCTION("""COMPUTED_VALUE"""),"Jungle Chest Boat")</f>
        <v>Jungle Chest Boat</v>
      </c>
      <c r="W617" s="174"/>
    </row>
    <row r="618">
      <c r="B618" s="175"/>
      <c r="R618" s="176"/>
      <c r="U618" s="172" t="str">
        <f>IFERROR(__xludf.DUMMYFUNCTION("""COMPUTED_VALUE"""),"")</f>
        <v/>
      </c>
      <c r="V618" s="173" t="str">
        <f>IFERROR(__xludf.DUMMYFUNCTION("""COMPUTED_VALUE"""),"Jungle Door")</f>
        <v>Jungle Door</v>
      </c>
      <c r="W618" s="174"/>
    </row>
    <row r="619">
      <c r="B619" s="175"/>
      <c r="R619" s="176"/>
      <c r="U619" s="172" t="str">
        <f>IFERROR(__xludf.DUMMYFUNCTION("""COMPUTED_VALUE"""),"")</f>
        <v/>
      </c>
      <c r="V619" s="173" t="str">
        <f>IFERROR(__xludf.DUMMYFUNCTION("""COMPUTED_VALUE"""),"Jungle Fence")</f>
        <v>Jungle Fence</v>
      </c>
      <c r="W619" s="174"/>
    </row>
    <row r="620">
      <c r="B620" s="175"/>
      <c r="R620" s="176"/>
      <c r="U620" s="172" t="str">
        <f>IFERROR(__xludf.DUMMYFUNCTION("""COMPUTED_VALUE"""),"")</f>
        <v/>
      </c>
      <c r="V620" s="173" t="str">
        <f>IFERROR(__xludf.DUMMYFUNCTION("""COMPUTED_VALUE"""),"Jungle Fence Gate")</f>
        <v>Jungle Fence Gate</v>
      </c>
      <c r="W620" s="174"/>
    </row>
    <row r="621">
      <c r="B621" s="175"/>
      <c r="R621" s="176"/>
      <c r="U621" s="172" t="str">
        <f>IFERROR(__xludf.DUMMYFUNCTION("""COMPUTED_VALUE"""),"")</f>
        <v/>
      </c>
      <c r="V621" s="173" t="str">
        <f>IFERROR(__xludf.DUMMYFUNCTION("""COMPUTED_VALUE"""),"Jungle Hanging Sign")</f>
        <v>Jungle Hanging Sign</v>
      </c>
      <c r="W621" s="174"/>
    </row>
    <row r="622">
      <c r="B622" s="175"/>
      <c r="R622" s="176"/>
      <c r="U622" s="172" t="str">
        <f>IFERROR(__xludf.DUMMYFUNCTION("""COMPUTED_VALUE"""),"")</f>
        <v/>
      </c>
      <c r="V622" s="173" t="str">
        <f>IFERROR(__xludf.DUMMYFUNCTION("""COMPUTED_VALUE"""),"Jungle Leaves")</f>
        <v>Jungle Leaves</v>
      </c>
      <c r="W622" s="174"/>
    </row>
    <row r="623">
      <c r="B623" s="175"/>
      <c r="R623" s="176"/>
      <c r="U623" s="172" t="str">
        <f>IFERROR(__xludf.DUMMYFUNCTION("""COMPUTED_VALUE"""),"")</f>
        <v/>
      </c>
      <c r="V623" s="173" t="str">
        <f>IFERROR(__xludf.DUMMYFUNCTION("""COMPUTED_VALUE"""),"Jungle Log")</f>
        <v>Jungle Log</v>
      </c>
      <c r="W623" s="174"/>
    </row>
    <row r="624">
      <c r="B624" s="175"/>
      <c r="R624" s="176"/>
      <c r="U624" s="172" t="str">
        <f>IFERROR(__xludf.DUMMYFUNCTION("""COMPUTED_VALUE"""),"")</f>
        <v/>
      </c>
      <c r="V624" s="173" t="str">
        <f>IFERROR(__xludf.DUMMYFUNCTION("""COMPUTED_VALUE"""),"Jungle Planks")</f>
        <v>Jungle Planks</v>
      </c>
      <c r="W624" s="174"/>
    </row>
    <row r="625">
      <c r="B625" s="175"/>
      <c r="R625" s="176"/>
      <c r="U625" s="172" t="str">
        <f>IFERROR(__xludf.DUMMYFUNCTION("""COMPUTED_VALUE"""),"")</f>
        <v/>
      </c>
      <c r="V625" s="173" t="str">
        <f>IFERROR(__xludf.DUMMYFUNCTION("""COMPUTED_VALUE"""),"Jungle Pressure Plate")</f>
        <v>Jungle Pressure Plate</v>
      </c>
      <c r="W625" s="174"/>
    </row>
    <row r="626">
      <c r="B626" s="175"/>
      <c r="R626" s="176"/>
      <c r="U626" s="172" t="str">
        <f>IFERROR(__xludf.DUMMYFUNCTION("""COMPUTED_VALUE"""),"")</f>
        <v/>
      </c>
      <c r="V626" s="173" t="str">
        <f>IFERROR(__xludf.DUMMYFUNCTION("""COMPUTED_VALUE"""),"Jungle Sapling")</f>
        <v>Jungle Sapling</v>
      </c>
      <c r="W626" s="174"/>
    </row>
    <row r="627">
      <c r="B627" s="175"/>
      <c r="R627" s="176"/>
      <c r="U627" s="172" t="str">
        <f>IFERROR(__xludf.DUMMYFUNCTION("""COMPUTED_VALUE"""),"")</f>
        <v/>
      </c>
      <c r="V627" s="173" t="str">
        <f>IFERROR(__xludf.DUMMYFUNCTION("""COMPUTED_VALUE"""),"Jungle Sign")</f>
        <v>Jungle Sign</v>
      </c>
      <c r="W627" s="174"/>
    </row>
    <row r="628">
      <c r="B628" s="175"/>
      <c r="R628" s="176"/>
      <c r="U628" s="172" t="str">
        <f>IFERROR(__xludf.DUMMYFUNCTION("""COMPUTED_VALUE"""),"")</f>
        <v/>
      </c>
      <c r="V628" s="173" t="str">
        <f>IFERROR(__xludf.DUMMYFUNCTION("""COMPUTED_VALUE"""),"Jungle Slab")</f>
        <v>Jungle Slab</v>
      </c>
      <c r="W628" s="174"/>
    </row>
    <row r="629">
      <c r="B629" s="175"/>
      <c r="R629" s="176"/>
      <c r="U629" s="172" t="str">
        <f>IFERROR(__xludf.DUMMYFUNCTION("""COMPUTED_VALUE"""),"")</f>
        <v/>
      </c>
      <c r="V629" s="173" t="str">
        <f>IFERROR(__xludf.DUMMYFUNCTION("""COMPUTED_VALUE"""),"Jungle Stairs")</f>
        <v>Jungle Stairs</v>
      </c>
      <c r="W629" s="174"/>
    </row>
    <row r="630">
      <c r="B630" s="175"/>
      <c r="R630" s="176"/>
      <c r="U630" s="172" t="str">
        <f>IFERROR(__xludf.DUMMYFUNCTION("""COMPUTED_VALUE"""),"")</f>
        <v/>
      </c>
      <c r="V630" s="173" t="str">
        <f>IFERROR(__xludf.DUMMYFUNCTION("""COMPUTED_VALUE"""),"Jungle Trapdoor")</f>
        <v>Jungle Trapdoor</v>
      </c>
      <c r="W630" s="174"/>
    </row>
    <row r="631">
      <c r="B631" s="175"/>
      <c r="R631" s="176"/>
      <c r="U631" s="172" t="str">
        <f>IFERROR(__xludf.DUMMYFUNCTION("""COMPUTED_VALUE"""),"")</f>
        <v/>
      </c>
      <c r="V631" s="173" t="str">
        <f>IFERROR(__xludf.DUMMYFUNCTION("""COMPUTED_VALUE"""),"Jungle Wood")</f>
        <v>Jungle Wood</v>
      </c>
      <c r="W631" s="174"/>
    </row>
    <row r="632">
      <c r="B632" s="175"/>
      <c r="R632" s="176"/>
      <c r="U632" s="172" t="str">
        <f>IFERROR(__xludf.DUMMYFUNCTION("""COMPUTED_VALUE"""),"")</f>
        <v/>
      </c>
      <c r="V632" s="173" t="str">
        <f>IFERROR(__xludf.DUMMYFUNCTION("""COMPUTED_VALUE"""),"Kelp")</f>
        <v>Kelp</v>
      </c>
      <c r="W632" s="174"/>
    </row>
    <row r="633">
      <c r="B633" s="175"/>
      <c r="R633" s="176"/>
      <c r="U633" s="172" t="str">
        <f>IFERROR(__xludf.DUMMYFUNCTION("""COMPUTED_VALUE"""),"")</f>
        <v/>
      </c>
      <c r="V633" s="173" t="str">
        <f>IFERROR(__xludf.DUMMYFUNCTION("""COMPUTED_VALUE"""),"Ladder")</f>
        <v>Ladder</v>
      </c>
      <c r="W633" s="174"/>
    </row>
    <row r="634">
      <c r="B634" s="175"/>
      <c r="R634" s="176"/>
      <c r="U634" s="172" t="str">
        <f>IFERROR(__xludf.DUMMYFUNCTION("""COMPUTED_VALUE"""),"")</f>
        <v/>
      </c>
      <c r="V634" s="173" t="str">
        <f>IFERROR(__xludf.DUMMYFUNCTION("""COMPUTED_VALUE"""),"Lantern")</f>
        <v>Lantern</v>
      </c>
      <c r="W634" s="174"/>
    </row>
    <row r="635">
      <c r="B635" s="175"/>
      <c r="R635" s="176"/>
      <c r="U635" s="172" t="str">
        <f>IFERROR(__xludf.DUMMYFUNCTION("""COMPUTED_VALUE"""),"")</f>
        <v/>
      </c>
      <c r="V635" s="173" t="str">
        <f>IFERROR(__xludf.DUMMYFUNCTION("""COMPUTED_VALUE"""),"Lapis Block")</f>
        <v>Lapis Block</v>
      </c>
      <c r="W635" s="174"/>
    </row>
    <row r="636">
      <c r="B636" s="175"/>
      <c r="R636" s="176"/>
      <c r="U636" s="172" t="str">
        <f>IFERROR(__xludf.DUMMYFUNCTION("""COMPUTED_VALUE"""),"")</f>
        <v/>
      </c>
      <c r="V636" s="173" t="str">
        <f>IFERROR(__xludf.DUMMYFUNCTION("""COMPUTED_VALUE"""),"Lapis Lazuli")</f>
        <v>Lapis Lazuli</v>
      </c>
      <c r="W636" s="174"/>
    </row>
    <row r="637">
      <c r="B637" s="175"/>
      <c r="R637" s="176"/>
      <c r="U637" s="172" t="str">
        <f>IFERROR(__xludf.DUMMYFUNCTION("""COMPUTED_VALUE"""),"")</f>
        <v/>
      </c>
      <c r="V637" s="173" t="str">
        <f>IFERROR(__xludf.DUMMYFUNCTION("""COMPUTED_VALUE"""),"Lapis Ore")</f>
        <v>Lapis Ore</v>
      </c>
      <c r="W637" s="174"/>
    </row>
    <row r="638">
      <c r="B638" s="175"/>
      <c r="R638" s="176"/>
      <c r="U638" s="172" t="str">
        <f>IFERROR(__xludf.DUMMYFUNCTION("""COMPUTED_VALUE"""),"")</f>
        <v/>
      </c>
      <c r="V638" s="173" t="str">
        <f>IFERROR(__xludf.DUMMYFUNCTION("""COMPUTED_VALUE"""),"Large Amethyst Bud")</f>
        <v>Large Amethyst Bud</v>
      </c>
      <c r="W638" s="174"/>
    </row>
    <row r="639">
      <c r="B639" s="175"/>
      <c r="R639" s="176"/>
      <c r="U639" s="172" t="str">
        <f>IFERROR(__xludf.DUMMYFUNCTION("""COMPUTED_VALUE"""),"")</f>
        <v/>
      </c>
      <c r="V639" s="173" t="str">
        <f>IFERROR(__xludf.DUMMYFUNCTION("""COMPUTED_VALUE"""),"Large Fern")</f>
        <v>Large Fern</v>
      </c>
      <c r="W639" s="174"/>
    </row>
    <row r="640">
      <c r="B640" s="175"/>
      <c r="R640" s="176"/>
      <c r="U640" s="172" t="str">
        <f>IFERROR(__xludf.DUMMYFUNCTION("""COMPUTED_VALUE"""),"")</f>
        <v/>
      </c>
      <c r="V640" s="173" t="str">
        <f>IFERROR(__xludf.DUMMYFUNCTION("""COMPUTED_VALUE"""),"Lava Bucket")</f>
        <v>Lava Bucket</v>
      </c>
      <c r="W640" s="174"/>
    </row>
    <row r="641">
      <c r="B641" s="175"/>
      <c r="R641" s="176"/>
      <c r="U641" s="172" t="str">
        <f>IFERROR(__xludf.DUMMYFUNCTION("""COMPUTED_VALUE"""),"")</f>
        <v/>
      </c>
      <c r="V641" s="173" t="str">
        <f>IFERROR(__xludf.DUMMYFUNCTION("""COMPUTED_VALUE"""),"Lead")</f>
        <v>Lead</v>
      </c>
      <c r="W641" s="174"/>
    </row>
    <row r="642">
      <c r="B642" s="175"/>
      <c r="R642" s="176"/>
      <c r="U642" s="172" t="str">
        <f>IFERROR(__xludf.DUMMYFUNCTION("""COMPUTED_VALUE"""),"")</f>
        <v/>
      </c>
      <c r="V642" s="173" t="str">
        <f>IFERROR(__xludf.DUMMYFUNCTION("""COMPUTED_VALUE"""),"Leather")</f>
        <v>Leather</v>
      </c>
      <c r="W642" s="174"/>
    </row>
    <row r="643">
      <c r="B643" s="175"/>
      <c r="R643" s="176"/>
      <c r="U643" s="172" t="str">
        <f>IFERROR(__xludf.DUMMYFUNCTION("""COMPUTED_VALUE"""),"")</f>
        <v/>
      </c>
      <c r="V643" s="173" t="str">
        <f>IFERROR(__xludf.DUMMYFUNCTION("""COMPUTED_VALUE"""),"Leather Boots")</f>
        <v>Leather Boots</v>
      </c>
      <c r="W643" s="174"/>
    </row>
    <row r="644">
      <c r="B644" s="175"/>
      <c r="R644" s="176"/>
      <c r="U644" s="172" t="str">
        <f>IFERROR(__xludf.DUMMYFUNCTION("""COMPUTED_VALUE"""),"")</f>
        <v/>
      </c>
      <c r="V644" s="173" t="str">
        <f>IFERROR(__xludf.DUMMYFUNCTION("""COMPUTED_VALUE"""),"Leather Chestplate")</f>
        <v>Leather Chestplate</v>
      </c>
      <c r="W644" s="174"/>
    </row>
    <row r="645">
      <c r="B645" s="175"/>
      <c r="R645" s="176"/>
      <c r="U645" s="172" t="str">
        <f>IFERROR(__xludf.DUMMYFUNCTION("""COMPUTED_VALUE"""),"")</f>
        <v/>
      </c>
      <c r="V645" s="173" t="str">
        <f>IFERROR(__xludf.DUMMYFUNCTION("""COMPUTED_VALUE"""),"Leather Helmet")</f>
        <v>Leather Helmet</v>
      </c>
      <c r="W645" s="174"/>
    </row>
    <row r="646">
      <c r="B646" s="175"/>
      <c r="R646" s="176"/>
      <c r="U646" s="172" t="str">
        <f>IFERROR(__xludf.DUMMYFUNCTION("""COMPUTED_VALUE"""),"")</f>
        <v/>
      </c>
      <c r="V646" s="173" t="str">
        <f>IFERROR(__xludf.DUMMYFUNCTION("""COMPUTED_VALUE"""),"Leather Horse Armor")</f>
        <v>Leather Horse Armor</v>
      </c>
      <c r="W646" s="174"/>
    </row>
    <row r="647">
      <c r="B647" s="175"/>
      <c r="R647" s="176"/>
      <c r="U647" s="172" t="str">
        <f>IFERROR(__xludf.DUMMYFUNCTION("""COMPUTED_VALUE"""),"")</f>
        <v/>
      </c>
      <c r="V647" s="173" t="str">
        <f>IFERROR(__xludf.DUMMYFUNCTION("""COMPUTED_VALUE"""),"Leather Leggings")</f>
        <v>Leather Leggings</v>
      </c>
      <c r="W647" s="174"/>
    </row>
    <row r="648">
      <c r="B648" s="175"/>
      <c r="R648" s="176"/>
      <c r="U648" s="172" t="str">
        <f>IFERROR(__xludf.DUMMYFUNCTION("""COMPUTED_VALUE"""),"")</f>
        <v/>
      </c>
      <c r="V648" s="173" t="str">
        <f>IFERROR(__xludf.DUMMYFUNCTION("""COMPUTED_VALUE"""),"Lectern")</f>
        <v>Lectern</v>
      </c>
      <c r="W648" s="174"/>
    </row>
    <row r="649">
      <c r="B649" s="175"/>
      <c r="R649" s="176"/>
      <c r="U649" s="172" t="str">
        <f>IFERROR(__xludf.DUMMYFUNCTION("""COMPUTED_VALUE"""),"")</f>
        <v/>
      </c>
      <c r="V649" s="173" t="str">
        <f>IFERROR(__xludf.DUMMYFUNCTION("""COMPUTED_VALUE"""),"Lever")</f>
        <v>Lever</v>
      </c>
      <c r="W649" s="174"/>
    </row>
    <row r="650">
      <c r="B650" s="175"/>
      <c r="R650" s="176"/>
      <c r="U650" s="172" t="str">
        <f>IFERROR(__xludf.DUMMYFUNCTION("""COMPUTED_VALUE"""),"")</f>
        <v/>
      </c>
      <c r="V650" s="173" t="str">
        <f>IFERROR(__xludf.DUMMYFUNCTION("""COMPUTED_VALUE"""),"Light Blue Banner")</f>
        <v>Light Blue Banner</v>
      </c>
      <c r="W650" s="174"/>
    </row>
    <row r="651">
      <c r="B651" s="175"/>
      <c r="R651" s="176"/>
      <c r="U651" s="172" t="str">
        <f>IFERROR(__xludf.DUMMYFUNCTION("""COMPUTED_VALUE"""),"")</f>
        <v/>
      </c>
      <c r="V651" s="173" t="str">
        <f>IFERROR(__xludf.DUMMYFUNCTION("""COMPUTED_VALUE"""),"Light Blue Bed")</f>
        <v>Light Blue Bed</v>
      </c>
      <c r="W651" s="174"/>
    </row>
    <row r="652">
      <c r="B652" s="175"/>
      <c r="R652" s="176"/>
      <c r="U652" s="172" t="str">
        <f>IFERROR(__xludf.DUMMYFUNCTION("""COMPUTED_VALUE"""),"")</f>
        <v/>
      </c>
      <c r="V652" s="173" t="str">
        <f>IFERROR(__xludf.DUMMYFUNCTION("""COMPUTED_VALUE"""),"Light Blue Candle")</f>
        <v>Light Blue Candle</v>
      </c>
      <c r="W652" s="174"/>
    </row>
    <row r="653">
      <c r="B653" s="175"/>
      <c r="R653" s="176"/>
      <c r="U653" s="172" t="str">
        <f>IFERROR(__xludf.DUMMYFUNCTION("""COMPUTED_VALUE"""),"")</f>
        <v/>
      </c>
      <c r="V653" s="173" t="str">
        <f>IFERROR(__xludf.DUMMYFUNCTION("""COMPUTED_VALUE"""),"Light Blue Carpet")</f>
        <v>Light Blue Carpet</v>
      </c>
      <c r="W653" s="174"/>
    </row>
    <row r="654">
      <c r="B654" s="175"/>
      <c r="R654" s="176"/>
      <c r="U654" s="172" t="str">
        <f>IFERROR(__xludf.DUMMYFUNCTION("""COMPUTED_VALUE"""),"")</f>
        <v/>
      </c>
      <c r="V654" s="173" t="str">
        <f>IFERROR(__xludf.DUMMYFUNCTION("""COMPUTED_VALUE"""),"Light Blue Concrete")</f>
        <v>Light Blue Concrete</v>
      </c>
      <c r="W654" s="174"/>
    </row>
    <row r="655">
      <c r="B655" s="175"/>
      <c r="R655" s="176"/>
      <c r="U655" s="172" t="str">
        <f>IFERROR(__xludf.DUMMYFUNCTION("""COMPUTED_VALUE"""),"")</f>
        <v/>
      </c>
      <c r="V655" s="173" t="str">
        <f>IFERROR(__xludf.DUMMYFUNCTION("""COMPUTED_VALUE"""),"Light Blue Concrete Powder")</f>
        <v>Light Blue Concrete Powder</v>
      </c>
      <c r="W655" s="174"/>
    </row>
    <row r="656">
      <c r="B656" s="175"/>
      <c r="R656" s="176"/>
      <c r="U656" s="172" t="str">
        <f>IFERROR(__xludf.DUMMYFUNCTION("""COMPUTED_VALUE"""),"")</f>
        <v/>
      </c>
      <c r="V656" s="173" t="str">
        <f>IFERROR(__xludf.DUMMYFUNCTION("""COMPUTED_VALUE"""),"Light Blue Dye")</f>
        <v>Light Blue Dye</v>
      </c>
      <c r="W656" s="174"/>
    </row>
    <row r="657">
      <c r="B657" s="175"/>
      <c r="R657" s="176"/>
      <c r="U657" s="172" t="str">
        <f>IFERROR(__xludf.DUMMYFUNCTION("""COMPUTED_VALUE"""),"")</f>
        <v/>
      </c>
      <c r="V657" s="173" t="str">
        <f>IFERROR(__xludf.DUMMYFUNCTION("""COMPUTED_VALUE"""),"Light Blue Glazed Terracotta")</f>
        <v>Light Blue Glazed Terracotta</v>
      </c>
      <c r="W657" s="174"/>
    </row>
    <row r="658">
      <c r="B658" s="175"/>
      <c r="R658" s="176"/>
      <c r="U658" s="172" t="str">
        <f>IFERROR(__xludf.DUMMYFUNCTION("""COMPUTED_VALUE"""),"")</f>
        <v/>
      </c>
      <c r="V658" s="173" t="str">
        <f>IFERROR(__xludf.DUMMYFUNCTION("""COMPUTED_VALUE"""),"Light Blue Shulker Box")</f>
        <v>Light Blue Shulker Box</v>
      </c>
      <c r="W658" s="174"/>
    </row>
    <row r="659">
      <c r="B659" s="175"/>
      <c r="R659" s="176"/>
      <c r="U659" s="172" t="str">
        <f>IFERROR(__xludf.DUMMYFUNCTION("""COMPUTED_VALUE"""),"")</f>
        <v/>
      </c>
      <c r="V659" s="173" t="str">
        <f>IFERROR(__xludf.DUMMYFUNCTION("""COMPUTED_VALUE"""),"Light Blue Stained Glass")</f>
        <v>Light Blue Stained Glass</v>
      </c>
      <c r="W659" s="174"/>
    </row>
    <row r="660">
      <c r="B660" s="175"/>
      <c r="R660" s="176"/>
      <c r="U660" s="172" t="str">
        <f>IFERROR(__xludf.DUMMYFUNCTION("""COMPUTED_VALUE"""),"")</f>
        <v/>
      </c>
      <c r="V660" s="173" t="str">
        <f>IFERROR(__xludf.DUMMYFUNCTION("""COMPUTED_VALUE"""),"Light Blue Stained Glass Pane")</f>
        <v>Light Blue Stained Glass Pane</v>
      </c>
      <c r="W660" s="174"/>
    </row>
    <row r="661">
      <c r="B661" s="175"/>
      <c r="R661" s="176"/>
      <c r="U661" s="172" t="str">
        <f>IFERROR(__xludf.DUMMYFUNCTION("""COMPUTED_VALUE"""),"")</f>
        <v/>
      </c>
      <c r="V661" s="173" t="str">
        <f>IFERROR(__xludf.DUMMYFUNCTION("""COMPUTED_VALUE"""),"Light Blue Terracotta")</f>
        <v>Light Blue Terracotta</v>
      </c>
      <c r="W661" s="174"/>
    </row>
    <row r="662">
      <c r="B662" s="175"/>
      <c r="R662" s="176"/>
      <c r="U662" s="172" t="str">
        <f>IFERROR(__xludf.DUMMYFUNCTION("""COMPUTED_VALUE"""),"")</f>
        <v/>
      </c>
      <c r="V662" s="173" t="str">
        <f>IFERROR(__xludf.DUMMYFUNCTION("""COMPUTED_VALUE"""),"Light Blue Wool")</f>
        <v>Light Blue Wool</v>
      </c>
      <c r="W662" s="174"/>
    </row>
    <row r="663">
      <c r="B663" s="175"/>
      <c r="R663" s="176"/>
      <c r="U663" s="172" t="str">
        <f>IFERROR(__xludf.DUMMYFUNCTION("""COMPUTED_VALUE"""),"")</f>
        <v/>
      </c>
      <c r="V663" s="173" t="str">
        <f>IFERROR(__xludf.DUMMYFUNCTION("""COMPUTED_VALUE"""),"Light Gray Banner")</f>
        <v>Light Gray Banner</v>
      </c>
      <c r="W663" s="174"/>
    </row>
    <row r="664">
      <c r="B664" s="175"/>
      <c r="R664" s="176"/>
      <c r="U664" s="172" t="str">
        <f>IFERROR(__xludf.DUMMYFUNCTION("""COMPUTED_VALUE"""),"")</f>
        <v/>
      </c>
      <c r="V664" s="173" t="str">
        <f>IFERROR(__xludf.DUMMYFUNCTION("""COMPUTED_VALUE"""),"Light Gray Bed")</f>
        <v>Light Gray Bed</v>
      </c>
      <c r="W664" s="174"/>
    </row>
    <row r="665">
      <c r="B665" s="175"/>
      <c r="R665" s="176"/>
      <c r="U665" s="172" t="str">
        <f>IFERROR(__xludf.DUMMYFUNCTION("""COMPUTED_VALUE"""),"")</f>
        <v/>
      </c>
      <c r="V665" s="173" t="str">
        <f>IFERROR(__xludf.DUMMYFUNCTION("""COMPUTED_VALUE"""),"Light Gray Candle")</f>
        <v>Light Gray Candle</v>
      </c>
      <c r="W665" s="174"/>
    </row>
    <row r="666">
      <c r="B666" s="175"/>
      <c r="R666" s="176"/>
      <c r="U666" s="172" t="str">
        <f>IFERROR(__xludf.DUMMYFUNCTION("""COMPUTED_VALUE"""),"")</f>
        <v/>
      </c>
      <c r="V666" s="173" t="str">
        <f>IFERROR(__xludf.DUMMYFUNCTION("""COMPUTED_VALUE"""),"Light Gray Carpet")</f>
        <v>Light Gray Carpet</v>
      </c>
      <c r="W666" s="174"/>
    </row>
    <row r="667">
      <c r="B667" s="175"/>
      <c r="R667" s="176"/>
      <c r="U667" s="172" t="str">
        <f>IFERROR(__xludf.DUMMYFUNCTION("""COMPUTED_VALUE"""),"")</f>
        <v/>
      </c>
      <c r="V667" s="173" t="str">
        <f>IFERROR(__xludf.DUMMYFUNCTION("""COMPUTED_VALUE"""),"Light Gray Concrete")</f>
        <v>Light Gray Concrete</v>
      </c>
      <c r="W667" s="174"/>
    </row>
    <row r="668">
      <c r="B668" s="175"/>
      <c r="R668" s="176"/>
      <c r="U668" s="172" t="str">
        <f>IFERROR(__xludf.DUMMYFUNCTION("""COMPUTED_VALUE"""),"")</f>
        <v/>
      </c>
      <c r="V668" s="173" t="str">
        <f>IFERROR(__xludf.DUMMYFUNCTION("""COMPUTED_VALUE"""),"Light Gray Concrete Powder")</f>
        <v>Light Gray Concrete Powder</v>
      </c>
      <c r="W668" s="174"/>
    </row>
    <row r="669">
      <c r="B669" s="175"/>
      <c r="R669" s="176"/>
      <c r="U669" s="172" t="str">
        <f>IFERROR(__xludf.DUMMYFUNCTION("""COMPUTED_VALUE"""),"")</f>
        <v/>
      </c>
      <c r="V669" s="173" t="str">
        <f>IFERROR(__xludf.DUMMYFUNCTION("""COMPUTED_VALUE"""),"Light Gray Dye")</f>
        <v>Light Gray Dye</v>
      </c>
      <c r="W669" s="174"/>
    </row>
    <row r="670">
      <c r="B670" s="175"/>
      <c r="R670" s="176"/>
      <c r="U670" s="172" t="str">
        <f>IFERROR(__xludf.DUMMYFUNCTION("""COMPUTED_VALUE"""),"")</f>
        <v/>
      </c>
      <c r="V670" s="173" t="str">
        <f>IFERROR(__xludf.DUMMYFUNCTION("""COMPUTED_VALUE"""),"Light Gray Glazed Terracotta")</f>
        <v>Light Gray Glazed Terracotta</v>
      </c>
      <c r="W670" s="174"/>
    </row>
    <row r="671">
      <c r="B671" s="175"/>
      <c r="R671" s="176"/>
      <c r="U671" s="172" t="str">
        <f>IFERROR(__xludf.DUMMYFUNCTION("""COMPUTED_VALUE"""),"")</f>
        <v/>
      </c>
      <c r="V671" s="173" t="str">
        <f>IFERROR(__xludf.DUMMYFUNCTION("""COMPUTED_VALUE"""),"Light Gray Shulker Box")</f>
        <v>Light Gray Shulker Box</v>
      </c>
      <c r="W671" s="174"/>
    </row>
    <row r="672">
      <c r="B672" s="175"/>
      <c r="R672" s="176"/>
      <c r="U672" s="172" t="str">
        <f>IFERROR(__xludf.DUMMYFUNCTION("""COMPUTED_VALUE"""),"")</f>
        <v/>
      </c>
      <c r="V672" s="173" t="str">
        <f>IFERROR(__xludf.DUMMYFUNCTION("""COMPUTED_VALUE"""),"Light Gray Stained Glass")</f>
        <v>Light Gray Stained Glass</v>
      </c>
      <c r="W672" s="174"/>
    </row>
    <row r="673">
      <c r="B673" s="175"/>
      <c r="R673" s="176"/>
      <c r="U673" s="172" t="str">
        <f>IFERROR(__xludf.DUMMYFUNCTION("""COMPUTED_VALUE"""),"")</f>
        <v/>
      </c>
      <c r="V673" s="173" t="str">
        <f>IFERROR(__xludf.DUMMYFUNCTION("""COMPUTED_VALUE"""),"Light Gray Stained Glass Pane")</f>
        <v>Light Gray Stained Glass Pane</v>
      </c>
      <c r="W673" s="174"/>
    </row>
    <row r="674">
      <c r="B674" s="175"/>
      <c r="R674" s="176"/>
      <c r="U674" s="172" t="str">
        <f>IFERROR(__xludf.DUMMYFUNCTION("""COMPUTED_VALUE"""),"")</f>
        <v/>
      </c>
      <c r="V674" s="173" t="str">
        <f>IFERROR(__xludf.DUMMYFUNCTION("""COMPUTED_VALUE"""),"Light Gray Terracotta")</f>
        <v>Light Gray Terracotta</v>
      </c>
      <c r="W674" s="174"/>
    </row>
    <row r="675">
      <c r="B675" s="175"/>
      <c r="R675" s="176"/>
      <c r="U675" s="172" t="str">
        <f>IFERROR(__xludf.DUMMYFUNCTION("""COMPUTED_VALUE"""),"")</f>
        <v/>
      </c>
      <c r="V675" s="173" t="str">
        <f>IFERROR(__xludf.DUMMYFUNCTION("""COMPUTED_VALUE"""),"Light Gray Wool")</f>
        <v>Light Gray Wool</v>
      </c>
      <c r="W675" s="174"/>
    </row>
    <row r="676">
      <c r="B676" s="175"/>
      <c r="R676" s="176"/>
      <c r="U676" s="172" t="str">
        <f>IFERROR(__xludf.DUMMYFUNCTION("""COMPUTED_VALUE"""),"")</f>
        <v/>
      </c>
      <c r="V676" s="173" t="str">
        <f>IFERROR(__xludf.DUMMYFUNCTION("""COMPUTED_VALUE"""),"Light Weighted Pressure Plate")</f>
        <v>Light Weighted Pressure Plate</v>
      </c>
      <c r="W676" s="174"/>
    </row>
    <row r="677">
      <c r="B677" s="175"/>
      <c r="R677" s="176"/>
      <c r="U677" s="172" t="str">
        <f>IFERROR(__xludf.DUMMYFUNCTION("""COMPUTED_VALUE"""),"")</f>
        <v/>
      </c>
      <c r="V677" s="173" t="str">
        <f>IFERROR(__xludf.DUMMYFUNCTION("""COMPUTED_VALUE"""),"Lightning Rod")</f>
        <v>Lightning Rod</v>
      </c>
      <c r="W677" s="174"/>
    </row>
    <row r="678">
      <c r="B678" s="175"/>
      <c r="R678" s="176"/>
      <c r="U678" s="172" t="str">
        <f>IFERROR(__xludf.DUMMYFUNCTION("""COMPUTED_VALUE"""),"")</f>
        <v/>
      </c>
      <c r="V678" s="173" t="str">
        <f>IFERROR(__xludf.DUMMYFUNCTION("""COMPUTED_VALUE"""),"Lilac")</f>
        <v>Lilac</v>
      </c>
      <c r="W678" s="174"/>
    </row>
    <row r="679">
      <c r="B679" s="175"/>
      <c r="R679" s="176"/>
      <c r="U679" s="172" t="str">
        <f>IFERROR(__xludf.DUMMYFUNCTION("""COMPUTED_VALUE"""),"")</f>
        <v/>
      </c>
      <c r="V679" s="173" t="str">
        <f>IFERROR(__xludf.DUMMYFUNCTION("""COMPUTED_VALUE"""),"Lily Of The Valley")</f>
        <v>Lily Of The Valley</v>
      </c>
      <c r="W679" s="174"/>
    </row>
    <row r="680">
      <c r="B680" s="175"/>
      <c r="R680" s="176"/>
      <c r="U680" s="172" t="str">
        <f>IFERROR(__xludf.DUMMYFUNCTION("""COMPUTED_VALUE"""),"")</f>
        <v/>
      </c>
      <c r="V680" s="173" t="str">
        <f>IFERROR(__xludf.DUMMYFUNCTION("""COMPUTED_VALUE"""),"Lily Pad")</f>
        <v>Lily Pad</v>
      </c>
      <c r="W680" s="174"/>
    </row>
    <row r="681">
      <c r="B681" s="175"/>
      <c r="R681" s="176"/>
      <c r="U681" s="172" t="str">
        <f>IFERROR(__xludf.DUMMYFUNCTION("""COMPUTED_VALUE"""),"")</f>
        <v/>
      </c>
      <c r="V681" s="173" t="str">
        <f>IFERROR(__xludf.DUMMYFUNCTION("""COMPUTED_VALUE"""),"Lime Banner")</f>
        <v>Lime Banner</v>
      </c>
      <c r="W681" s="174"/>
    </row>
    <row r="682">
      <c r="B682" s="175"/>
      <c r="R682" s="176"/>
      <c r="U682" s="172" t="str">
        <f>IFERROR(__xludf.DUMMYFUNCTION("""COMPUTED_VALUE"""),"")</f>
        <v/>
      </c>
      <c r="V682" s="173" t="str">
        <f>IFERROR(__xludf.DUMMYFUNCTION("""COMPUTED_VALUE"""),"Lime Bed")</f>
        <v>Lime Bed</v>
      </c>
      <c r="W682" s="174"/>
    </row>
    <row r="683">
      <c r="B683" s="175"/>
      <c r="R683" s="176"/>
      <c r="U683" s="172" t="str">
        <f>IFERROR(__xludf.DUMMYFUNCTION("""COMPUTED_VALUE"""),"")</f>
        <v/>
      </c>
      <c r="V683" s="173" t="str">
        <f>IFERROR(__xludf.DUMMYFUNCTION("""COMPUTED_VALUE"""),"Lime Candle")</f>
        <v>Lime Candle</v>
      </c>
      <c r="W683" s="174"/>
    </row>
    <row r="684">
      <c r="B684" s="175"/>
      <c r="R684" s="176"/>
      <c r="U684" s="172" t="str">
        <f>IFERROR(__xludf.DUMMYFUNCTION("""COMPUTED_VALUE"""),"")</f>
        <v/>
      </c>
      <c r="V684" s="173" t="str">
        <f>IFERROR(__xludf.DUMMYFUNCTION("""COMPUTED_VALUE"""),"Lime Carpet")</f>
        <v>Lime Carpet</v>
      </c>
      <c r="W684" s="174"/>
    </row>
    <row r="685">
      <c r="B685" s="175"/>
      <c r="R685" s="176"/>
      <c r="U685" s="172" t="str">
        <f>IFERROR(__xludf.DUMMYFUNCTION("""COMPUTED_VALUE"""),"")</f>
        <v/>
      </c>
      <c r="V685" s="173" t="str">
        <f>IFERROR(__xludf.DUMMYFUNCTION("""COMPUTED_VALUE"""),"Lime Concrete")</f>
        <v>Lime Concrete</v>
      </c>
      <c r="W685" s="174"/>
    </row>
    <row r="686">
      <c r="B686" s="175"/>
      <c r="R686" s="176"/>
      <c r="U686" s="172" t="str">
        <f>IFERROR(__xludf.DUMMYFUNCTION("""COMPUTED_VALUE"""),"")</f>
        <v/>
      </c>
      <c r="V686" s="173" t="str">
        <f>IFERROR(__xludf.DUMMYFUNCTION("""COMPUTED_VALUE"""),"Lime Concrete Powder")</f>
        <v>Lime Concrete Powder</v>
      </c>
      <c r="W686" s="174"/>
    </row>
    <row r="687">
      <c r="B687" s="175"/>
      <c r="R687" s="176"/>
      <c r="U687" s="172" t="str">
        <f>IFERROR(__xludf.DUMMYFUNCTION("""COMPUTED_VALUE"""),"")</f>
        <v/>
      </c>
      <c r="V687" s="173" t="str">
        <f>IFERROR(__xludf.DUMMYFUNCTION("""COMPUTED_VALUE"""),"Lime Dye")</f>
        <v>Lime Dye</v>
      </c>
      <c r="W687" s="174"/>
    </row>
    <row r="688">
      <c r="B688" s="175"/>
      <c r="R688" s="176"/>
      <c r="U688" s="172" t="str">
        <f>IFERROR(__xludf.DUMMYFUNCTION("""COMPUTED_VALUE"""),"")</f>
        <v/>
      </c>
      <c r="V688" s="173" t="str">
        <f>IFERROR(__xludf.DUMMYFUNCTION("""COMPUTED_VALUE"""),"Lime Glazed Terracotta")</f>
        <v>Lime Glazed Terracotta</v>
      </c>
      <c r="W688" s="174"/>
    </row>
    <row r="689">
      <c r="B689" s="175"/>
      <c r="R689" s="176"/>
      <c r="U689" s="172" t="str">
        <f>IFERROR(__xludf.DUMMYFUNCTION("""COMPUTED_VALUE"""),"")</f>
        <v/>
      </c>
      <c r="V689" s="173" t="str">
        <f>IFERROR(__xludf.DUMMYFUNCTION("""COMPUTED_VALUE"""),"Lime Shulker Box")</f>
        <v>Lime Shulker Box</v>
      </c>
      <c r="W689" s="174"/>
    </row>
    <row r="690">
      <c r="B690" s="175"/>
      <c r="R690" s="176"/>
      <c r="U690" s="172" t="str">
        <f>IFERROR(__xludf.DUMMYFUNCTION("""COMPUTED_VALUE"""),"")</f>
        <v/>
      </c>
      <c r="V690" s="173" t="str">
        <f>IFERROR(__xludf.DUMMYFUNCTION("""COMPUTED_VALUE"""),"Lime Stained Glass")</f>
        <v>Lime Stained Glass</v>
      </c>
      <c r="W690" s="174"/>
    </row>
    <row r="691">
      <c r="B691" s="175"/>
      <c r="R691" s="176"/>
      <c r="U691" s="172" t="str">
        <f>IFERROR(__xludf.DUMMYFUNCTION("""COMPUTED_VALUE"""),"")</f>
        <v/>
      </c>
      <c r="V691" s="173" t="str">
        <f>IFERROR(__xludf.DUMMYFUNCTION("""COMPUTED_VALUE"""),"Lime Stained Glass Pane")</f>
        <v>Lime Stained Glass Pane</v>
      </c>
      <c r="W691" s="174"/>
    </row>
    <row r="692">
      <c r="B692" s="175"/>
      <c r="R692" s="176"/>
      <c r="U692" s="172" t="str">
        <f>IFERROR(__xludf.DUMMYFUNCTION("""COMPUTED_VALUE"""),"")</f>
        <v/>
      </c>
      <c r="V692" s="173" t="str">
        <f>IFERROR(__xludf.DUMMYFUNCTION("""COMPUTED_VALUE"""),"Lime Terracotta")</f>
        <v>Lime Terracotta</v>
      </c>
      <c r="W692" s="174"/>
    </row>
    <row r="693">
      <c r="B693" s="175"/>
      <c r="R693" s="176"/>
      <c r="U693" s="172" t="str">
        <f>IFERROR(__xludf.DUMMYFUNCTION("""COMPUTED_VALUE"""),"")</f>
        <v/>
      </c>
      <c r="V693" s="173" t="str">
        <f>IFERROR(__xludf.DUMMYFUNCTION("""COMPUTED_VALUE"""),"Lime Wool")</f>
        <v>Lime Wool</v>
      </c>
      <c r="W693" s="174"/>
    </row>
    <row r="694">
      <c r="B694" s="175"/>
      <c r="R694" s="176"/>
      <c r="U694" s="172" t="str">
        <f>IFERROR(__xludf.DUMMYFUNCTION("""COMPUTED_VALUE"""),"")</f>
        <v/>
      </c>
      <c r="V694" s="173" t="str">
        <f>IFERROR(__xludf.DUMMYFUNCTION("""COMPUTED_VALUE"""),"Lingering Potion")</f>
        <v>Lingering Potion</v>
      </c>
      <c r="W694" s="174"/>
    </row>
    <row r="695">
      <c r="B695" s="175"/>
      <c r="R695" s="176"/>
      <c r="U695" s="172" t="str">
        <f>IFERROR(__xludf.DUMMYFUNCTION("""COMPUTED_VALUE"""),"")</f>
        <v/>
      </c>
      <c r="V695" s="173" t="str">
        <f>IFERROR(__xludf.DUMMYFUNCTION("""COMPUTED_VALUE"""),"Lodestone")</f>
        <v>Lodestone</v>
      </c>
      <c r="W695" s="174"/>
    </row>
    <row r="696">
      <c r="B696" s="175"/>
      <c r="R696" s="176"/>
      <c r="U696" s="172" t="str">
        <f>IFERROR(__xludf.DUMMYFUNCTION("""COMPUTED_VALUE"""),"")</f>
        <v/>
      </c>
      <c r="V696" s="173" t="str">
        <f>IFERROR(__xludf.DUMMYFUNCTION("""COMPUTED_VALUE"""),"Loom")</f>
        <v>Loom</v>
      </c>
      <c r="W696" s="174"/>
    </row>
    <row r="697">
      <c r="B697" s="175"/>
      <c r="R697" s="176"/>
      <c r="U697" s="172" t="str">
        <f>IFERROR(__xludf.DUMMYFUNCTION("""COMPUTED_VALUE"""),"")</f>
        <v/>
      </c>
      <c r="V697" s="173" t="str">
        <f>IFERROR(__xludf.DUMMYFUNCTION("""COMPUTED_VALUE"""),"Mace")</f>
        <v>Mace</v>
      </c>
      <c r="W697" s="174"/>
    </row>
    <row r="698">
      <c r="B698" s="175"/>
      <c r="R698" s="176"/>
      <c r="U698" s="172" t="str">
        <f>IFERROR(__xludf.DUMMYFUNCTION("""COMPUTED_VALUE"""),"")</f>
        <v/>
      </c>
      <c r="V698" s="173" t="str">
        <f>IFERROR(__xludf.DUMMYFUNCTION("""COMPUTED_VALUE"""),"Magenta Banner")</f>
        <v>Magenta Banner</v>
      </c>
      <c r="W698" s="174"/>
    </row>
    <row r="699">
      <c r="B699" s="175"/>
      <c r="R699" s="176"/>
      <c r="U699" s="172" t="str">
        <f>IFERROR(__xludf.DUMMYFUNCTION("""COMPUTED_VALUE"""),"")</f>
        <v/>
      </c>
      <c r="V699" s="173" t="str">
        <f>IFERROR(__xludf.DUMMYFUNCTION("""COMPUTED_VALUE"""),"Magenta Bed")</f>
        <v>Magenta Bed</v>
      </c>
      <c r="W699" s="174"/>
    </row>
    <row r="700">
      <c r="B700" s="175"/>
      <c r="R700" s="176"/>
      <c r="U700" s="172" t="str">
        <f>IFERROR(__xludf.DUMMYFUNCTION("""COMPUTED_VALUE"""),"")</f>
        <v/>
      </c>
      <c r="V700" s="173" t="str">
        <f>IFERROR(__xludf.DUMMYFUNCTION("""COMPUTED_VALUE"""),"Magenta Candle")</f>
        <v>Magenta Candle</v>
      </c>
      <c r="W700" s="174"/>
    </row>
    <row r="701">
      <c r="B701" s="175"/>
      <c r="R701" s="176"/>
      <c r="U701" s="172" t="str">
        <f>IFERROR(__xludf.DUMMYFUNCTION("""COMPUTED_VALUE"""),"")</f>
        <v/>
      </c>
      <c r="V701" s="173" t="str">
        <f>IFERROR(__xludf.DUMMYFUNCTION("""COMPUTED_VALUE"""),"Magenta Carpet")</f>
        <v>Magenta Carpet</v>
      </c>
      <c r="W701" s="174"/>
    </row>
    <row r="702">
      <c r="B702" s="175"/>
      <c r="R702" s="176"/>
      <c r="U702" s="172" t="str">
        <f>IFERROR(__xludf.DUMMYFUNCTION("""COMPUTED_VALUE"""),"")</f>
        <v/>
      </c>
      <c r="V702" s="173" t="str">
        <f>IFERROR(__xludf.DUMMYFUNCTION("""COMPUTED_VALUE"""),"Magenta Concrete")</f>
        <v>Magenta Concrete</v>
      </c>
      <c r="W702" s="174"/>
    </row>
    <row r="703">
      <c r="B703" s="175"/>
      <c r="R703" s="176"/>
      <c r="U703" s="172" t="str">
        <f>IFERROR(__xludf.DUMMYFUNCTION("""COMPUTED_VALUE"""),"")</f>
        <v/>
      </c>
      <c r="V703" s="173" t="str">
        <f>IFERROR(__xludf.DUMMYFUNCTION("""COMPUTED_VALUE"""),"Magenta Concrete Powder")</f>
        <v>Magenta Concrete Powder</v>
      </c>
      <c r="W703" s="174"/>
    </row>
    <row r="704">
      <c r="B704" s="175"/>
      <c r="R704" s="176"/>
      <c r="U704" s="172" t="str">
        <f>IFERROR(__xludf.DUMMYFUNCTION("""COMPUTED_VALUE"""),"")</f>
        <v/>
      </c>
      <c r="V704" s="173" t="str">
        <f>IFERROR(__xludf.DUMMYFUNCTION("""COMPUTED_VALUE"""),"Magenta Dye")</f>
        <v>Magenta Dye</v>
      </c>
      <c r="W704" s="174"/>
    </row>
    <row r="705">
      <c r="B705" s="175"/>
      <c r="R705" s="176"/>
      <c r="U705" s="172" t="str">
        <f>IFERROR(__xludf.DUMMYFUNCTION("""COMPUTED_VALUE"""),"")</f>
        <v/>
      </c>
      <c r="V705" s="173" t="str">
        <f>IFERROR(__xludf.DUMMYFUNCTION("""COMPUTED_VALUE"""),"Magenta Glazed Terracotta")</f>
        <v>Magenta Glazed Terracotta</v>
      </c>
      <c r="W705" s="174"/>
    </row>
    <row r="706">
      <c r="B706" s="175"/>
      <c r="R706" s="176"/>
      <c r="U706" s="172" t="str">
        <f>IFERROR(__xludf.DUMMYFUNCTION("""COMPUTED_VALUE"""),"")</f>
        <v/>
      </c>
      <c r="V706" s="173" t="str">
        <f>IFERROR(__xludf.DUMMYFUNCTION("""COMPUTED_VALUE"""),"Magenta Shulker Box")</f>
        <v>Magenta Shulker Box</v>
      </c>
      <c r="W706" s="174"/>
    </row>
    <row r="707">
      <c r="B707" s="175"/>
      <c r="R707" s="176"/>
      <c r="U707" s="172" t="str">
        <f>IFERROR(__xludf.DUMMYFUNCTION("""COMPUTED_VALUE"""),"")</f>
        <v/>
      </c>
      <c r="V707" s="173" t="str">
        <f>IFERROR(__xludf.DUMMYFUNCTION("""COMPUTED_VALUE"""),"Magenta Stained Glass")</f>
        <v>Magenta Stained Glass</v>
      </c>
      <c r="W707" s="174"/>
    </row>
    <row r="708">
      <c r="B708" s="175"/>
      <c r="R708" s="176"/>
      <c r="U708" s="172" t="str">
        <f>IFERROR(__xludf.DUMMYFUNCTION("""COMPUTED_VALUE"""),"")</f>
        <v/>
      </c>
      <c r="V708" s="173" t="str">
        <f>IFERROR(__xludf.DUMMYFUNCTION("""COMPUTED_VALUE"""),"Magenta Stained Glass Pane")</f>
        <v>Magenta Stained Glass Pane</v>
      </c>
      <c r="W708" s="174"/>
    </row>
    <row r="709">
      <c r="B709" s="175"/>
      <c r="R709" s="176"/>
      <c r="U709" s="172" t="str">
        <f>IFERROR(__xludf.DUMMYFUNCTION("""COMPUTED_VALUE"""),"")</f>
        <v/>
      </c>
      <c r="V709" s="173" t="str">
        <f>IFERROR(__xludf.DUMMYFUNCTION("""COMPUTED_VALUE"""),"Magenta Terracotta")</f>
        <v>Magenta Terracotta</v>
      </c>
      <c r="W709" s="174"/>
    </row>
    <row r="710">
      <c r="B710" s="175"/>
      <c r="R710" s="176"/>
      <c r="U710" s="172" t="str">
        <f>IFERROR(__xludf.DUMMYFUNCTION("""COMPUTED_VALUE"""),"")</f>
        <v/>
      </c>
      <c r="V710" s="173" t="str">
        <f>IFERROR(__xludf.DUMMYFUNCTION("""COMPUTED_VALUE"""),"Magenta Wool")</f>
        <v>Magenta Wool</v>
      </c>
      <c r="W710" s="174"/>
    </row>
    <row r="711">
      <c r="B711" s="175"/>
      <c r="R711" s="176"/>
      <c r="U711" s="172" t="str">
        <f>IFERROR(__xludf.DUMMYFUNCTION("""COMPUTED_VALUE"""),"")</f>
        <v/>
      </c>
      <c r="V711" s="173" t="str">
        <f>IFERROR(__xludf.DUMMYFUNCTION("""COMPUTED_VALUE"""),"Magma Block")</f>
        <v>Magma Block</v>
      </c>
      <c r="W711" s="174"/>
    </row>
    <row r="712">
      <c r="B712" s="175"/>
      <c r="R712" s="176"/>
      <c r="U712" s="172" t="str">
        <f>IFERROR(__xludf.DUMMYFUNCTION("""COMPUTED_VALUE"""),"")</f>
        <v/>
      </c>
      <c r="V712" s="173" t="str">
        <f>IFERROR(__xludf.DUMMYFUNCTION("""COMPUTED_VALUE"""),"Magma Cream")</f>
        <v>Magma Cream</v>
      </c>
      <c r="W712" s="174"/>
    </row>
    <row r="713">
      <c r="B713" s="175"/>
      <c r="R713" s="176"/>
      <c r="U713" s="172" t="str">
        <f>IFERROR(__xludf.DUMMYFUNCTION("""COMPUTED_VALUE"""),"")</f>
        <v/>
      </c>
      <c r="V713" s="173" t="str">
        <f>IFERROR(__xludf.DUMMYFUNCTION("""COMPUTED_VALUE"""),"Mangrove Boat")</f>
        <v>Mangrove Boat</v>
      </c>
      <c r="W713" s="174"/>
    </row>
    <row r="714">
      <c r="B714" s="175"/>
      <c r="R714" s="176"/>
      <c r="U714" s="172" t="str">
        <f>IFERROR(__xludf.DUMMYFUNCTION("""COMPUTED_VALUE"""),"")</f>
        <v/>
      </c>
      <c r="V714" s="173" t="str">
        <f>IFERROR(__xludf.DUMMYFUNCTION("""COMPUTED_VALUE"""),"Mangrove Button")</f>
        <v>Mangrove Button</v>
      </c>
      <c r="W714" s="174"/>
    </row>
    <row r="715">
      <c r="B715" s="175"/>
      <c r="R715" s="176"/>
      <c r="U715" s="172" t="str">
        <f>IFERROR(__xludf.DUMMYFUNCTION("""COMPUTED_VALUE"""),"")</f>
        <v/>
      </c>
      <c r="V715" s="173" t="str">
        <f>IFERROR(__xludf.DUMMYFUNCTION("""COMPUTED_VALUE"""),"Mangrove Chest Boat")</f>
        <v>Mangrove Chest Boat</v>
      </c>
      <c r="W715" s="174"/>
    </row>
    <row r="716">
      <c r="B716" s="175"/>
      <c r="R716" s="176"/>
      <c r="U716" s="172" t="str">
        <f>IFERROR(__xludf.DUMMYFUNCTION("""COMPUTED_VALUE"""),"")</f>
        <v/>
      </c>
      <c r="V716" s="173" t="str">
        <f>IFERROR(__xludf.DUMMYFUNCTION("""COMPUTED_VALUE"""),"Mangrove Door")</f>
        <v>Mangrove Door</v>
      </c>
      <c r="W716" s="174"/>
    </row>
    <row r="717">
      <c r="B717" s="175"/>
      <c r="R717" s="176"/>
      <c r="U717" s="172" t="str">
        <f>IFERROR(__xludf.DUMMYFUNCTION("""COMPUTED_VALUE"""),"")</f>
        <v/>
      </c>
      <c r="V717" s="173" t="str">
        <f>IFERROR(__xludf.DUMMYFUNCTION("""COMPUTED_VALUE"""),"Mangrove Fence")</f>
        <v>Mangrove Fence</v>
      </c>
      <c r="W717" s="174"/>
    </row>
    <row r="718">
      <c r="B718" s="175"/>
      <c r="R718" s="176"/>
      <c r="U718" s="172" t="str">
        <f>IFERROR(__xludf.DUMMYFUNCTION("""COMPUTED_VALUE"""),"")</f>
        <v/>
      </c>
      <c r="V718" s="173" t="str">
        <f>IFERROR(__xludf.DUMMYFUNCTION("""COMPUTED_VALUE"""),"Mangrove Fence Gate")</f>
        <v>Mangrove Fence Gate</v>
      </c>
      <c r="W718" s="174"/>
    </row>
    <row r="719">
      <c r="B719" s="175"/>
      <c r="R719" s="176"/>
      <c r="U719" s="172" t="str">
        <f>IFERROR(__xludf.DUMMYFUNCTION("""COMPUTED_VALUE"""),"")</f>
        <v/>
      </c>
      <c r="V719" s="173" t="str">
        <f>IFERROR(__xludf.DUMMYFUNCTION("""COMPUTED_VALUE"""),"Mangrove Hanging Sign")</f>
        <v>Mangrove Hanging Sign</v>
      </c>
      <c r="W719" s="174"/>
    </row>
    <row r="720">
      <c r="B720" s="175"/>
      <c r="R720" s="176"/>
      <c r="U720" s="172" t="str">
        <f>IFERROR(__xludf.DUMMYFUNCTION("""COMPUTED_VALUE"""),"")</f>
        <v/>
      </c>
      <c r="V720" s="173" t="str">
        <f>IFERROR(__xludf.DUMMYFUNCTION("""COMPUTED_VALUE"""),"Mangrove Leaves")</f>
        <v>Mangrove Leaves</v>
      </c>
      <c r="W720" s="174"/>
    </row>
    <row r="721">
      <c r="B721" s="175"/>
      <c r="R721" s="176"/>
      <c r="U721" s="172" t="str">
        <f>IFERROR(__xludf.DUMMYFUNCTION("""COMPUTED_VALUE"""),"")</f>
        <v/>
      </c>
      <c r="V721" s="173" t="str">
        <f>IFERROR(__xludf.DUMMYFUNCTION("""COMPUTED_VALUE"""),"Mangrove Log")</f>
        <v>Mangrove Log</v>
      </c>
      <c r="W721" s="174"/>
    </row>
    <row r="722">
      <c r="B722" s="175"/>
      <c r="R722" s="176"/>
      <c r="U722" s="172" t="str">
        <f>IFERROR(__xludf.DUMMYFUNCTION("""COMPUTED_VALUE"""),"")</f>
        <v/>
      </c>
      <c r="V722" s="173" t="str">
        <f>IFERROR(__xludf.DUMMYFUNCTION("""COMPUTED_VALUE"""),"Mangrove Planks")</f>
        <v>Mangrove Planks</v>
      </c>
      <c r="W722" s="174"/>
    </row>
    <row r="723">
      <c r="B723" s="175"/>
      <c r="R723" s="176"/>
      <c r="U723" s="172" t="str">
        <f>IFERROR(__xludf.DUMMYFUNCTION("""COMPUTED_VALUE"""),"")</f>
        <v/>
      </c>
      <c r="V723" s="173" t="str">
        <f>IFERROR(__xludf.DUMMYFUNCTION("""COMPUTED_VALUE"""),"Mangrove Pressure Plate")</f>
        <v>Mangrove Pressure Plate</v>
      </c>
      <c r="W723" s="174"/>
    </row>
    <row r="724">
      <c r="B724" s="175"/>
      <c r="R724" s="176"/>
      <c r="U724" s="172" t="str">
        <f>IFERROR(__xludf.DUMMYFUNCTION("""COMPUTED_VALUE"""),"")</f>
        <v/>
      </c>
      <c r="V724" s="173" t="str">
        <f>IFERROR(__xludf.DUMMYFUNCTION("""COMPUTED_VALUE"""),"Mangrove Propagule")</f>
        <v>Mangrove Propagule</v>
      </c>
      <c r="W724" s="174"/>
    </row>
    <row r="725">
      <c r="B725" s="175"/>
      <c r="R725" s="176"/>
      <c r="U725" s="172" t="str">
        <f>IFERROR(__xludf.DUMMYFUNCTION("""COMPUTED_VALUE"""),"")</f>
        <v/>
      </c>
      <c r="V725" s="173" t="str">
        <f>IFERROR(__xludf.DUMMYFUNCTION("""COMPUTED_VALUE"""),"Mangrove Roots")</f>
        <v>Mangrove Roots</v>
      </c>
      <c r="W725" s="174"/>
    </row>
    <row r="726">
      <c r="B726" s="175"/>
      <c r="R726" s="176"/>
      <c r="U726" s="172" t="str">
        <f>IFERROR(__xludf.DUMMYFUNCTION("""COMPUTED_VALUE"""),"")</f>
        <v/>
      </c>
      <c r="V726" s="173" t="str">
        <f>IFERROR(__xludf.DUMMYFUNCTION("""COMPUTED_VALUE"""),"Mangrove Sign")</f>
        <v>Mangrove Sign</v>
      </c>
      <c r="W726" s="174"/>
    </row>
    <row r="727">
      <c r="B727" s="175"/>
      <c r="R727" s="176"/>
      <c r="U727" s="172" t="str">
        <f>IFERROR(__xludf.DUMMYFUNCTION("""COMPUTED_VALUE"""),"")</f>
        <v/>
      </c>
      <c r="V727" s="173" t="str">
        <f>IFERROR(__xludf.DUMMYFUNCTION("""COMPUTED_VALUE"""),"Mangrove Slab")</f>
        <v>Mangrove Slab</v>
      </c>
      <c r="W727" s="174"/>
    </row>
    <row r="728">
      <c r="B728" s="175"/>
      <c r="R728" s="176"/>
      <c r="U728" s="172" t="str">
        <f>IFERROR(__xludf.DUMMYFUNCTION("""COMPUTED_VALUE"""),"")</f>
        <v/>
      </c>
      <c r="V728" s="173" t="str">
        <f>IFERROR(__xludf.DUMMYFUNCTION("""COMPUTED_VALUE"""),"Mangrove Stairs")</f>
        <v>Mangrove Stairs</v>
      </c>
      <c r="W728" s="174"/>
    </row>
    <row r="729">
      <c r="B729" s="175"/>
      <c r="R729" s="176"/>
      <c r="U729" s="172" t="str">
        <f>IFERROR(__xludf.DUMMYFUNCTION("""COMPUTED_VALUE"""),"")</f>
        <v/>
      </c>
      <c r="V729" s="173" t="str">
        <f>IFERROR(__xludf.DUMMYFUNCTION("""COMPUTED_VALUE"""),"Mangrove Trapdoor")</f>
        <v>Mangrove Trapdoor</v>
      </c>
      <c r="W729" s="174"/>
    </row>
    <row r="730">
      <c r="B730" s="175"/>
      <c r="R730" s="176"/>
      <c r="U730" s="172" t="str">
        <f>IFERROR(__xludf.DUMMYFUNCTION("""COMPUTED_VALUE"""),"")</f>
        <v/>
      </c>
      <c r="V730" s="173" t="str">
        <f>IFERROR(__xludf.DUMMYFUNCTION("""COMPUTED_VALUE"""),"Mangrove Wood")</f>
        <v>Mangrove Wood</v>
      </c>
      <c r="W730" s="174"/>
    </row>
    <row r="731">
      <c r="B731" s="175"/>
      <c r="R731" s="176"/>
      <c r="U731" s="172" t="str">
        <f>IFERROR(__xludf.DUMMYFUNCTION("""COMPUTED_VALUE"""),"")</f>
        <v/>
      </c>
      <c r="V731" s="173" t="str">
        <f>IFERROR(__xludf.DUMMYFUNCTION("""COMPUTED_VALUE"""),"Map")</f>
        <v>Map</v>
      </c>
      <c r="W731" s="174"/>
    </row>
    <row r="732">
      <c r="B732" s="175"/>
      <c r="R732" s="176"/>
      <c r="U732" s="172" t="str">
        <f>IFERROR(__xludf.DUMMYFUNCTION("""COMPUTED_VALUE"""),"")</f>
        <v/>
      </c>
      <c r="V732" s="173" t="str">
        <f>IFERROR(__xludf.DUMMYFUNCTION("""COMPUTED_VALUE"""),"Medium Amethyst Bud")</f>
        <v>Medium Amethyst Bud</v>
      </c>
      <c r="W732" s="174"/>
    </row>
    <row r="733">
      <c r="B733" s="175"/>
      <c r="R733" s="176"/>
      <c r="U733" s="172" t="str">
        <f>IFERROR(__xludf.DUMMYFUNCTION("""COMPUTED_VALUE"""),"")</f>
        <v/>
      </c>
      <c r="V733" s="173" t="str">
        <f>IFERROR(__xludf.DUMMYFUNCTION("""COMPUTED_VALUE"""),"Melon")</f>
        <v>Melon</v>
      </c>
      <c r="W733" s="174"/>
    </row>
    <row r="734">
      <c r="B734" s="175"/>
      <c r="R734" s="176"/>
      <c r="U734" s="172" t="str">
        <f>IFERROR(__xludf.DUMMYFUNCTION("""COMPUTED_VALUE"""),"")</f>
        <v/>
      </c>
      <c r="V734" s="173" t="str">
        <f>IFERROR(__xludf.DUMMYFUNCTION("""COMPUTED_VALUE"""),"Melon Seeds")</f>
        <v>Melon Seeds</v>
      </c>
      <c r="W734" s="174"/>
    </row>
    <row r="735">
      <c r="B735" s="175"/>
      <c r="R735" s="176"/>
      <c r="U735" s="172" t="str">
        <f>IFERROR(__xludf.DUMMYFUNCTION("""COMPUTED_VALUE"""),"")</f>
        <v/>
      </c>
      <c r="V735" s="173" t="str">
        <f>IFERROR(__xludf.DUMMYFUNCTION("""COMPUTED_VALUE"""),"Melon Slice")</f>
        <v>Melon Slice</v>
      </c>
      <c r="W735" s="174"/>
    </row>
    <row r="736">
      <c r="B736" s="175"/>
      <c r="R736" s="176"/>
      <c r="U736" s="172" t="str">
        <f>IFERROR(__xludf.DUMMYFUNCTION("""COMPUTED_VALUE"""),"")</f>
        <v/>
      </c>
      <c r="V736" s="173" t="str">
        <f>IFERROR(__xludf.DUMMYFUNCTION("""COMPUTED_VALUE"""),"Milk Bucket")</f>
        <v>Milk Bucket</v>
      </c>
      <c r="W736" s="174"/>
    </row>
    <row r="737">
      <c r="B737" s="175"/>
      <c r="R737" s="176"/>
      <c r="U737" s="172" t="str">
        <f>IFERROR(__xludf.DUMMYFUNCTION("""COMPUTED_VALUE"""),"")</f>
        <v/>
      </c>
      <c r="V737" s="173" t="str">
        <f>IFERROR(__xludf.DUMMYFUNCTION("""COMPUTED_VALUE"""),"Minecart")</f>
        <v>Minecart</v>
      </c>
      <c r="W737" s="174"/>
    </row>
    <row r="738">
      <c r="B738" s="175"/>
      <c r="R738" s="176"/>
      <c r="U738" s="172" t="str">
        <f>IFERROR(__xludf.DUMMYFUNCTION("""COMPUTED_VALUE"""),"")</f>
        <v/>
      </c>
      <c r="V738" s="173" t="str">
        <f>IFERROR(__xludf.DUMMYFUNCTION("""COMPUTED_VALUE"""),"Miner Pottery Sherd")</f>
        <v>Miner Pottery Sherd</v>
      </c>
      <c r="W738" s="174"/>
    </row>
    <row r="739">
      <c r="B739" s="175"/>
      <c r="R739" s="176"/>
      <c r="U739" s="172" t="str">
        <f>IFERROR(__xludf.DUMMYFUNCTION("""COMPUTED_VALUE"""),"")</f>
        <v/>
      </c>
      <c r="V739" s="173" t="str">
        <f>IFERROR(__xludf.DUMMYFUNCTION("""COMPUTED_VALUE"""),"Mojang Banner Pattern")</f>
        <v>Mojang Banner Pattern</v>
      </c>
      <c r="W739" s="174"/>
    </row>
    <row r="740">
      <c r="B740" s="175"/>
      <c r="R740" s="176"/>
      <c r="U740" s="172" t="str">
        <f>IFERROR(__xludf.DUMMYFUNCTION("""COMPUTED_VALUE"""),"")</f>
        <v/>
      </c>
      <c r="V740" s="173" t="str">
        <f>IFERROR(__xludf.DUMMYFUNCTION("""COMPUTED_VALUE"""),"Moss Block")</f>
        <v>Moss Block</v>
      </c>
      <c r="W740" s="174"/>
    </row>
    <row r="741">
      <c r="B741" s="175"/>
      <c r="R741" s="176"/>
      <c r="U741" s="172" t="str">
        <f>IFERROR(__xludf.DUMMYFUNCTION("""COMPUTED_VALUE"""),"")</f>
        <v/>
      </c>
      <c r="V741" s="173" t="str">
        <f>IFERROR(__xludf.DUMMYFUNCTION("""COMPUTED_VALUE"""),"Moss Carpet")</f>
        <v>Moss Carpet</v>
      </c>
      <c r="W741" s="174"/>
    </row>
    <row r="742">
      <c r="B742" s="175"/>
      <c r="R742" s="176"/>
      <c r="U742" s="172" t="str">
        <f>IFERROR(__xludf.DUMMYFUNCTION("""COMPUTED_VALUE"""),"")</f>
        <v/>
      </c>
      <c r="V742" s="173" t="str">
        <f>IFERROR(__xludf.DUMMYFUNCTION("""COMPUTED_VALUE"""),"Mossy Cobblestone")</f>
        <v>Mossy Cobblestone</v>
      </c>
      <c r="W742" s="174"/>
    </row>
    <row r="743">
      <c r="B743" s="175"/>
      <c r="R743" s="176"/>
      <c r="U743" s="172" t="str">
        <f>IFERROR(__xludf.DUMMYFUNCTION("""COMPUTED_VALUE"""),"")</f>
        <v/>
      </c>
      <c r="V743" s="173" t="str">
        <f>IFERROR(__xludf.DUMMYFUNCTION("""COMPUTED_VALUE"""),"Mossy Cobblestone Slab")</f>
        <v>Mossy Cobblestone Slab</v>
      </c>
      <c r="W743" s="174"/>
    </row>
    <row r="744">
      <c r="B744" s="175"/>
      <c r="R744" s="176"/>
      <c r="U744" s="172" t="str">
        <f>IFERROR(__xludf.DUMMYFUNCTION("""COMPUTED_VALUE"""),"")</f>
        <v/>
      </c>
      <c r="V744" s="173" t="str">
        <f>IFERROR(__xludf.DUMMYFUNCTION("""COMPUTED_VALUE"""),"Mossy Cobblestone Stairs")</f>
        <v>Mossy Cobblestone Stairs</v>
      </c>
      <c r="W744" s="174"/>
    </row>
    <row r="745">
      <c r="B745" s="175"/>
      <c r="R745" s="176"/>
      <c r="U745" s="172" t="str">
        <f>IFERROR(__xludf.DUMMYFUNCTION("""COMPUTED_VALUE"""),"")</f>
        <v/>
      </c>
      <c r="V745" s="173" t="str">
        <f>IFERROR(__xludf.DUMMYFUNCTION("""COMPUTED_VALUE"""),"Mossy Cobblestone Wall")</f>
        <v>Mossy Cobblestone Wall</v>
      </c>
      <c r="W745" s="174"/>
    </row>
    <row r="746">
      <c r="B746" s="175"/>
      <c r="R746" s="176"/>
      <c r="U746" s="172" t="str">
        <f>IFERROR(__xludf.DUMMYFUNCTION("""COMPUTED_VALUE"""),"")</f>
        <v/>
      </c>
      <c r="V746" s="173" t="str">
        <f>IFERROR(__xludf.DUMMYFUNCTION("""COMPUTED_VALUE"""),"Mossy Stone Brick Slab")</f>
        <v>Mossy Stone Brick Slab</v>
      </c>
      <c r="W746" s="174"/>
    </row>
    <row r="747">
      <c r="B747" s="175"/>
      <c r="R747" s="176"/>
      <c r="U747" s="172" t="str">
        <f>IFERROR(__xludf.DUMMYFUNCTION("""COMPUTED_VALUE"""),"")</f>
        <v/>
      </c>
      <c r="V747" s="173" t="str">
        <f>IFERROR(__xludf.DUMMYFUNCTION("""COMPUTED_VALUE"""),"Mossy Stone Brick Stairs")</f>
        <v>Mossy Stone Brick Stairs</v>
      </c>
      <c r="W747" s="174"/>
    </row>
    <row r="748">
      <c r="B748" s="175"/>
      <c r="R748" s="176"/>
      <c r="U748" s="172" t="str">
        <f>IFERROR(__xludf.DUMMYFUNCTION("""COMPUTED_VALUE"""),"")</f>
        <v/>
      </c>
      <c r="V748" s="173" t="str">
        <f>IFERROR(__xludf.DUMMYFUNCTION("""COMPUTED_VALUE"""),"Mossy Stone Brick Wall")</f>
        <v>Mossy Stone Brick Wall</v>
      </c>
      <c r="W748" s="174"/>
    </row>
    <row r="749">
      <c r="B749" s="175"/>
      <c r="R749" s="176"/>
      <c r="U749" s="172" t="str">
        <f>IFERROR(__xludf.DUMMYFUNCTION("""COMPUTED_VALUE"""),"")</f>
        <v/>
      </c>
      <c r="V749" s="173" t="str">
        <f>IFERROR(__xludf.DUMMYFUNCTION("""COMPUTED_VALUE"""),"Mossy Stone Bricks")</f>
        <v>Mossy Stone Bricks</v>
      </c>
      <c r="W749" s="174"/>
    </row>
    <row r="750">
      <c r="B750" s="175"/>
      <c r="R750" s="176"/>
      <c r="U750" s="172" t="str">
        <f>IFERROR(__xludf.DUMMYFUNCTION("""COMPUTED_VALUE"""),"")</f>
        <v/>
      </c>
      <c r="V750" s="173" t="str">
        <f>IFERROR(__xludf.DUMMYFUNCTION("""COMPUTED_VALUE"""),"Mourner Pottery Sherd")</f>
        <v>Mourner Pottery Sherd</v>
      </c>
      <c r="W750" s="174"/>
    </row>
    <row r="751">
      <c r="B751" s="175"/>
      <c r="R751" s="176"/>
      <c r="U751" s="172" t="str">
        <f>IFERROR(__xludf.DUMMYFUNCTION("""COMPUTED_VALUE"""),"")</f>
        <v/>
      </c>
      <c r="V751" s="173" t="str">
        <f>IFERROR(__xludf.DUMMYFUNCTION("""COMPUTED_VALUE"""),"Mud")</f>
        <v>Mud</v>
      </c>
      <c r="W751" s="174"/>
    </row>
    <row r="752">
      <c r="B752" s="175"/>
      <c r="R752" s="176"/>
      <c r="U752" s="172" t="str">
        <f>IFERROR(__xludf.DUMMYFUNCTION("""COMPUTED_VALUE"""),"")</f>
        <v/>
      </c>
      <c r="V752" s="173" t="str">
        <f>IFERROR(__xludf.DUMMYFUNCTION("""COMPUTED_VALUE"""),"Mud Brick Slab")</f>
        <v>Mud Brick Slab</v>
      </c>
      <c r="W752" s="174"/>
    </row>
    <row r="753">
      <c r="B753" s="175"/>
      <c r="R753" s="176"/>
      <c r="U753" s="172" t="str">
        <f>IFERROR(__xludf.DUMMYFUNCTION("""COMPUTED_VALUE"""),"")</f>
        <v/>
      </c>
      <c r="V753" s="173" t="str">
        <f>IFERROR(__xludf.DUMMYFUNCTION("""COMPUTED_VALUE"""),"Mud Brick Stairs")</f>
        <v>Mud Brick Stairs</v>
      </c>
      <c r="W753" s="174"/>
    </row>
    <row r="754">
      <c r="B754" s="175"/>
      <c r="R754" s="176"/>
      <c r="U754" s="172" t="str">
        <f>IFERROR(__xludf.DUMMYFUNCTION("""COMPUTED_VALUE"""),"")</f>
        <v/>
      </c>
      <c r="V754" s="173" t="str">
        <f>IFERROR(__xludf.DUMMYFUNCTION("""COMPUTED_VALUE"""),"Mud Brick Wall")</f>
        <v>Mud Brick Wall</v>
      </c>
      <c r="W754" s="174"/>
    </row>
    <row r="755">
      <c r="B755" s="175"/>
      <c r="R755" s="176"/>
      <c r="U755" s="172" t="str">
        <f>IFERROR(__xludf.DUMMYFUNCTION("""COMPUTED_VALUE"""),"")</f>
        <v/>
      </c>
      <c r="V755" s="173" t="str">
        <f>IFERROR(__xludf.DUMMYFUNCTION("""COMPUTED_VALUE"""),"Mud Bricks")</f>
        <v>Mud Bricks</v>
      </c>
      <c r="W755" s="174"/>
    </row>
    <row r="756">
      <c r="B756" s="175"/>
      <c r="R756" s="176"/>
      <c r="U756" s="172" t="str">
        <f>IFERROR(__xludf.DUMMYFUNCTION("""COMPUTED_VALUE"""),"")</f>
        <v/>
      </c>
      <c r="V756" s="173" t="str">
        <f>IFERROR(__xludf.DUMMYFUNCTION("""COMPUTED_VALUE"""),"Muddy Mangrove Roots")</f>
        <v>Muddy Mangrove Roots</v>
      </c>
      <c r="W756" s="174"/>
    </row>
    <row r="757">
      <c r="B757" s="175"/>
      <c r="R757" s="176"/>
      <c r="U757" s="172" t="str">
        <f>IFERROR(__xludf.DUMMYFUNCTION("""COMPUTED_VALUE"""),"")</f>
        <v/>
      </c>
      <c r="V757" s="173" t="str">
        <f>IFERROR(__xludf.DUMMYFUNCTION("""COMPUTED_VALUE"""),"Mushroom Stem")</f>
        <v>Mushroom Stem</v>
      </c>
      <c r="W757" s="174"/>
    </row>
    <row r="758">
      <c r="B758" s="175"/>
      <c r="R758" s="176"/>
      <c r="U758" s="172" t="str">
        <f>IFERROR(__xludf.DUMMYFUNCTION("""COMPUTED_VALUE"""),"")</f>
        <v/>
      </c>
      <c r="V758" s="173" t="str">
        <f>IFERROR(__xludf.DUMMYFUNCTION("""COMPUTED_VALUE"""),"Mushroom Stew")</f>
        <v>Mushroom Stew</v>
      </c>
      <c r="W758" s="174"/>
    </row>
    <row r="759">
      <c r="B759" s="175"/>
      <c r="R759" s="176"/>
      <c r="U759" s="172" t="str">
        <f>IFERROR(__xludf.DUMMYFUNCTION("""COMPUTED_VALUE"""),"")</f>
        <v/>
      </c>
      <c r="V759" s="173" t="str">
        <f>IFERROR(__xludf.DUMMYFUNCTION("""COMPUTED_VALUE"""),"Music Disc 11")</f>
        <v>Music Disc 11</v>
      </c>
      <c r="W759" s="174"/>
    </row>
    <row r="760">
      <c r="B760" s="175"/>
      <c r="R760" s="176"/>
      <c r="U760" s="172" t="str">
        <f>IFERROR(__xludf.DUMMYFUNCTION("""COMPUTED_VALUE"""),"")</f>
        <v/>
      </c>
      <c r="V760" s="173" t="str">
        <f>IFERROR(__xludf.DUMMYFUNCTION("""COMPUTED_VALUE"""),"Music Disc 13")</f>
        <v>Music Disc 13</v>
      </c>
      <c r="W760" s="174"/>
    </row>
    <row r="761">
      <c r="B761" s="175"/>
      <c r="R761" s="176"/>
      <c r="U761" s="172" t="str">
        <f>IFERROR(__xludf.DUMMYFUNCTION("""COMPUTED_VALUE"""),"")</f>
        <v/>
      </c>
      <c r="V761" s="173" t="str">
        <f>IFERROR(__xludf.DUMMYFUNCTION("""COMPUTED_VALUE"""),"Music Disc 5")</f>
        <v>Music Disc 5</v>
      </c>
      <c r="W761" s="174"/>
    </row>
    <row r="762">
      <c r="B762" s="175"/>
      <c r="R762" s="176"/>
      <c r="U762" s="172" t="str">
        <f>IFERROR(__xludf.DUMMYFUNCTION("""COMPUTED_VALUE"""),"")</f>
        <v/>
      </c>
      <c r="V762" s="173" t="str">
        <f>IFERROR(__xludf.DUMMYFUNCTION("""COMPUTED_VALUE"""),"Music Disc Blocks")</f>
        <v>Music Disc Blocks</v>
      </c>
      <c r="W762" s="174"/>
    </row>
    <row r="763">
      <c r="B763" s="175"/>
      <c r="R763" s="176"/>
      <c r="U763" s="172" t="str">
        <f>IFERROR(__xludf.DUMMYFUNCTION("""COMPUTED_VALUE"""),"")</f>
        <v/>
      </c>
      <c r="V763" s="173" t="str">
        <f>IFERROR(__xludf.DUMMYFUNCTION("""COMPUTED_VALUE"""),"Music Disc Cat")</f>
        <v>Music Disc Cat</v>
      </c>
      <c r="W763" s="174"/>
    </row>
    <row r="764">
      <c r="B764" s="175"/>
      <c r="R764" s="176"/>
      <c r="U764" s="172" t="str">
        <f>IFERROR(__xludf.DUMMYFUNCTION("""COMPUTED_VALUE"""),"")</f>
        <v/>
      </c>
      <c r="V764" s="173" t="str">
        <f>IFERROR(__xludf.DUMMYFUNCTION("""COMPUTED_VALUE"""),"Music Disc Chirp")</f>
        <v>Music Disc Chirp</v>
      </c>
      <c r="W764" s="174"/>
    </row>
    <row r="765">
      <c r="B765" s="175"/>
      <c r="R765" s="176"/>
      <c r="U765" s="172" t="str">
        <f>IFERROR(__xludf.DUMMYFUNCTION("""COMPUTED_VALUE"""),"")</f>
        <v/>
      </c>
      <c r="V765" s="173" t="str">
        <f>IFERROR(__xludf.DUMMYFUNCTION("""COMPUTED_VALUE"""),"Music Disc Creator")</f>
        <v>Music Disc Creator</v>
      </c>
      <c r="W765" s="174"/>
    </row>
    <row r="766">
      <c r="B766" s="175"/>
      <c r="R766" s="176"/>
      <c r="U766" s="172" t="str">
        <f>IFERROR(__xludf.DUMMYFUNCTION("""COMPUTED_VALUE"""),"")</f>
        <v/>
      </c>
      <c r="V766" s="173" t="str">
        <f>IFERROR(__xludf.DUMMYFUNCTION("""COMPUTED_VALUE"""),"Music Disc Creator Music Box")</f>
        <v>Music Disc Creator Music Box</v>
      </c>
      <c r="W766" s="174"/>
    </row>
    <row r="767">
      <c r="B767" s="175"/>
      <c r="R767" s="176"/>
      <c r="U767" s="172" t="str">
        <f>IFERROR(__xludf.DUMMYFUNCTION("""COMPUTED_VALUE"""),"")</f>
        <v/>
      </c>
      <c r="V767" s="173" t="str">
        <f>IFERROR(__xludf.DUMMYFUNCTION("""COMPUTED_VALUE"""),"Music Disc Far")</f>
        <v>Music Disc Far</v>
      </c>
      <c r="W767" s="174"/>
    </row>
    <row r="768">
      <c r="B768" s="175"/>
      <c r="R768" s="176"/>
      <c r="U768" s="172" t="str">
        <f>IFERROR(__xludf.DUMMYFUNCTION("""COMPUTED_VALUE"""),"")</f>
        <v/>
      </c>
      <c r="V768" s="173" t="str">
        <f>IFERROR(__xludf.DUMMYFUNCTION("""COMPUTED_VALUE"""),"Music Disc Mall")</f>
        <v>Music Disc Mall</v>
      </c>
      <c r="W768" s="174"/>
    </row>
    <row r="769">
      <c r="B769" s="175"/>
      <c r="R769" s="176"/>
      <c r="U769" s="172" t="str">
        <f>IFERROR(__xludf.DUMMYFUNCTION("""COMPUTED_VALUE"""),"")</f>
        <v/>
      </c>
      <c r="V769" s="173" t="str">
        <f>IFERROR(__xludf.DUMMYFUNCTION("""COMPUTED_VALUE"""),"Music Disc Mellohi")</f>
        <v>Music Disc Mellohi</v>
      </c>
      <c r="W769" s="174"/>
    </row>
    <row r="770">
      <c r="B770" s="175"/>
      <c r="R770" s="176"/>
      <c r="U770" s="172" t="str">
        <f>IFERROR(__xludf.DUMMYFUNCTION("""COMPUTED_VALUE"""),"")</f>
        <v/>
      </c>
      <c r="V770" s="173" t="str">
        <f>IFERROR(__xludf.DUMMYFUNCTION("""COMPUTED_VALUE"""),"Music Disc Otherside")</f>
        <v>Music Disc Otherside</v>
      </c>
      <c r="W770" s="174"/>
    </row>
    <row r="771">
      <c r="B771" s="175"/>
      <c r="R771" s="176"/>
      <c r="U771" s="172" t="str">
        <f>IFERROR(__xludf.DUMMYFUNCTION("""COMPUTED_VALUE"""),"")</f>
        <v/>
      </c>
      <c r="V771" s="173" t="str">
        <f>IFERROR(__xludf.DUMMYFUNCTION("""COMPUTED_VALUE"""),"Music Disc Pigstep")</f>
        <v>Music Disc Pigstep</v>
      </c>
      <c r="W771" s="174"/>
    </row>
    <row r="772">
      <c r="B772" s="175"/>
      <c r="R772" s="176"/>
      <c r="U772" s="172" t="str">
        <f>IFERROR(__xludf.DUMMYFUNCTION("""COMPUTED_VALUE"""),"")</f>
        <v/>
      </c>
      <c r="V772" s="173" t="str">
        <f>IFERROR(__xludf.DUMMYFUNCTION("""COMPUTED_VALUE"""),"Music Disc Precipice")</f>
        <v>Music Disc Precipice</v>
      </c>
      <c r="W772" s="174"/>
    </row>
    <row r="773">
      <c r="B773" s="175"/>
      <c r="R773" s="176"/>
      <c r="U773" s="172" t="str">
        <f>IFERROR(__xludf.DUMMYFUNCTION("""COMPUTED_VALUE"""),"")</f>
        <v/>
      </c>
      <c r="V773" s="173" t="str">
        <f>IFERROR(__xludf.DUMMYFUNCTION("""COMPUTED_VALUE"""),"Music Disc Relic")</f>
        <v>Music Disc Relic</v>
      </c>
      <c r="W773" s="174"/>
    </row>
    <row r="774">
      <c r="B774" s="175"/>
      <c r="R774" s="176"/>
      <c r="U774" s="172" t="str">
        <f>IFERROR(__xludf.DUMMYFUNCTION("""COMPUTED_VALUE"""),"")</f>
        <v/>
      </c>
      <c r="V774" s="173" t="str">
        <f>IFERROR(__xludf.DUMMYFUNCTION("""COMPUTED_VALUE"""),"Music Disc Stal")</f>
        <v>Music Disc Stal</v>
      </c>
      <c r="W774" s="174"/>
    </row>
    <row r="775">
      <c r="B775" s="175"/>
      <c r="R775" s="176"/>
      <c r="U775" s="172" t="str">
        <f>IFERROR(__xludf.DUMMYFUNCTION("""COMPUTED_VALUE"""),"")</f>
        <v/>
      </c>
      <c r="V775" s="173" t="str">
        <f>IFERROR(__xludf.DUMMYFUNCTION("""COMPUTED_VALUE"""),"Music Disc Strad")</f>
        <v>Music Disc Strad</v>
      </c>
      <c r="W775" s="174"/>
    </row>
    <row r="776">
      <c r="B776" s="175"/>
      <c r="R776" s="176"/>
      <c r="U776" s="172" t="str">
        <f>IFERROR(__xludf.DUMMYFUNCTION("""COMPUTED_VALUE"""),"")</f>
        <v/>
      </c>
      <c r="V776" s="173" t="str">
        <f>IFERROR(__xludf.DUMMYFUNCTION("""COMPUTED_VALUE"""),"Music Disc Wait")</f>
        <v>Music Disc Wait</v>
      </c>
      <c r="W776" s="174"/>
    </row>
    <row r="777">
      <c r="B777" s="175"/>
      <c r="R777" s="176"/>
      <c r="U777" s="172" t="str">
        <f>IFERROR(__xludf.DUMMYFUNCTION("""COMPUTED_VALUE"""),"")</f>
        <v/>
      </c>
      <c r="V777" s="173" t="str">
        <f>IFERROR(__xludf.DUMMYFUNCTION("""COMPUTED_VALUE"""),"Music Disc Ward")</f>
        <v>Music Disc Ward</v>
      </c>
      <c r="W777" s="174"/>
    </row>
    <row r="778">
      <c r="B778" s="175"/>
      <c r="R778" s="176"/>
      <c r="U778" s="172" t="str">
        <f>IFERROR(__xludf.DUMMYFUNCTION("""COMPUTED_VALUE"""),"")</f>
        <v/>
      </c>
      <c r="V778" s="173" t="str">
        <f>IFERROR(__xludf.DUMMYFUNCTION("""COMPUTED_VALUE"""),"Mutton")</f>
        <v>Mutton</v>
      </c>
      <c r="W778" s="174"/>
    </row>
    <row r="779">
      <c r="B779" s="175"/>
      <c r="R779" s="176"/>
      <c r="U779" s="172" t="str">
        <f>IFERROR(__xludf.DUMMYFUNCTION("""COMPUTED_VALUE"""),"")</f>
        <v/>
      </c>
      <c r="V779" s="173" t="str">
        <f>IFERROR(__xludf.DUMMYFUNCTION("""COMPUTED_VALUE"""),"Mycelium")</f>
        <v>Mycelium</v>
      </c>
      <c r="W779" s="174"/>
    </row>
    <row r="780">
      <c r="B780" s="175"/>
      <c r="R780" s="176"/>
      <c r="U780" s="172" t="str">
        <f>IFERROR(__xludf.DUMMYFUNCTION("""COMPUTED_VALUE"""),"")</f>
        <v/>
      </c>
      <c r="V780" s="173" t="str">
        <f>IFERROR(__xludf.DUMMYFUNCTION("""COMPUTED_VALUE"""),"Name Tag")</f>
        <v>Name Tag</v>
      </c>
      <c r="W780" s="174"/>
    </row>
    <row r="781">
      <c r="B781" s="175"/>
      <c r="R781" s="176"/>
      <c r="U781" s="172" t="str">
        <f>IFERROR(__xludf.DUMMYFUNCTION("""COMPUTED_VALUE"""),"")</f>
        <v/>
      </c>
      <c r="V781" s="173" t="str">
        <f>IFERROR(__xludf.DUMMYFUNCTION("""COMPUTED_VALUE"""),"Nautilus Shell")</f>
        <v>Nautilus Shell</v>
      </c>
      <c r="W781" s="174"/>
    </row>
    <row r="782">
      <c r="B782" s="175"/>
      <c r="R782" s="176"/>
      <c r="U782" s="172" t="str">
        <f>IFERROR(__xludf.DUMMYFUNCTION("""COMPUTED_VALUE"""),"")</f>
        <v/>
      </c>
      <c r="V782" s="173" t="str">
        <f>IFERROR(__xludf.DUMMYFUNCTION("""COMPUTED_VALUE"""),"Nether Brick")</f>
        <v>Nether Brick</v>
      </c>
      <c r="W782" s="174"/>
    </row>
    <row r="783">
      <c r="B783" s="175"/>
      <c r="R783" s="176"/>
      <c r="U783" s="172" t="str">
        <f>IFERROR(__xludf.DUMMYFUNCTION("""COMPUTED_VALUE"""),"")</f>
        <v/>
      </c>
      <c r="V783" s="173" t="str">
        <f>IFERROR(__xludf.DUMMYFUNCTION("""COMPUTED_VALUE"""),"Nether Brick Fence")</f>
        <v>Nether Brick Fence</v>
      </c>
      <c r="W783" s="174"/>
    </row>
    <row r="784">
      <c r="B784" s="175"/>
      <c r="R784" s="176"/>
      <c r="U784" s="172" t="str">
        <f>IFERROR(__xludf.DUMMYFUNCTION("""COMPUTED_VALUE"""),"")</f>
        <v/>
      </c>
      <c r="V784" s="173" t="str">
        <f>IFERROR(__xludf.DUMMYFUNCTION("""COMPUTED_VALUE"""),"Nether Brick Slab")</f>
        <v>Nether Brick Slab</v>
      </c>
      <c r="W784" s="174"/>
    </row>
    <row r="785">
      <c r="B785" s="175"/>
      <c r="R785" s="176"/>
      <c r="U785" s="172" t="str">
        <f>IFERROR(__xludf.DUMMYFUNCTION("""COMPUTED_VALUE"""),"")</f>
        <v/>
      </c>
      <c r="V785" s="173" t="str">
        <f>IFERROR(__xludf.DUMMYFUNCTION("""COMPUTED_VALUE"""),"Nether Brick Stairs")</f>
        <v>Nether Brick Stairs</v>
      </c>
      <c r="W785" s="174"/>
    </row>
    <row r="786">
      <c r="B786" s="175"/>
      <c r="R786" s="176"/>
      <c r="U786" s="172" t="str">
        <f>IFERROR(__xludf.DUMMYFUNCTION("""COMPUTED_VALUE"""),"")</f>
        <v/>
      </c>
      <c r="V786" s="173" t="str">
        <f>IFERROR(__xludf.DUMMYFUNCTION("""COMPUTED_VALUE"""),"Nether Brick Wall")</f>
        <v>Nether Brick Wall</v>
      </c>
      <c r="W786" s="174"/>
    </row>
    <row r="787">
      <c r="B787" s="175"/>
      <c r="R787" s="176"/>
      <c r="U787" s="172" t="str">
        <f>IFERROR(__xludf.DUMMYFUNCTION("""COMPUTED_VALUE"""),"")</f>
        <v/>
      </c>
      <c r="V787" s="173" t="str">
        <f>IFERROR(__xludf.DUMMYFUNCTION("""COMPUTED_VALUE"""),"Nether Bricks")</f>
        <v>Nether Bricks</v>
      </c>
      <c r="W787" s="174"/>
    </row>
    <row r="788">
      <c r="B788" s="175"/>
      <c r="R788" s="176"/>
      <c r="U788" s="172" t="str">
        <f>IFERROR(__xludf.DUMMYFUNCTION("""COMPUTED_VALUE"""),"")</f>
        <v/>
      </c>
      <c r="V788" s="173" t="str">
        <f>IFERROR(__xludf.DUMMYFUNCTION("""COMPUTED_VALUE"""),"Nether Gold Ore")</f>
        <v>Nether Gold Ore</v>
      </c>
      <c r="W788" s="174"/>
    </row>
    <row r="789">
      <c r="B789" s="175"/>
      <c r="R789" s="176"/>
      <c r="U789" s="172" t="str">
        <f>IFERROR(__xludf.DUMMYFUNCTION("""COMPUTED_VALUE"""),"")</f>
        <v/>
      </c>
      <c r="V789" s="173" t="str">
        <f>IFERROR(__xludf.DUMMYFUNCTION("""COMPUTED_VALUE"""),"Nether Quartz Ore")</f>
        <v>Nether Quartz Ore</v>
      </c>
      <c r="W789" s="174"/>
    </row>
    <row r="790">
      <c r="B790" s="175"/>
      <c r="R790" s="176"/>
      <c r="U790" s="172" t="str">
        <f>IFERROR(__xludf.DUMMYFUNCTION("""COMPUTED_VALUE"""),"")</f>
        <v/>
      </c>
      <c r="V790" s="173" t="str">
        <f>IFERROR(__xludf.DUMMYFUNCTION("""COMPUTED_VALUE"""),"Nether Sprouts")</f>
        <v>Nether Sprouts</v>
      </c>
      <c r="W790" s="174"/>
    </row>
    <row r="791">
      <c r="B791" s="175"/>
      <c r="R791" s="176"/>
      <c r="U791" s="172" t="str">
        <f>IFERROR(__xludf.DUMMYFUNCTION("""COMPUTED_VALUE"""),"")</f>
        <v/>
      </c>
      <c r="V791" s="173" t="str">
        <f>IFERROR(__xludf.DUMMYFUNCTION("""COMPUTED_VALUE"""),"Nether Star")</f>
        <v>Nether Star</v>
      </c>
      <c r="W791" s="174"/>
    </row>
    <row r="792">
      <c r="B792" s="175"/>
      <c r="R792" s="176"/>
      <c r="U792" s="172" t="str">
        <f>IFERROR(__xludf.DUMMYFUNCTION("""COMPUTED_VALUE"""),"")</f>
        <v/>
      </c>
      <c r="V792" s="173" t="str">
        <f>IFERROR(__xludf.DUMMYFUNCTION("""COMPUTED_VALUE"""),"Nether Wart")</f>
        <v>Nether Wart</v>
      </c>
      <c r="W792" s="174"/>
    </row>
    <row r="793">
      <c r="B793" s="175"/>
      <c r="R793" s="176"/>
      <c r="U793" s="172" t="str">
        <f>IFERROR(__xludf.DUMMYFUNCTION("""COMPUTED_VALUE"""),"")</f>
        <v/>
      </c>
      <c r="V793" s="173" t="str">
        <f>IFERROR(__xludf.DUMMYFUNCTION("""COMPUTED_VALUE"""),"Nether Wart Block")</f>
        <v>Nether Wart Block</v>
      </c>
      <c r="W793" s="174"/>
    </row>
    <row r="794">
      <c r="B794" s="175"/>
      <c r="R794" s="176"/>
      <c r="U794" s="172" t="str">
        <f>IFERROR(__xludf.DUMMYFUNCTION("""COMPUTED_VALUE"""),"")</f>
        <v/>
      </c>
      <c r="V794" s="173" t="str">
        <f>IFERROR(__xludf.DUMMYFUNCTION("""COMPUTED_VALUE"""),"Netherite Axe")</f>
        <v>Netherite Axe</v>
      </c>
      <c r="W794" s="174"/>
    </row>
    <row r="795">
      <c r="B795" s="175"/>
      <c r="R795" s="176"/>
      <c r="U795" s="172" t="str">
        <f>IFERROR(__xludf.DUMMYFUNCTION("""COMPUTED_VALUE"""),"")</f>
        <v/>
      </c>
      <c r="V795" s="173" t="str">
        <f>IFERROR(__xludf.DUMMYFUNCTION("""COMPUTED_VALUE"""),"Netherite Block")</f>
        <v>Netherite Block</v>
      </c>
      <c r="W795" s="174"/>
    </row>
    <row r="796">
      <c r="B796" s="175"/>
      <c r="R796" s="176"/>
      <c r="U796" s="172" t="str">
        <f>IFERROR(__xludf.DUMMYFUNCTION("""COMPUTED_VALUE"""),"")</f>
        <v/>
      </c>
      <c r="V796" s="173" t="str">
        <f>IFERROR(__xludf.DUMMYFUNCTION("""COMPUTED_VALUE"""),"Netherite Boots")</f>
        <v>Netherite Boots</v>
      </c>
      <c r="W796" s="174"/>
    </row>
    <row r="797">
      <c r="B797" s="175"/>
      <c r="R797" s="176"/>
      <c r="U797" s="172" t="str">
        <f>IFERROR(__xludf.DUMMYFUNCTION("""COMPUTED_VALUE"""),"")</f>
        <v/>
      </c>
      <c r="V797" s="173" t="str">
        <f>IFERROR(__xludf.DUMMYFUNCTION("""COMPUTED_VALUE"""),"Netherite Chestplate")</f>
        <v>Netherite Chestplate</v>
      </c>
      <c r="W797" s="174"/>
    </row>
    <row r="798">
      <c r="B798" s="175"/>
      <c r="R798" s="176"/>
      <c r="U798" s="172" t="str">
        <f>IFERROR(__xludf.DUMMYFUNCTION("""COMPUTED_VALUE"""),"")</f>
        <v/>
      </c>
      <c r="V798" s="173" t="str">
        <f>IFERROR(__xludf.DUMMYFUNCTION("""COMPUTED_VALUE"""),"Netherite Helmet")</f>
        <v>Netherite Helmet</v>
      </c>
      <c r="W798" s="174"/>
    </row>
    <row r="799">
      <c r="B799" s="175"/>
      <c r="R799" s="176"/>
      <c r="U799" s="172" t="str">
        <f>IFERROR(__xludf.DUMMYFUNCTION("""COMPUTED_VALUE"""),"")</f>
        <v/>
      </c>
      <c r="V799" s="173" t="str">
        <f>IFERROR(__xludf.DUMMYFUNCTION("""COMPUTED_VALUE"""),"Netherite Hoe")</f>
        <v>Netherite Hoe</v>
      </c>
      <c r="W799" s="174"/>
    </row>
    <row r="800">
      <c r="B800" s="175"/>
      <c r="R800" s="176"/>
      <c r="U800" s="172" t="str">
        <f>IFERROR(__xludf.DUMMYFUNCTION("""COMPUTED_VALUE"""),"")</f>
        <v/>
      </c>
      <c r="V800" s="173" t="str">
        <f>IFERROR(__xludf.DUMMYFUNCTION("""COMPUTED_VALUE"""),"Netherite Ingot")</f>
        <v>Netherite Ingot</v>
      </c>
      <c r="W800" s="174"/>
    </row>
    <row r="801">
      <c r="B801" s="175"/>
      <c r="R801" s="176"/>
      <c r="U801" s="172" t="str">
        <f>IFERROR(__xludf.DUMMYFUNCTION("""COMPUTED_VALUE"""),"")</f>
        <v/>
      </c>
      <c r="V801" s="173" t="str">
        <f>IFERROR(__xludf.DUMMYFUNCTION("""COMPUTED_VALUE"""),"Netherite Leggings")</f>
        <v>Netherite Leggings</v>
      </c>
      <c r="W801" s="174"/>
    </row>
    <row r="802">
      <c r="B802" s="175"/>
      <c r="R802" s="176"/>
      <c r="U802" s="172" t="str">
        <f>IFERROR(__xludf.DUMMYFUNCTION("""COMPUTED_VALUE"""),"")</f>
        <v/>
      </c>
      <c r="V802" s="173" t="str">
        <f>IFERROR(__xludf.DUMMYFUNCTION("""COMPUTED_VALUE"""),"Netherite Pickaxe")</f>
        <v>Netherite Pickaxe</v>
      </c>
      <c r="W802" s="174"/>
    </row>
    <row r="803">
      <c r="B803" s="175"/>
      <c r="R803" s="176"/>
      <c r="U803" s="172" t="str">
        <f>IFERROR(__xludf.DUMMYFUNCTION("""COMPUTED_VALUE"""),"")</f>
        <v/>
      </c>
      <c r="V803" s="173" t="str">
        <f>IFERROR(__xludf.DUMMYFUNCTION("""COMPUTED_VALUE"""),"Netherite Scrap")</f>
        <v>Netherite Scrap</v>
      </c>
      <c r="W803" s="174"/>
    </row>
    <row r="804">
      <c r="B804" s="175"/>
      <c r="R804" s="176"/>
      <c r="U804" s="172" t="str">
        <f>IFERROR(__xludf.DUMMYFUNCTION("""COMPUTED_VALUE"""),"")</f>
        <v/>
      </c>
      <c r="V804" s="173" t="str">
        <f>IFERROR(__xludf.DUMMYFUNCTION("""COMPUTED_VALUE"""),"Netherite Shovel")</f>
        <v>Netherite Shovel</v>
      </c>
      <c r="W804" s="174"/>
    </row>
    <row r="805">
      <c r="B805" s="175"/>
      <c r="R805" s="176"/>
      <c r="U805" s="172" t="str">
        <f>IFERROR(__xludf.DUMMYFUNCTION("""COMPUTED_VALUE"""),"")</f>
        <v/>
      </c>
      <c r="V805" s="173" t="str">
        <f>IFERROR(__xludf.DUMMYFUNCTION("""COMPUTED_VALUE"""),"Netherite Sword")</f>
        <v>Netherite Sword</v>
      </c>
      <c r="W805" s="174"/>
    </row>
    <row r="806">
      <c r="B806" s="175"/>
      <c r="R806" s="176"/>
      <c r="U806" s="172" t="str">
        <f>IFERROR(__xludf.DUMMYFUNCTION("""COMPUTED_VALUE"""),"")</f>
        <v/>
      </c>
      <c r="V806" s="173" t="str">
        <f>IFERROR(__xludf.DUMMYFUNCTION("""COMPUTED_VALUE"""),"Netherite Upgrade")</f>
        <v>Netherite Upgrade</v>
      </c>
      <c r="W806" s="174"/>
    </row>
    <row r="807">
      <c r="B807" s="175"/>
      <c r="R807" s="176"/>
      <c r="U807" s="172" t="str">
        <f>IFERROR(__xludf.DUMMYFUNCTION("""COMPUTED_VALUE"""),"")</f>
        <v/>
      </c>
      <c r="V807" s="173" t="str">
        <f>IFERROR(__xludf.DUMMYFUNCTION("""COMPUTED_VALUE"""),"Netherrack")</f>
        <v>Netherrack</v>
      </c>
      <c r="W807" s="174"/>
    </row>
    <row r="808">
      <c r="B808" s="175"/>
      <c r="R808" s="176"/>
      <c r="U808" s="172" t="str">
        <f>IFERROR(__xludf.DUMMYFUNCTION("""COMPUTED_VALUE"""),"")</f>
        <v/>
      </c>
      <c r="V808" s="173" t="str">
        <f>IFERROR(__xludf.DUMMYFUNCTION("""COMPUTED_VALUE"""),"Note Block")</f>
        <v>Note Block</v>
      </c>
      <c r="W808" s="174"/>
    </row>
    <row r="809">
      <c r="B809" s="175"/>
      <c r="R809" s="176"/>
      <c r="U809" s="172" t="str">
        <f>IFERROR(__xludf.DUMMYFUNCTION("""COMPUTED_VALUE"""),"")</f>
        <v/>
      </c>
      <c r="V809" s="173" t="str">
        <f>IFERROR(__xludf.DUMMYFUNCTION("""COMPUTED_VALUE"""),"Oak Boat")</f>
        <v>Oak Boat</v>
      </c>
      <c r="W809" s="174"/>
    </row>
    <row r="810">
      <c r="B810" s="175"/>
      <c r="R810" s="176"/>
      <c r="U810" s="172" t="str">
        <f>IFERROR(__xludf.DUMMYFUNCTION("""COMPUTED_VALUE"""),"")</f>
        <v/>
      </c>
      <c r="V810" s="173" t="str">
        <f>IFERROR(__xludf.DUMMYFUNCTION("""COMPUTED_VALUE"""),"Oak Button")</f>
        <v>Oak Button</v>
      </c>
      <c r="W810" s="174"/>
    </row>
    <row r="811">
      <c r="B811" s="175"/>
      <c r="R811" s="176"/>
      <c r="U811" s="172" t="str">
        <f>IFERROR(__xludf.DUMMYFUNCTION("""COMPUTED_VALUE"""),"")</f>
        <v/>
      </c>
      <c r="V811" s="173" t="str">
        <f>IFERROR(__xludf.DUMMYFUNCTION("""COMPUTED_VALUE"""),"Oak Chest Boat")</f>
        <v>Oak Chest Boat</v>
      </c>
      <c r="W811" s="174"/>
    </row>
    <row r="812">
      <c r="B812" s="175"/>
      <c r="R812" s="176"/>
      <c r="U812" s="172" t="str">
        <f>IFERROR(__xludf.DUMMYFUNCTION("""COMPUTED_VALUE"""),"")</f>
        <v/>
      </c>
      <c r="V812" s="173" t="str">
        <f>IFERROR(__xludf.DUMMYFUNCTION("""COMPUTED_VALUE"""),"Oak Door")</f>
        <v>Oak Door</v>
      </c>
      <c r="W812" s="174"/>
    </row>
    <row r="813">
      <c r="B813" s="175"/>
      <c r="R813" s="176"/>
      <c r="U813" s="172" t="str">
        <f>IFERROR(__xludf.DUMMYFUNCTION("""COMPUTED_VALUE"""),"")</f>
        <v/>
      </c>
      <c r="V813" s="173" t="str">
        <f>IFERROR(__xludf.DUMMYFUNCTION("""COMPUTED_VALUE"""),"Oak Fence")</f>
        <v>Oak Fence</v>
      </c>
      <c r="W813" s="174"/>
    </row>
    <row r="814">
      <c r="B814" s="175"/>
      <c r="R814" s="176"/>
      <c r="U814" s="172" t="str">
        <f>IFERROR(__xludf.DUMMYFUNCTION("""COMPUTED_VALUE"""),"")</f>
        <v/>
      </c>
      <c r="V814" s="173" t="str">
        <f>IFERROR(__xludf.DUMMYFUNCTION("""COMPUTED_VALUE"""),"Oak Fence Gate")</f>
        <v>Oak Fence Gate</v>
      </c>
      <c r="W814" s="174"/>
    </row>
    <row r="815">
      <c r="B815" s="175"/>
      <c r="R815" s="176"/>
      <c r="U815" s="172" t="str">
        <f>IFERROR(__xludf.DUMMYFUNCTION("""COMPUTED_VALUE"""),"")</f>
        <v/>
      </c>
      <c r="V815" s="173" t="str">
        <f>IFERROR(__xludf.DUMMYFUNCTION("""COMPUTED_VALUE"""),"Oak Hanging Sign")</f>
        <v>Oak Hanging Sign</v>
      </c>
      <c r="W815" s="174"/>
    </row>
    <row r="816">
      <c r="B816" s="175"/>
      <c r="R816" s="176"/>
      <c r="U816" s="172" t="str">
        <f>IFERROR(__xludf.DUMMYFUNCTION("""COMPUTED_VALUE"""),"")</f>
        <v/>
      </c>
      <c r="V816" s="173" t="str">
        <f>IFERROR(__xludf.DUMMYFUNCTION("""COMPUTED_VALUE"""),"Oak Leaves")</f>
        <v>Oak Leaves</v>
      </c>
      <c r="W816" s="174"/>
    </row>
    <row r="817">
      <c r="B817" s="175"/>
      <c r="R817" s="176"/>
      <c r="U817" s="172" t="str">
        <f>IFERROR(__xludf.DUMMYFUNCTION("""COMPUTED_VALUE"""),"")</f>
        <v/>
      </c>
      <c r="V817" s="173" t="str">
        <f>IFERROR(__xludf.DUMMYFUNCTION("""COMPUTED_VALUE"""),"Oak Log")</f>
        <v>Oak Log</v>
      </c>
      <c r="W817" s="174"/>
    </row>
    <row r="818">
      <c r="B818" s="175"/>
      <c r="R818" s="176"/>
      <c r="U818" s="172" t="str">
        <f>IFERROR(__xludf.DUMMYFUNCTION("""COMPUTED_VALUE"""),"")</f>
        <v/>
      </c>
      <c r="V818" s="173" t="str">
        <f>IFERROR(__xludf.DUMMYFUNCTION("""COMPUTED_VALUE"""),"Oak Planks")</f>
        <v>Oak Planks</v>
      </c>
      <c r="W818" s="174"/>
    </row>
    <row r="819">
      <c r="B819" s="175"/>
      <c r="R819" s="176"/>
      <c r="U819" s="172" t="str">
        <f>IFERROR(__xludf.DUMMYFUNCTION("""COMPUTED_VALUE"""),"")</f>
        <v/>
      </c>
      <c r="V819" s="173" t="str">
        <f>IFERROR(__xludf.DUMMYFUNCTION("""COMPUTED_VALUE"""),"Oak Pressure Plate")</f>
        <v>Oak Pressure Plate</v>
      </c>
      <c r="W819" s="174"/>
    </row>
    <row r="820">
      <c r="B820" s="175"/>
      <c r="R820" s="176"/>
      <c r="U820" s="172" t="str">
        <f>IFERROR(__xludf.DUMMYFUNCTION("""COMPUTED_VALUE"""),"")</f>
        <v/>
      </c>
      <c r="V820" s="173" t="str">
        <f>IFERROR(__xludf.DUMMYFUNCTION("""COMPUTED_VALUE"""),"Oak Sapling")</f>
        <v>Oak Sapling</v>
      </c>
      <c r="W820" s="174"/>
    </row>
    <row r="821">
      <c r="B821" s="175"/>
      <c r="R821" s="176"/>
      <c r="U821" s="172" t="str">
        <f>IFERROR(__xludf.DUMMYFUNCTION("""COMPUTED_VALUE"""),"")</f>
        <v/>
      </c>
      <c r="V821" s="173" t="str">
        <f>IFERROR(__xludf.DUMMYFUNCTION("""COMPUTED_VALUE"""),"Oak Sign")</f>
        <v>Oak Sign</v>
      </c>
      <c r="W821" s="174"/>
    </row>
    <row r="822">
      <c r="B822" s="175"/>
      <c r="R822" s="176"/>
      <c r="U822" s="172" t="str">
        <f>IFERROR(__xludf.DUMMYFUNCTION("""COMPUTED_VALUE"""),"")</f>
        <v/>
      </c>
      <c r="V822" s="173" t="str">
        <f>IFERROR(__xludf.DUMMYFUNCTION("""COMPUTED_VALUE"""),"Oak Slab")</f>
        <v>Oak Slab</v>
      </c>
      <c r="W822" s="174"/>
    </row>
    <row r="823">
      <c r="B823" s="175"/>
      <c r="R823" s="176"/>
      <c r="U823" s="172" t="str">
        <f>IFERROR(__xludf.DUMMYFUNCTION("""COMPUTED_VALUE"""),"")</f>
        <v/>
      </c>
      <c r="V823" s="173" t="str">
        <f>IFERROR(__xludf.DUMMYFUNCTION("""COMPUTED_VALUE"""),"Oak Stairs")</f>
        <v>Oak Stairs</v>
      </c>
      <c r="W823" s="174"/>
    </row>
    <row r="824">
      <c r="B824" s="175"/>
      <c r="R824" s="176"/>
      <c r="U824" s="172" t="str">
        <f>IFERROR(__xludf.DUMMYFUNCTION("""COMPUTED_VALUE"""),"")</f>
        <v/>
      </c>
      <c r="V824" s="173" t="str">
        <f>IFERROR(__xludf.DUMMYFUNCTION("""COMPUTED_VALUE"""),"Oak Trapdoor")</f>
        <v>Oak Trapdoor</v>
      </c>
      <c r="W824" s="174"/>
    </row>
    <row r="825">
      <c r="B825" s="175"/>
      <c r="R825" s="176"/>
      <c r="U825" s="172" t="str">
        <f>IFERROR(__xludf.DUMMYFUNCTION("""COMPUTED_VALUE"""),"")</f>
        <v/>
      </c>
      <c r="V825" s="173" t="str">
        <f>IFERROR(__xludf.DUMMYFUNCTION("""COMPUTED_VALUE"""),"Oak Wood")</f>
        <v>Oak Wood</v>
      </c>
      <c r="W825" s="174"/>
    </row>
    <row r="826">
      <c r="B826" s="175"/>
      <c r="R826" s="176"/>
      <c r="U826" s="172" t="str">
        <f>IFERROR(__xludf.DUMMYFUNCTION("""COMPUTED_VALUE"""),"")</f>
        <v/>
      </c>
      <c r="V826" s="173" t="str">
        <f>IFERROR(__xludf.DUMMYFUNCTION("""COMPUTED_VALUE"""),"Observer")</f>
        <v>Observer</v>
      </c>
      <c r="W826" s="174"/>
    </row>
    <row r="827">
      <c r="B827" s="175"/>
      <c r="R827" s="176"/>
      <c r="U827" s="172" t="str">
        <f>IFERROR(__xludf.DUMMYFUNCTION("""COMPUTED_VALUE"""),"")</f>
        <v/>
      </c>
      <c r="V827" s="173" t="str">
        <f>IFERROR(__xludf.DUMMYFUNCTION("""COMPUTED_VALUE"""),"Obsidian")</f>
        <v>Obsidian</v>
      </c>
      <c r="W827" s="174"/>
    </row>
    <row r="828">
      <c r="B828" s="175"/>
      <c r="R828" s="176"/>
      <c r="U828" s="172" t="str">
        <f>IFERROR(__xludf.DUMMYFUNCTION("""COMPUTED_VALUE"""),"")</f>
        <v/>
      </c>
      <c r="V828" s="173" t="str">
        <f>IFERROR(__xludf.DUMMYFUNCTION("""COMPUTED_VALUE"""),"Ochre Froglight")</f>
        <v>Ochre Froglight</v>
      </c>
      <c r="W828" s="174"/>
    </row>
    <row r="829">
      <c r="B829" s="175"/>
      <c r="R829" s="176"/>
      <c r="U829" s="172" t="str">
        <f>IFERROR(__xludf.DUMMYFUNCTION("""COMPUTED_VALUE"""),"")</f>
        <v/>
      </c>
      <c r="V829" s="173" t="str">
        <f>IFERROR(__xludf.DUMMYFUNCTION("""COMPUTED_VALUE"""),"Ominous Bottle")</f>
        <v>Ominous Bottle</v>
      </c>
      <c r="W829" s="174"/>
    </row>
    <row r="830">
      <c r="B830" s="175"/>
      <c r="R830" s="176"/>
      <c r="U830" s="172" t="str">
        <f>IFERROR(__xludf.DUMMYFUNCTION("""COMPUTED_VALUE"""),"")</f>
        <v/>
      </c>
      <c r="V830" s="173" t="str">
        <f>IFERROR(__xludf.DUMMYFUNCTION("""COMPUTED_VALUE"""),"Ominous Trial Key")</f>
        <v>Ominous Trial Key</v>
      </c>
      <c r="W830" s="174"/>
    </row>
    <row r="831">
      <c r="B831" s="175"/>
      <c r="R831" s="176"/>
      <c r="U831" s="172" t="str">
        <f>IFERROR(__xludf.DUMMYFUNCTION("""COMPUTED_VALUE"""),"")</f>
        <v/>
      </c>
      <c r="V831" s="173" t="str">
        <f>IFERROR(__xludf.DUMMYFUNCTION("""COMPUTED_VALUE"""),"Orange Banner")</f>
        <v>Orange Banner</v>
      </c>
      <c r="W831" s="174"/>
    </row>
    <row r="832">
      <c r="B832" s="175"/>
      <c r="R832" s="176"/>
      <c r="U832" s="172" t="str">
        <f>IFERROR(__xludf.DUMMYFUNCTION("""COMPUTED_VALUE"""),"")</f>
        <v/>
      </c>
      <c r="V832" s="173" t="str">
        <f>IFERROR(__xludf.DUMMYFUNCTION("""COMPUTED_VALUE"""),"Orange Bed")</f>
        <v>Orange Bed</v>
      </c>
      <c r="W832" s="174"/>
    </row>
    <row r="833">
      <c r="B833" s="175"/>
      <c r="R833" s="176"/>
      <c r="U833" s="172" t="str">
        <f>IFERROR(__xludf.DUMMYFUNCTION("""COMPUTED_VALUE"""),"")</f>
        <v/>
      </c>
      <c r="V833" s="173" t="str">
        <f>IFERROR(__xludf.DUMMYFUNCTION("""COMPUTED_VALUE"""),"Orange Candle")</f>
        <v>Orange Candle</v>
      </c>
      <c r="W833" s="174"/>
    </row>
    <row r="834">
      <c r="B834" s="175"/>
      <c r="R834" s="176"/>
      <c r="U834" s="172" t="str">
        <f>IFERROR(__xludf.DUMMYFUNCTION("""COMPUTED_VALUE"""),"")</f>
        <v/>
      </c>
      <c r="V834" s="173" t="str">
        <f>IFERROR(__xludf.DUMMYFUNCTION("""COMPUTED_VALUE"""),"Orange Carpet")</f>
        <v>Orange Carpet</v>
      </c>
      <c r="W834" s="174"/>
    </row>
    <row r="835">
      <c r="B835" s="175"/>
      <c r="R835" s="176"/>
      <c r="U835" s="172" t="str">
        <f>IFERROR(__xludf.DUMMYFUNCTION("""COMPUTED_VALUE"""),"")</f>
        <v/>
      </c>
      <c r="V835" s="173" t="str">
        <f>IFERROR(__xludf.DUMMYFUNCTION("""COMPUTED_VALUE"""),"Orange Concrete")</f>
        <v>Orange Concrete</v>
      </c>
      <c r="W835" s="174"/>
    </row>
    <row r="836">
      <c r="B836" s="175"/>
      <c r="R836" s="176"/>
      <c r="U836" s="172" t="str">
        <f>IFERROR(__xludf.DUMMYFUNCTION("""COMPUTED_VALUE"""),"")</f>
        <v/>
      </c>
      <c r="V836" s="173" t="str">
        <f>IFERROR(__xludf.DUMMYFUNCTION("""COMPUTED_VALUE"""),"Orange Concrete Powder")</f>
        <v>Orange Concrete Powder</v>
      </c>
      <c r="W836" s="174"/>
    </row>
    <row r="837">
      <c r="B837" s="175"/>
      <c r="R837" s="176"/>
      <c r="U837" s="172" t="str">
        <f>IFERROR(__xludf.DUMMYFUNCTION("""COMPUTED_VALUE"""),"")</f>
        <v/>
      </c>
      <c r="V837" s="173" t="str">
        <f>IFERROR(__xludf.DUMMYFUNCTION("""COMPUTED_VALUE"""),"Orange Dye")</f>
        <v>Orange Dye</v>
      </c>
      <c r="W837" s="174"/>
    </row>
    <row r="838">
      <c r="B838" s="175"/>
      <c r="R838" s="176"/>
      <c r="U838" s="172" t="str">
        <f>IFERROR(__xludf.DUMMYFUNCTION("""COMPUTED_VALUE"""),"")</f>
        <v/>
      </c>
      <c r="V838" s="173" t="str">
        <f>IFERROR(__xludf.DUMMYFUNCTION("""COMPUTED_VALUE"""),"Orange Glazed Terracotta")</f>
        <v>Orange Glazed Terracotta</v>
      </c>
      <c r="W838" s="174"/>
    </row>
    <row r="839">
      <c r="B839" s="175"/>
      <c r="R839" s="176"/>
      <c r="U839" s="172" t="str">
        <f>IFERROR(__xludf.DUMMYFUNCTION("""COMPUTED_VALUE"""),"")</f>
        <v/>
      </c>
      <c r="V839" s="173" t="str">
        <f>IFERROR(__xludf.DUMMYFUNCTION("""COMPUTED_VALUE"""),"Orange Shulker Box")</f>
        <v>Orange Shulker Box</v>
      </c>
      <c r="W839" s="174"/>
    </row>
    <row r="840">
      <c r="B840" s="175"/>
      <c r="R840" s="176"/>
      <c r="U840" s="172" t="str">
        <f>IFERROR(__xludf.DUMMYFUNCTION("""COMPUTED_VALUE"""),"")</f>
        <v/>
      </c>
      <c r="V840" s="173" t="str">
        <f>IFERROR(__xludf.DUMMYFUNCTION("""COMPUTED_VALUE"""),"Orange Stained Glass")</f>
        <v>Orange Stained Glass</v>
      </c>
      <c r="W840" s="174"/>
    </row>
    <row r="841">
      <c r="B841" s="175"/>
      <c r="R841" s="176"/>
      <c r="U841" s="172" t="str">
        <f>IFERROR(__xludf.DUMMYFUNCTION("""COMPUTED_VALUE"""),"")</f>
        <v/>
      </c>
      <c r="V841" s="173" t="str">
        <f>IFERROR(__xludf.DUMMYFUNCTION("""COMPUTED_VALUE"""),"Orange Stained Glass Pane")</f>
        <v>Orange Stained Glass Pane</v>
      </c>
      <c r="W841" s="174"/>
    </row>
    <row r="842">
      <c r="B842" s="175"/>
      <c r="R842" s="176"/>
      <c r="U842" s="172" t="str">
        <f>IFERROR(__xludf.DUMMYFUNCTION("""COMPUTED_VALUE"""),"")</f>
        <v/>
      </c>
      <c r="V842" s="173" t="str">
        <f>IFERROR(__xludf.DUMMYFUNCTION("""COMPUTED_VALUE"""),"Orange Terracotta")</f>
        <v>Orange Terracotta</v>
      </c>
      <c r="W842" s="174"/>
    </row>
    <row r="843">
      <c r="B843" s="175"/>
      <c r="R843" s="176"/>
      <c r="U843" s="172" t="str">
        <f>IFERROR(__xludf.DUMMYFUNCTION("""COMPUTED_VALUE"""),"")</f>
        <v/>
      </c>
      <c r="V843" s="173" t="str">
        <f>IFERROR(__xludf.DUMMYFUNCTION("""COMPUTED_VALUE"""),"Orange Tulip")</f>
        <v>Orange Tulip</v>
      </c>
      <c r="W843" s="174"/>
    </row>
    <row r="844">
      <c r="B844" s="175"/>
      <c r="R844" s="176"/>
      <c r="U844" s="172" t="str">
        <f>IFERROR(__xludf.DUMMYFUNCTION("""COMPUTED_VALUE"""),"")</f>
        <v/>
      </c>
      <c r="V844" s="173" t="str">
        <f>IFERROR(__xludf.DUMMYFUNCTION("""COMPUTED_VALUE"""),"Orange Wool")</f>
        <v>Orange Wool</v>
      </c>
      <c r="W844" s="174"/>
    </row>
    <row r="845">
      <c r="B845" s="175"/>
      <c r="R845" s="176"/>
      <c r="U845" s="172" t="str">
        <f>IFERROR(__xludf.DUMMYFUNCTION("""COMPUTED_VALUE"""),"")</f>
        <v/>
      </c>
      <c r="V845" s="173" t="str">
        <f>IFERROR(__xludf.DUMMYFUNCTION("""COMPUTED_VALUE"""),"Oxeye Daisy")</f>
        <v>Oxeye Daisy</v>
      </c>
      <c r="W845" s="174"/>
    </row>
    <row r="846">
      <c r="B846" s="175"/>
      <c r="R846" s="176"/>
      <c r="U846" s="172" t="str">
        <f>IFERROR(__xludf.DUMMYFUNCTION("""COMPUTED_VALUE"""),"")</f>
        <v/>
      </c>
      <c r="V846" s="173" t="str">
        <f>IFERROR(__xludf.DUMMYFUNCTION("""COMPUTED_VALUE"""),"Oxidized Chiseled Copper")</f>
        <v>Oxidized Chiseled Copper</v>
      </c>
      <c r="W846" s="174"/>
    </row>
    <row r="847">
      <c r="B847" s="175"/>
      <c r="R847" s="176"/>
      <c r="U847" s="172" t="str">
        <f>IFERROR(__xludf.DUMMYFUNCTION("""COMPUTED_VALUE"""),"")</f>
        <v/>
      </c>
      <c r="V847" s="173" t="str">
        <f>IFERROR(__xludf.DUMMYFUNCTION("""COMPUTED_VALUE"""),"Oxidized Copper")</f>
        <v>Oxidized Copper</v>
      </c>
      <c r="W847" s="174"/>
    </row>
    <row r="848">
      <c r="B848" s="175"/>
      <c r="R848" s="176"/>
      <c r="U848" s="172" t="str">
        <f>IFERROR(__xludf.DUMMYFUNCTION("""COMPUTED_VALUE"""),"")</f>
        <v/>
      </c>
      <c r="V848" s="173" t="str">
        <f>IFERROR(__xludf.DUMMYFUNCTION("""COMPUTED_VALUE"""),"Oxidized Copper Bulb")</f>
        <v>Oxidized Copper Bulb</v>
      </c>
      <c r="W848" s="174"/>
    </row>
    <row r="849">
      <c r="B849" s="175"/>
      <c r="R849" s="176"/>
      <c r="U849" s="172" t="str">
        <f>IFERROR(__xludf.DUMMYFUNCTION("""COMPUTED_VALUE"""),"")</f>
        <v/>
      </c>
      <c r="V849" s="173" t="str">
        <f>IFERROR(__xludf.DUMMYFUNCTION("""COMPUTED_VALUE"""),"Oxidized Copper Door")</f>
        <v>Oxidized Copper Door</v>
      </c>
      <c r="W849" s="174"/>
    </row>
    <row r="850">
      <c r="B850" s="175"/>
      <c r="R850" s="176"/>
      <c r="U850" s="172" t="str">
        <f>IFERROR(__xludf.DUMMYFUNCTION("""COMPUTED_VALUE"""),"")</f>
        <v/>
      </c>
      <c r="V850" s="173" t="str">
        <f>IFERROR(__xludf.DUMMYFUNCTION("""COMPUTED_VALUE"""),"Oxidized Copper Grate")</f>
        <v>Oxidized Copper Grate</v>
      </c>
      <c r="W850" s="174"/>
    </row>
    <row r="851">
      <c r="B851" s="175"/>
      <c r="R851" s="176"/>
      <c r="U851" s="172" t="str">
        <f>IFERROR(__xludf.DUMMYFUNCTION("""COMPUTED_VALUE"""),"")</f>
        <v/>
      </c>
      <c r="V851" s="173" t="str">
        <f>IFERROR(__xludf.DUMMYFUNCTION("""COMPUTED_VALUE"""),"Oxidized Copper Trapdoor")</f>
        <v>Oxidized Copper Trapdoor</v>
      </c>
      <c r="W851" s="174"/>
    </row>
    <row r="852">
      <c r="B852" s="175"/>
      <c r="R852" s="176"/>
      <c r="U852" s="172" t="str">
        <f>IFERROR(__xludf.DUMMYFUNCTION("""COMPUTED_VALUE"""),"")</f>
        <v/>
      </c>
      <c r="V852" s="173" t="str">
        <f>IFERROR(__xludf.DUMMYFUNCTION("""COMPUTED_VALUE"""),"Oxidized Cut Copper")</f>
        <v>Oxidized Cut Copper</v>
      </c>
      <c r="W852" s="174"/>
    </row>
    <row r="853">
      <c r="B853" s="175"/>
      <c r="R853" s="176"/>
      <c r="U853" s="172" t="str">
        <f>IFERROR(__xludf.DUMMYFUNCTION("""COMPUTED_VALUE"""),"")</f>
        <v/>
      </c>
      <c r="V853" s="173" t="str">
        <f>IFERROR(__xludf.DUMMYFUNCTION("""COMPUTED_VALUE"""),"Oxidized Cut Copper Slab")</f>
        <v>Oxidized Cut Copper Slab</v>
      </c>
      <c r="W853" s="174"/>
    </row>
    <row r="854">
      <c r="B854" s="175"/>
      <c r="R854" s="176"/>
      <c r="U854" s="172" t="str">
        <f>IFERROR(__xludf.DUMMYFUNCTION("""COMPUTED_VALUE"""),"")</f>
        <v/>
      </c>
      <c r="V854" s="173" t="str">
        <f>IFERROR(__xludf.DUMMYFUNCTION("""COMPUTED_VALUE"""),"Oxidized Cut Copper Stairs")</f>
        <v>Oxidized Cut Copper Stairs</v>
      </c>
      <c r="W854" s="174"/>
    </row>
    <row r="855">
      <c r="B855" s="175"/>
      <c r="R855" s="176"/>
      <c r="U855" s="172" t="str">
        <f>IFERROR(__xludf.DUMMYFUNCTION("""COMPUTED_VALUE"""),"")</f>
        <v/>
      </c>
      <c r="V855" s="173" t="str">
        <f>IFERROR(__xludf.DUMMYFUNCTION("""COMPUTED_VALUE"""),"Packed Ice")</f>
        <v>Packed Ice</v>
      </c>
      <c r="W855" s="174"/>
    </row>
    <row r="856">
      <c r="B856" s="175"/>
      <c r="R856" s="176"/>
      <c r="U856" s="172" t="str">
        <f>IFERROR(__xludf.DUMMYFUNCTION("""COMPUTED_VALUE"""),"")</f>
        <v/>
      </c>
      <c r="V856" s="173" t="str">
        <f>IFERROR(__xludf.DUMMYFUNCTION("""COMPUTED_VALUE"""),"Packed Mud")</f>
        <v>Packed Mud</v>
      </c>
      <c r="W856" s="174"/>
    </row>
    <row r="857">
      <c r="B857" s="175"/>
      <c r="R857" s="176"/>
      <c r="U857" s="172" t="str">
        <f>IFERROR(__xludf.DUMMYFUNCTION("""COMPUTED_VALUE"""),"")</f>
        <v/>
      </c>
      <c r="V857" s="173" t="str">
        <f>IFERROR(__xludf.DUMMYFUNCTION("""COMPUTED_VALUE"""),"Painting")</f>
        <v>Painting</v>
      </c>
      <c r="W857" s="174"/>
    </row>
    <row r="858">
      <c r="B858" s="175"/>
      <c r="R858" s="176"/>
      <c r="U858" s="172" t="str">
        <f>IFERROR(__xludf.DUMMYFUNCTION("""COMPUTED_VALUE"""),"")</f>
        <v/>
      </c>
      <c r="V858" s="173" t="str">
        <f>IFERROR(__xludf.DUMMYFUNCTION("""COMPUTED_VALUE"""),"Paper")</f>
        <v>Paper</v>
      </c>
      <c r="W858" s="174"/>
    </row>
    <row r="859">
      <c r="B859" s="175"/>
      <c r="R859" s="176"/>
      <c r="U859" s="172" t="str">
        <f>IFERROR(__xludf.DUMMYFUNCTION("""COMPUTED_VALUE"""),"")</f>
        <v/>
      </c>
      <c r="V859" s="173" t="str">
        <f>IFERROR(__xludf.DUMMYFUNCTION("""COMPUTED_VALUE"""),"Pearlescent Froglight")</f>
        <v>Pearlescent Froglight</v>
      </c>
      <c r="W859" s="174"/>
    </row>
    <row r="860">
      <c r="B860" s="175"/>
      <c r="R860" s="176"/>
      <c r="U860" s="172" t="str">
        <f>IFERROR(__xludf.DUMMYFUNCTION("""COMPUTED_VALUE"""),"")</f>
        <v/>
      </c>
      <c r="V860" s="173" t="str">
        <f>IFERROR(__xludf.DUMMYFUNCTION("""COMPUTED_VALUE"""),"Peony")</f>
        <v>Peony</v>
      </c>
      <c r="W860" s="174"/>
    </row>
    <row r="861">
      <c r="B861" s="175"/>
      <c r="R861" s="176"/>
      <c r="U861" s="172" t="str">
        <f>IFERROR(__xludf.DUMMYFUNCTION("""COMPUTED_VALUE"""),"")</f>
        <v/>
      </c>
      <c r="V861" s="173" t="str">
        <f>IFERROR(__xludf.DUMMYFUNCTION("""COMPUTED_VALUE"""),"Phantom Membrane")</f>
        <v>Phantom Membrane</v>
      </c>
      <c r="W861" s="174"/>
    </row>
    <row r="862">
      <c r="B862" s="175"/>
      <c r="R862" s="176"/>
      <c r="U862" s="172" t="str">
        <f>IFERROR(__xludf.DUMMYFUNCTION("""COMPUTED_VALUE"""),"")</f>
        <v/>
      </c>
      <c r="V862" s="173" t="str">
        <f>IFERROR(__xludf.DUMMYFUNCTION("""COMPUTED_VALUE"""),"Piglin Banner Pattern")</f>
        <v>Piglin Banner Pattern</v>
      </c>
      <c r="W862" s="174"/>
    </row>
    <row r="863">
      <c r="B863" s="175"/>
      <c r="R863" s="176"/>
      <c r="U863" s="172" t="str">
        <f>IFERROR(__xludf.DUMMYFUNCTION("""COMPUTED_VALUE"""),"")</f>
        <v/>
      </c>
      <c r="V863" s="173" t="str">
        <f>IFERROR(__xludf.DUMMYFUNCTION("""COMPUTED_VALUE"""),"Piglin Head")</f>
        <v>Piglin Head</v>
      </c>
      <c r="W863" s="174"/>
    </row>
    <row r="864">
      <c r="B864" s="175"/>
      <c r="R864" s="176"/>
      <c r="U864" s="172" t="str">
        <f>IFERROR(__xludf.DUMMYFUNCTION("""COMPUTED_VALUE"""),"")</f>
        <v/>
      </c>
      <c r="V864" s="173" t="str">
        <f>IFERROR(__xludf.DUMMYFUNCTION("""COMPUTED_VALUE"""),"Pink Banner")</f>
        <v>Pink Banner</v>
      </c>
      <c r="W864" s="174"/>
    </row>
    <row r="865">
      <c r="B865" s="175"/>
      <c r="R865" s="176"/>
      <c r="U865" s="172" t="str">
        <f>IFERROR(__xludf.DUMMYFUNCTION("""COMPUTED_VALUE"""),"")</f>
        <v/>
      </c>
      <c r="V865" s="173" t="str">
        <f>IFERROR(__xludf.DUMMYFUNCTION("""COMPUTED_VALUE"""),"Pink Bed")</f>
        <v>Pink Bed</v>
      </c>
      <c r="W865" s="174"/>
    </row>
    <row r="866">
      <c r="B866" s="175"/>
      <c r="R866" s="176"/>
      <c r="U866" s="172" t="str">
        <f>IFERROR(__xludf.DUMMYFUNCTION("""COMPUTED_VALUE"""),"")</f>
        <v/>
      </c>
      <c r="V866" s="173" t="str">
        <f>IFERROR(__xludf.DUMMYFUNCTION("""COMPUTED_VALUE"""),"Pink Candle")</f>
        <v>Pink Candle</v>
      </c>
      <c r="W866" s="174"/>
    </row>
    <row r="867">
      <c r="B867" s="175"/>
      <c r="R867" s="176"/>
      <c r="U867" s="172" t="str">
        <f>IFERROR(__xludf.DUMMYFUNCTION("""COMPUTED_VALUE"""),"")</f>
        <v/>
      </c>
      <c r="V867" s="173" t="str">
        <f>IFERROR(__xludf.DUMMYFUNCTION("""COMPUTED_VALUE"""),"Pink Carpet")</f>
        <v>Pink Carpet</v>
      </c>
      <c r="W867" s="174"/>
    </row>
    <row r="868">
      <c r="B868" s="175"/>
      <c r="R868" s="176"/>
      <c r="U868" s="172" t="str">
        <f>IFERROR(__xludf.DUMMYFUNCTION("""COMPUTED_VALUE"""),"")</f>
        <v/>
      </c>
      <c r="V868" s="173" t="str">
        <f>IFERROR(__xludf.DUMMYFUNCTION("""COMPUTED_VALUE"""),"Pink Concrete")</f>
        <v>Pink Concrete</v>
      </c>
      <c r="W868" s="174"/>
    </row>
    <row r="869">
      <c r="B869" s="175"/>
      <c r="R869" s="176"/>
      <c r="U869" s="172" t="str">
        <f>IFERROR(__xludf.DUMMYFUNCTION("""COMPUTED_VALUE"""),"")</f>
        <v/>
      </c>
      <c r="V869" s="173" t="str">
        <f>IFERROR(__xludf.DUMMYFUNCTION("""COMPUTED_VALUE"""),"Pink Concrete Powder")</f>
        <v>Pink Concrete Powder</v>
      </c>
      <c r="W869" s="174"/>
    </row>
    <row r="870">
      <c r="B870" s="175"/>
      <c r="R870" s="176"/>
      <c r="U870" s="172" t="str">
        <f>IFERROR(__xludf.DUMMYFUNCTION("""COMPUTED_VALUE"""),"")</f>
        <v/>
      </c>
      <c r="V870" s="173" t="str">
        <f>IFERROR(__xludf.DUMMYFUNCTION("""COMPUTED_VALUE"""),"Pink Dye")</f>
        <v>Pink Dye</v>
      </c>
      <c r="W870" s="174"/>
    </row>
    <row r="871">
      <c r="B871" s="175"/>
      <c r="R871" s="176"/>
      <c r="U871" s="172" t="str">
        <f>IFERROR(__xludf.DUMMYFUNCTION("""COMPUTED_VALUE"""),"")</f>
        <v/>
      </c>
      <c r="V871" s="173" t="str">
        <f>IFERROR(__xludf.DUMMYFUNCTION("""COMPUTED_VALUE"""),"Pink Glazed Terracotta")</f>
        <v>Pink Glazed Terracotta</v>
      </c>
      <c r="W871" s="174"/>
    </row>
    <row r="872">
      <c r="B872" s="175"/>
      <c r="R872" s="176"/>
      <c r="U872" s="172" t="str">
        <f>IFERROR(__xludf.DUMMYFUNCTION("""COMPUTED_VALUE"""),"")</f>
        <v/>
      </c>
      <c r="V872" s="173" t="str">
        <f>IFERROR(__xludf.DUMMYFUNCTION("""COMPUTED_VALUE"""),"Pink Petals")</f>
        <v>Pink Petals</v>
      </c>
      <c r="W872" s="174"/>
    </row>
    <row r="873">
      <c r="B873" s="175"/>
      <c r="R873" s="176"/>
      <c r="U873" s="172" t="str">
        <f>IFERROR(__xludf.DUMMYFUNCTION("""COMPUTED_VALUE"""),"")</f>
        <v/>
      </c>
      <c r="V873" s="173" t="str">
        <f>IFERROR(__xludf.DUMMYFUNCTION("""COMPUTED_VALUE"""),"Pink Shulker Box")</f>
        <v>Pink Shulker Box</v>
      </c>
      <c r="W873" s="174"/>
    </row>
    <row r="874">
      <c r="B874" s="175"/>
      <c r="R874" s="176"/>
      <c r="U874" s="172" t="str">
        <f>IFERROR(__xludf.DUMMYFUNCTION("""COMPUTED_VALUE"""),"")</f>
        <v/>
      </c>
      <c r="V874" s="173" t="str">
        <f>IFERROR(__xludf.DUMMYFUNCTION("""COMPUTED_VALUE"""),"Pink Stained Glass")</f>
        <v>Pink Stained Glass</v>
      </c>
      <c r="W874" s="174"/>
    </row>
    <row r="875">
      <c r="B875" s="175"/>
      <c r="R875" s="176"/>
      <c r="U875" s="172" t="str">
        <f>IFERROR(__xludf.DUMMYFUNCTION("""COMPUTED_VALUE"""),"")</f>
        <v/>
      </c>
      <c r="V875" s="173" t="str">
        <f>IFERROR(__xludf.DUMMYFUNCTION("""COMPUTED_VALUE"""),"Pink Stained Glass Pane")</f>
        <v>Pink Stained Glass Pane</v>
      </c>
      <c r="W875" s="174"/>
    </row>
    <row r="876">
      <c r="B876" s="175"/>
      <c r="R876" s="176"/>
      <c r="U876" s="172" t="str">
        <f>IFERROR(__xludf.DUMMYFUNCTION("""COMPUTED_VALUE"""),"")</f>
        <v/>
      </c>
      <c r="V876" s="173" t="str">
        <f>IFERROR(__xludf.DUMMYFUNCTION("""COMPUTED_VALUE"""),"Pink Terracotta")</f>
        <v>Pink Terracotta</v>
      </c>
      <c r="W876" s="174"/>
    </row>
    <row r="877">
      <c r="B877" s="175"/>
      <c r="R877" s="176"/>
      <c r="U877" s="172" t="str">
        <f>IFERROR(__xludf.DUMMYFUNCTION("""COMPUTED_VALUE"""),"")</f>
        <v/>
      </c>
      <c r="V877" s="173" t="str">
        <f>IFERROR(__xludf.DUMMYFUNCTION("""COMPUTED_VALUE"""),"Pink Tulip")</f>
        <v>Pink Tulip</v>
      </c>
      <c r="W877" s="174"/>
    </row>
    <row r="878">
      <c r="B878" s="175"/>
      <c r="R878" s="176"/>
      <c r="U878" s="172" t="str">
        <f>IFERROR(__xludf.DUMMYFUNCTION("""COMPUTED_VALUE"""),"")</f>
        <v/>
      </c>
      <c r="V878" s="173" t="str">
        <f>IFERROR(__xludf.DUMMYFUNCTION("""COMPUTED_VALUE"""),"Pink Wool")</f>
        <v>Pink Wool</v>
      </c>
      <c r="W878" s="174"/>
    </row>
    <row r="879">
      <c r="B879" s="175"/>
      <c r="R879" s="176"/>
      <c r="U879" s="172" t="str">
        <f>IFERROR(__xludf.DUMMYFUNCTION("""COMPUTED_VALUE"""),"")</f>
        <v/>
      </c>
      <c r="V879" s="173" t="str">
        <f>IFERROR(__xludf.DUMMYFUNCTION("""COMPUTED_VALUE"""),"Piston")</f>
        <v>Piston</v>
      </c>
      <c r="W879" s="174"/>
    </row>
    <row r="880">
      <c r="B880" s="175"/>
      <c r="R880" s="176"/>
      <c r="U880" s="172" t="str">
        <f>IFERROR(__xludf.DUMMYFUNCTION("""COMPUTED_VALUE"""),"")</f>
        <v/>
      </c>
      <c r="V880" s="173" t="str">
        <f>IFERROR(__xludf.DUMMYFUNCTION("""COMPUTED_VALUE"""),"Pitcher Plant")</f>
        <v>Pitcher Plant</v>
      </c>
      <c r="W880" s="174"/>
    </row>
    <row r="881">
      <c r="B881" s="175"/>
      <c r="R881" s="176"/>
      <c r="U881" s="172" t="str">
        <f>IFERROR(__xludf.DUMMYFUNCTION("""COMPUTED_VALUE"""),"")</f>
        <v/>
      </c>
      <c r="V881" s="173" t="str">
        <f>IFERROR(__xludf.DUMMYFUNCTION("""COMPUTED_VALUE"""),"Pitcher Pod")</f>
        <v>Pitcher Pod</v>
      </c>
      <c r="W881" s="174"/>
    </row>
    <row r="882">
      <c r="B882" s="175"/>
      <c r="R882" s="176"/>
      <c r="U882" s="172" t="str">
        <f>IFERROR(__xludf.DUMMYFUNCTION("""COMPUTED_VALUE"""),"")</f>
        <v/>
      </c>
      <c r="V882" s="173" t="str">
        <f>IFERROR(__xludf.DUMMYFUNCTION("""COMPUTED_VALUE"""),"Plenty Pottery Sherd")</f>
        <v>Plenty Pottery Sherd</v>
      </c>
      <c r="W882" s="174"/>
    </row>
    <row r="883">
      <c r="B883" s="175"/>
      <c r="R883" s="176"/>
      <c r="U883" s="172" t="str">
        <f>IFERROR(__xludf.DUMMYFUNCTION("""COMPUTED_VALUE"""),"")</f>
        <v/>
      </c>
      <c r="V883" s="173" t="str">
        <f>IFERROR(__xludf.DUMMYFUNCTION("""COMPUTED_VALUE"""),"Podzol")</f>
        <v>Podzol</v>
      </c>
      <c r="W883" s="174"/>
    </row>
    <row r="884">
      <c r="B884" s="175"/>
      <c r="R884" s="176"/>
      <c r="U884" s="172" t="str">
        <f>IFERROR(__xludf.DUMMYFUNCTION("""COMPUTED_VALUE"""),"")</f>
        <v/>
      </c>
      <c r="V884" s="173" t="str">
        <f>IFERROR(__xludf.DUMMYFUNCTION("""COMPUTED_VALUE"""),"Pointed Dripstone")</f>
        <v>Pointed Dripstone</v>
      </c>
      <c r="W884" s="174"/>
    </row>
    <row r="885">
      <c r="B885" s="175"/>
      <c r="R885" s="176"/>
      <c r="U885" s="172" t="str">
        <f>IFERROR(__xludf.DUMMYFUNCTION("""COMPUTED_VALUE"""),"")</f>
        <v/>
      </c>
      <c r="V885" s="173" t="str">
        <f>IFERROR(__xludf.DUMMYFUNCTION("""COMPUTED_VALUE"""),"Poisonous Potato")</f>
        <v>Poisonous Potato</v>
      </c>
      <c r="W885" s="174"/>
    </row>
    <row r="886">
      <c r="B886" s="175"/>
      <c r="R886" s="176"/>
      <c r="U886" s="172" t="str">
        <f>IFERROR(__xludf.DUMMYFUNCTION("""COMPUTED_VALUE"""),"")</f>
        <v/>
      </c>
      <c r="V886" s="173" t="str">
        <f>IFERROR(__xludf.DUMMYFUNCTION("""COMPUTED_VALUE"""),"Polished Andesite")</f>
        <v>Polished Andesite</v>
      </c>
      <c r="W886" s="174"/>
    </row>
    <row r="887">
      <c r="B887" s="175"/>
      <c r="R887" s="176"/>
      <c r="U887" s="172" t="str">
        <f>IFERROR(__xludf.DUMMYFUNCTION("""COMPUTED_VALUE"""),"")</f>
        <v/>
      </c>
      <c r="V887" s="173" t="str">
        <f>IFERROR(__xludf.DUMMYFUNCTION("""COMPUTED_VALUE"""),"Polished Andesite Slab")</f>
        <v>Polished Andesite Slab</v>
      </c>
      <c r="W887" s="174"/>
    </row>
    <row r="888">
      <c r="B888" s="175"/>
      <c r="R888" s="176"/>
      <c r="U888" s="172" t="str">
        <f>IFERROR(__xludf.DUMMYFUNCTION("""COMPUTED_VALUE"""),"")</f>
        <v/>
      </c>
      <c r="V888" s="173" t="str">
        <f>IFERROR(__xludf.DUMMYFUNCTION("""COMPUTED_VALUE"""),"Polished Andesite Stairs")</f>
        <v>Polished Andesite Stairs</v>
      </c>
      <c r="W888" s="174"/>
    </row>
    <row r="889">
      <c r="B889" s="175"/>
      <c r="R889" s="176"/>
      <c r="U889" s="172" t="str">
        <f>IFERROR(__xludf.DUMMYFUNCTION("""COMPUTED_VALUE"""),"")</f>
        <v/>
      </c>
      <c r="V889" s="173" t="str">
        <f>IFERROR(__xludf.DUMMYFUNCTION("""COMPUTED_VALUE"""),"Polished Basalt")</f>
        <v>Polished Basalt</v>
      </c>
      <c r="W889" s="174"/>
    </row>
    <row r="890">
      <c r="B890" s="175"/>
      <c r="R890" s="176"/>
      <c r="U890" s="172" t="str">
        <f>IFERROR(__xludf.DUMMYFUNCTION("""COMPUTED_VALUE"""),"")</f>
        <v/>
      </c>
      <c r="V890" s="173" t="str">
        <f>IFERROR(__xludf.DUMMYFUNCTION("""COMPUTED_VALUE"""),"Polished Blackstone")</f>
        <v>Polished Blackstone</v>
      </c>
      <c r="W890" s="174"/>
    </row>
    <row r="891">
      <c r="B891" s="175"/>
      <c r="R891" s="176"/>
      <c r="U891" s="172" t="str">
        <f>IFERROR(__xludf.DUMMYFUNCTION("""COMPUTED_VALUE"""),"")</f>
        <v/>
      </c>
      <c r="V891" s="173" t="str">
        <f>IFERROR(__xludf.DUMMYFUNCTION("""COMPUTED_VALUE"""),"Polished Blackstone Brick Slab")</f>
        <v>Polished Blackstone Brick Slab</v>
      </c>
      <c r="W891" s="174"/>
    </row>
    <row r="892">
      <c r="B892" s="175"/>
      <c r="R892" s="176"/>
      <c r="U892" s="172" t="str">
        <f>IFERROR(__xludf.DUMMYFUNCTION("""COMPUTED_VALUE"""),"")</f>
        <v/>
      </c>
      <c r="V892" s="173" t="str">
        <f>IFERROR(__xludf.DUMMYFUNCTION("""COMPUTED_VALUE"""),"Polished Blackstone Brick Stairs")</f>
        <v>Polished Blackstone Brick Stairs</v>
      </c>
      <c r="W892" s="174"/>
    </row>
    <row r="893">
      <c r="B893" s="175"/>
      <c r="R893" s="176"/>
      <c r="U893" s="172" t="str">
        <f>IFERROR(__xludf.DUMMYFUNCTION("""COMPUTED_VALUE"""),"")</f>
        <v/>
      </c>
      <c r="V893" s="173" t="str">
        <f>IFERROR(__xludf.DUMMYFUNCTION("""COMPUTED_VALUE"""),"Polished Blackstone Brick Wall")</f>
        <v>Polished Blackstone Brick Wall</v>
      </c>
      <c r="W893" s="174"/>
    </row>
    <row r="894">
      <c r="B894" s="175"/>
      <c r="R894" s="176"/>
      <c r="U894" s="172" t="str">
        <f>IFERROR(__xludf.DUMMYFUNCTION("""COMPUTED_VALUE"""),"")</f>
        <v/>
      </c>
      <c r="V894" s="173" t="str">
        <f>IFERROR(__xludf.DUMMYFUNCTION("""COMPUTED_VALUE"""),"Polished Blackstone Bricks")</f>
        <v>Polished Blackstone Bricks</v>
      </c>
      <c r="W894" s="174"/>
    </row>
    <row r="895">
      <c r="B895" s="175"/>
      <c r="R895" s="176"/>
      <c r="U895" s="172" t="str">
        <f>IFERROR(__xludf.DUMMYFUNCTION("""COMPUTED_VALUE"""),"")</f>
        <v/>
      </c>
      <c r="V895" s="173" t="str">
        <f>IFERROR(__xludf.DUMMYFUNCTION("""COMPUTED_VALUE"""),"Polished Blackstone Button")</f>
        <v>Polished Blackstone Button</v>
      </c>
      <c r="W895" s="174"/>
    </row>
    <row r="896">
      <c r="B896" s="175"/>
      <c r="R896" s="176"/>
      <c r="U896" s="172" t="str">
        <f>IFERROR(__xludf.DUMMYFUNCTION("""COMPUTED_VALUE"""),"")</f>
        <v/>
      </c>
      <c r="V896" s="173" t="str">
        <f>IFERROR(__xludf.DUMMYFUNCTION("""COMPUTED_VALUE"""),"Polished Blackstone Pressure Plate")</f>
        <v>Polished Blackstone Pressure Plate</v>
      </c>
      <c r="W896" s="174"/>
    </row>
    <row r="897">
      <c r="B897" s="175"/>
      <c r="R897" s="176"/>
      <c r="U897" s="172" t="str">
        <f>IFERROR(__xludf.DUMMYFUNCTION("""COMPUTED_VALUE"""),"")</f>
        <v/>
      </c>
      <c r="V897" s="173" t="str">
        <f>IFERROR(__xludf.DUMMYFUNCTION("""COMPUTED_VALUE"""),"Polished Blackstone Slab")</f>
        <v>Polished Blackstone Slab</v>
      </c>
      <c r="W897" s="174"/>
    </row>
    <row r="898">
      <c r="B898" s="175"/>
      <c r="R898" s="176"/>
      <c r="U898" s="172" t="str">
        <f>IFERROR(__xludf.DUMMYFUNCTION("""COMPUTED_VALUE"""),"")</f>
        <v/>
      </c>
      <c r="V898" s="173" t="str">
        <f>IFERROR(__xludf.DUMMYFUNCTION("""COMPUTED_VALUE"""),"Polished Blackstone Stairs")</f>
        <v>Polished Blackstone Stairs</v>
      </c>
      <c r="W898" s="174"/>
    </row>
    <row r="899">
      <c r="B899" s="175"/>
      <c r="R899" s="176"/>
      <c r="U899" s="172" t="str">
        <f>IFERROR(__xludf.DUMMYFUNCTION("""COMPUTED_VALUE"""),"")</f>
        <v/>
      </c>
      <c r="V899" s="173" t="str">
        <f>IFERROR(__xludf.DUMMYFUNCTION("""COMPUTED_VALUE"""),"Polished Blackstone Wall")</f>
        <v>Polished Blackstone Wall</v>
      </c>
      <c r="W899" s="174"/>
    </row>
    <row r="900">
      <c r="B900" s="175"/>
      <c r="R900" s="176"/>
      <c r="U900" s="172" t="str">
        <f>IFERROR(__xludf.DUMMYFUNCTION("""COMPUTED_VALUE"""),"")</f>
        <v/>
      </c>
      <c r="V900" s="173" t="str">
        <f>IFERROR(__xludf.DUMMYFUNCTION("""COMPUTED_VALUE"""),"Polished Deepslate")</f>
        <v>Polished Deepslate</v>
      </c>
      <c r="W900" s="174"/>
    </row>
    <row r="901">
      <c r="B901" s="175"/>
      <c r="R901" s="176"/>
      <c r="U901" s="172" t="str">
        <f>IFERROR(__xludf.DUMMYFUNCTION("""COMPUTED_VALUE"""),"")</f>
        <v/>
      </c>
      <c r="V901" s="173" t="str">
        <f>IFERROR(__xludf.DUMMYFUNCTION("""COMPUTED_VALUE"""),"Polished Deepslate Slab")</f>
        <v>Polished Deepslate Slab</v>
      </c>
      <c r="W901" s="174"/>
    </row>
    <row r="902">
      <c r="B902" s="175"/>
      <c r="R902" s="176"/>
      <c r="U902" s="172" t="str">
        <f>IFERROR(__xludf.DUMMYFUNCTION("""COMPUTED_VALUE"""),"")</f>
        <v/>
      </c>
      <c r="V902" s="173" t="str">
        <f>IFERROR(__xludf.DUMMYFUNCTION("""COMPUTED_VALUE"""),"Polished Deepslate Stairs")</f>
        <v>Polished Deepslate Stairs</v>
      </c>
      <c r="W902" s="174"/>
    </row>
    <row r="903">
      <c r="B903" s="175"/>
      <c r="R903" s="176"/>
      <c r="U903" s="172" t="str">
        <f>IFERROR(__xludf.DUMMYFUNCTION("""COMPUTED_VALUE"""),"")</f>
        <v/>
      </c>
      <c r="V903" s="173" t="str">
        <f>IFERROR(__xludf.DUMMYFUNCTION("""COMPUTED_VALUE"""),"Polished Deepslate Wall")</f>
        <v>Polished Deepslate Wall</v>
      </c>
      <c r="W903" s="174"/>
    </row>
    <row r="904">
      <c r="B904" s="175"/>
      <c r="R904" s="176"/>
      <c r="U904" s="172" t="str">
        <f>IFERROR(__xludf.DUMMYFUNCTION("""COMPUTED_VALUE"""),"")</f>
        <v/>
      </c>
      <c r="V904" s="173" t="str">
        <f>IFERROR(__xludf.DUMMYFUNCTION("""COMPUTED_VALUE"""),"Polished Diorite")</f>
        <v>Polished Diorite</v>
      </c>
      <c r="W904" s="174"/>
    </row>
    <row r="905">
      <c r="B905" s="175"/>
      <c r="R905" s="176"/>
      <c r="U905" s="172" t="str">
        <f>IFERROR(__xludf.DUMMYFUNCTION("""COMPUTED_VALUE"""),"")</f>
        <v/>
      </c>
      <c r="V905" s="173" t="str">
        <f>IFERROR(__xludf.DUMMYFUNCTION("""COMPUTED_VALUE"""),"Polished Diorite Slab")</f>
        <v>Polished Diorite Slab</v>
      </c>
      <c r="W905" s="174"/>
    </row>
    <row r="906">
      <c r="B906" s="175"/>
      <c r="R906" s="176"/>
      <c r="U906" s="172" t="str">
        <f>IFERROR(__xludf.DUMMYFUNCTION("""COMPUTED_VALUE"""),"")</f>
        <v/>
      </c>
      <c r="V906" s="173" t="str">
        <f>IFERROR(__xludf.DUMMYFUNCTION("""COMPUTED_VALUE"""),"Polished Diorite Stairs")</f>
        <v>Polished Diorite Stairs</v>
      </c>
      <c r="W906" s="174"/>
    </row>
    <row r="907">
      <c r="B907" s="175"/>
      <c r="R907" s="176"/>
      <c r="U907" s="172" t="str">
        <f>IFERROR(__xludf.DUMMYFUNCTION("""COMPUTED_VALUE"""),"")</f>
        <v/>
      </c>
      <c r="V907" s="173" t="str">
        <f>IFERROR(__xludf.DUMMYFUNCTION("""COMPUTED_VALUE"""),"Polished Granite")</f>
        <v>Polished Granite</v>
      </c>
      <c r="W907" s="174"/>
    </row>
    <row r="908">
      <c r="B908" s="175"/>
      <c r="R908" s="176"/>
      <c r="U908" s="172" t="str">
        <f>IFERROR(__xludf.DUMMYFUNCTION("""COMPUTED_VALUE"""),"")</f>
        <v/>
      </c>
      <c r="V908" s="173" t="str">
        <f>IFERROR(__xludf.DUMMYFUNCTION("""COMPUTED_VALUE"""),"Polished Granite Slab")</f>
        <v>Polished Granite Slab</v>
      </c>
      <c r="W908" s="174"/>
    </row>
    <row r="909">
      <c r="B909" s="175"/>
      <c r="R909" s="176"/>
      <c r="U909" s="172" t="str">
        <f>IFERROR(__xludf.DUMMYFUNCTION("""COMPUTED_VALUE"""),"")</f>
        <v/>
      </c>
      <c r="V909" s="173" t="str">
        <f>IFERROR(__xludf.DUMMYFUNCTION("""COMPUTED_VALUE"""),"Polished Granite Stairs")</f>
        <v>Polished Granite Stairs</v>
      </c>
      <c r="W909" s="174"/>
    </row>
    <row r="910">
      <c r="B910" s="175"/>
      <c r="R910" s="176"/>
      <c r="U910" s="172" t="str">
        <f>IFERROR(__xludf.DUMMYFUNCTION("""COMPUTED_VALUE"""),"")</f>
        <v/>
      </c>
      <c r="V910" s="173" t="str">
        <f>IFERROR(__xludf.DUMMYFUNCTION("""COMPUTED_VALUE"""),"Polished Tuff")</f>
        <v>Polished Tuff</v>
      </c>
      <c r="W910" s="174"/>
    </row>
    <row r="911">
      <c r="B911" s="175"/>
      <c r="R911" s="176"/>
      <c r="U911" s="172" t="str">
        <f>IFERROR(__xludf.DUMMYFUNCTION("""COMPUTED_VALUE"""),"")</f>
        <v/>
      </c>
      <c r="V911" s="173" t="str">
        <f>IFERROR(__xludf.DUMMYFUNCTION("""COMPUTED_VALUE"""),"Polished Tuff Slab")</f>
        <v>Polished Tuff Slab</v>
      </c>
      <c r="W911" s="174"/>
    </row>
    <row r="912">
      <c r="B912" s="175"/>
      <c r="R912" s="176"/>
      <c r="U912" s="172" t="str">
        <f>IFERROR(__xludf.DUMMYFUNCTION("""COMPUTED_VALUE"""),"")</f>
        <v/>
      </c>
      <c r="V912" s="173" t="str">
        <f>IFERROR(__xludf.DUMMYFUNCTION("""COMPUTED_VALUE"""),"Polished Tuff Stairs")</f>
        <v>Polished Tuff Stairs</v>
      </c>
      <c r="W912" s="174"/>
    </row>
    <row r="913">
      <c r="B913" s="175"/>
      <c r="R913" s="176"/>
      <c r="U913" s="172" t="str">
        <f>IFERROR(__xludf.DUMMYFUNCTION("""COMPUTED_VALUE"""),"")</f>
        <v/>
      </c>
      <c r="V913" s="173" t="str">
        <f>IFERROR(__xludf.DUMMYFUNCTION("""COMPUTED_VALUE"""),"Polished Tuff Wall")</f>
        <v>Polished Tuff Wall</v>
      </c>
      <c r="W913" s="174"/>
    </row>
    <row r="914">
      <c r="B914" s="175"/>
      <c r="R914" s="176"/>
      <c r="U914" s="172" t="str">
        <f>IFERROR(__xludf.DUMMYFUNCTION("""COMPUTED_VALUE"""),"")</f>
        <v/>
      </c>
      <c r="V914" s="173" t="str">
        <f>IFERROR(__xludf.DUMMYFUNCTION("""COMPUTED_VALUE"""),"Popped Chorus Fruit")</f>
        <v>Popped Chorus Fruit</v>
      </c>
      <c r="W914" s="174"/>
    </row>
    <row r="915">
      <c r="B915" s="175"/>
      <c r="R915" s="176"/>
      <c r="U915" s="172" t="str">
        <f>IFERROR(__xludf.DUMMYFUNCTION("""COMPUTED_VALUE"""),"")</f>
        <v/>
      </c>
      <c r="V915" s="173" t="str">
        <f>IFERROR(__xludf.DUMMYFUNCTION("""COMPUTED_VALUE"""),"Poppy")</f>
        <v>Poppy</v>
      </c>
      <c r="W915" s="174"/>
    </row>
    <row r="916">
      <c r="B916" s="175"/>
      <c r="R916" s="176"/>
      <c r="U916" s="172" t="str">
        <f>IFERROR(__xludf.DUMMYFUNCTION("""COMPUTED_VALUE"""),"")</f>
        <v/>
      </c>
      <c r="V916" s="173" t="str">
        <f>IFERROR(__xludf.DUMMYFUNCTION("""COMPUTED_VALUE"""),"Porkchop")</f>
        <v>Porkchop</v>
      </c>
      <c r="W916" s="174"/>
    </row>
    <row r="917">
      <c r="B917" s="175"/>
      <c r="R917" s="176"/>
      <c r="U917" s="172" t="str">
        <f>IFERROR(__xludf.DUMMYFUNCTION("""COMPUTED_VALUE"""),"")</f>
        <v/>
      </c>
      <c r="V917" s="173" t="str">
        <f>IFERROR(__xludf.DUMMYFUNCTION("""COMPUTED_VALUE"""),"Potato")</f>
        <v>Potato</v>
      </c>
      <c r="W917" s="174"/>
    </row>
    <row r="918">
      <c r="B918" s="175"/>
      <c r="R918" s="176"/>
      <c r="U918" s="172" t="str">
        <f>IFERROR(__xludf.DUMMYFUNCTION("""COMPUTED_VALUE"""),"")</f>
        <v/>
      </c>
      <c r="V918" s="173" t="str">
        <f>IFERROR(__xludf.DUMMYFUNCTION("""COMPUTED_VALUE"""),"Potion")</f>
        <v>Potion</v>
      </c>
      <c r="W918" s="174"/>
    </row>
    <row r="919">
      <c r="B919" s="175"/>
      <c r="R919" s="176"/>
      <c r="U919" s="172" t="str">
        <f>IFERROR(__xludf.DUMMYFUNCTION("""COMPUTED_VALUE"""),"")</f>
        <v/>
      </c>
      <c r="V919" s="173" t="str">
        <f>IFERROR(__xludf.DUMMYFUNCTION("""COMPUTED_VALUE"""),"Powder Snow Bucket")</f>
        <v>Powder Snow Bucket</v>
      </c>
      <c r="W919" s="174"/>
    </row>
    <row r="920">
      <c r="B920" s="175"/>
      <c r="R920" s="176"/>
      <c r="U920" s="172" t="str">
        <f>IFERROR(__xludf.DUMMYFUNCTION("""COMPUTED_VALUE"""),"")</f>
        <v/>
      </c>
      <c r="V920" s="173" t="str">
        <f>IFERROR(__xludf.DUMMYFUNCTION("""COMPUTED_VALUE"""),"Powered Rail")</f>
        <v>Powered Rail</v>
      </c>
      <c r="W920" s="174"/>
    </row>
    <row r="921">
      <c r="B921" s="175"/>
      <c r="R921" s="176"/>
      <c r="U921" s="172" t="str">
        <f>IFERROR(__xludf.DUMMYFUNCTION("""COMPUTED_VALUE"""),"")</f>
        <v/>
      </c>
      <c r="V921" s="173" t="str">
        <f>IFERROR(__xludf.DUMMYFUNCTION("""COMPUTED_VALUE"""),"Prismarine")</f>
        <v>Prismarine</v>
      </c>
      <c r="W921" s="174"/>
    </row>
    <row r="922">
      <c r="B922" s="175"/>
      <c r="R922" s="176"/>
      <c r="U922" s="172" t="str">
        <f>IFERROR(__xludf.DUMMYFUNCTION("""COMPUTED_VALUE"""),"")</f>
        <v/>
      </c>
      <c r="V922" s="173" t="str">
        <f>IFERROR(__xludf.DUMMYFUNCTION("""COMPUTED_VALUE"""),"Prismarine Brick Slab")</f>
        <v>Prismarine Brick Slab</v>
      </c>
      <c r="W922" s="174"/>
    </row>
    <row r="923">
      <c r="B923" s="175"/>
      <c r="R923" s="176"/>
      <c r="U923" s="172" t="str">
        <f>IFERROR(__xludf.DUMMYFUNCTION("""COMPUTED_VALUE"""),"")</f>
        <v/>
      </c>
      <c r="V923" s="173" t="str">
        <f>IFERROR(__xludf.DUMMYFUNCTION("""COMPUTED_VALUE"""),"Prismarine Brick Stairs")</f>
        <v>Prismarine Brick Stairs</v>
      </c>
      <c r="W923" s="174"/>
    </row>
    <row r="924">
      <c r="B924" s="175"/>
      <c r="R924" s="176"/>
      <c r="U924" s="172" t="str">
        <f>IFERROR(__xludf.DUMMYFUNCTION("""COMPUTED_VALUE"""),"")</f>
        <v/>
      </c>
      <c r="V924" s="173" t="str">
        <f>IFERROR(__xludf.DUMMYFUNCTION("""COMPUTED_VALUE"""),"Prismarine Bricks")</f>
        <v>Prismarine Bricks</v>
      </c>
      <c r="W924" s="174"/>
    </row>
    <row r="925">
      <c r="B925" s="175"/>
      <c r="R925" s="176"/>
      <c r="U925" s="172" t="str">
        <f>IFERROR(__xludf.DUMMYFUNCTION("""COMPUTED_VALUE"""),"")</f>
        <v/>
      </c>
      <c r="V925" s="173" t="str">
        <f>IFERROR(__xludf.DUMMYFUNCTION("""COMPUTED_VALUE"""),"Prismarine Crystals")</f>
        <v>Prismarine Crystals</v>
      </c>
      <c r="W925" s="174"/>
    </row>
    <row r="926">
      <c r="B926" s="175"/>
      <c r="R926" s="176"/>
      <c r="U926" s="172" t="str">
        <f>IFERROR(__xludf.DUMMYFUNCTION("""COMPUTED_VALUE"""),"")</f>
        <v/>
      </c>
      <c r="V926" s="173" t="str">
        <f>IFERROR(__xludf.DUMMYFUNCTION("""COMPUTED_VALUE"""),"Prismarine Shard")</f>
        <v>Prismarine Shard</v>
      </c>
      <c r="W926" s="174"/>
    </row>
    <row r="927">
      <c r="B927" s="175"/>
      <c r="R927" s="176"/>
      <c r="U927" s="172" t="str">
        <f>IFERROR(__xludf.DUMMYFUNCTION("""COMPUTED_VALUE"""),"")</f>
        <v/>
      </c>
      <c r="V927" s="173" t="str">
        <f>IFERROR(__xludf.DUMMYFUNCTION("""COMPUTED_VALUE"""),"Prismarine Slab")</f>
        <v>Prismarine Slab</v>
      </c>
      <c r="W927" s="174"/>
    </row>
    <row r="928">
      <c r="B928" s="175"/>
      <c r="R928" s="176"/>
      <c r="U928" s="172" t="str">
        <f>IFERROR(__xludf.DUMMYFUNCTION("""COMPUTED_VALUE"""),"")</f>
        <v/>
      </c>
      <c r="V928" s="173" t="str">
        <f>IFERROR(__xludf.DUMMYFUNCTION("""COMPUTED_VALUE"""),"Prismarine Stairs")</f>
        <v>Prismarine Stairs</v>
      </c>
      <c r="W928" s="174"/>
    </row>
    <row r="929">
      <c r="B929" s="175"/>
      <c r="R929" s="176"/>
      <c r="U929" s="172" t="str">
        <f>IFERROR(__xludf.DUMMYFUNCTION("""COMPUTED_VALUE"""),"")</f>
        <v/>
      </c>
      <c r="V929" s="173" t="str">
        <f>IFERROR(__xludf.DUMMYFUNCTION("""COMPUTED_VALUE"""),"Prismarine Wall")</f>
        <v>Prismarine Wall</v>
      </c>
      <c r="W929" s="174"/>
    </row>
    <row r="930">
      <c r="B930" s="175"/>
      <c r="R930" s="176"/>
      <c r="U930" s="172" t="str">
        <f>IFERROR(__xludf.DUMMYFUNCTION("""COMPUTED_VALUE"""),"")</f>
        <v/>
      </c>
      <c r="V930" s="173" t="str">
        <f>IFERROR(__xludf.DUMMYFUNCTION("""COMPUTED_VALUE"""),"Prize Pottery Sherd")</f>
        <v>Prize Pottery Sherd</v>
      </c>
      <c r="W930" s="174"/>
    </row>
    <row r="931">
      <c r="B931" s="175"/>
      <c r="R931" s="176"/>
      <c r="U931" s="172" t="str">
        <f>IFERROR(__xludf.DUMMYFUNCTION("""COMPUTED_VALUE"""),"")</f>
        <v/>
      </c>
      <c r="V931" s="173" t="str">
        <f>IFERROR(__xludf.DUMMYFUNCTION("""COMPUTED_VALUE"""),"Pufferfish")</f>
        <v>Pufferfish</v>
      </c>
      <c r="W931" s="174"/>
    </row>
    <row r="932">
      <c r="B932" s="175"/>
      <c r="R932" s="176"/>
      <c r="U932" s="172" t="str">
        <f>IFERROR(__xludf.DUMMYFUNCTION("""COMPUTED_VALUE"""),"")</f>
        <v/>
      </c>
      <c r="V932" s="173" t="str">
        <f>IFERROR(__xludf.DUMMYFUNCTION("""COMPUTED_VALUE"""),"Pufferfish Bucket")</f>
        <v>Pufferfish Bucket</v>
      </c>
      <c r="W932" s="174"/>
    </row>
    <row r="933">
      <c r="B933" s="175"/>
      <c r="R933" s="176"/>
      <c r="U933" s="172" t="str">
        <f>IFERROR(__xludf.DUMMYFUNCTION("""COMPUTED_VALUE"""),"")</f>
        <v/>
      </c>
      <c r="V933" s="173" t="str">
        <f>IFERROR(__xludf.DUMMYFUNCTION("""COMPUTED_VALUE"""),"Pumpkin")</f>
        <v>Pumpkin</v>
      </c>
      <c r="W933" s="174"/>
    </row>
    <row r="934">
      <c r="B934" s="175"/>
      <c r="R934" s="176"/>
      <c r="U934" s="172" t="str">
        <f>IFERROR(__xludf.DUMMYFUNCTION("""COMPUTED_VALUE"""),"")</f>
        <v/>
      </c>
      <c r="V934" s="173" t="str">
        <f>IFERROR(__xludf.DUMMYFUNCTION("""COMPUTED_VALUE"""),"Pumpkin Pie")</f>
        <v>Pumpkin Pie</v>
      </c>
      <c r="W934" s="174"/>
    </row>
    <row r="935">
      <c r="B935" s="175"/>
      <c r="R935" s="176"/>
      <c r="U935" s="172" t="str">
        <f>IFERROR(__xludf.DUMMYFUNCTION("""COMPUTED_VALUE"""),"")</f>
        <v/>
      </c>
      <c r="V935" s="173" t="str">
        <f>IFERROR(__xludf.DUMMYFUNCTION("""COMPUTED_VALUE"""),"Pumpkin Seeds")</f>
        <v>Pumpkin Seeds</v>
      </c>
      <c r="W935" s="174"/>
    </row>
    <row r="936">
      <c r="B936" s="175"/>
      <c r="R936" s="176"/>
      <c r="U936" s="172" t="str">
        <f>IFERROR(__xludf.DUMMYFUNCTION("""COMPUTED_VALUE"""),"")</f>
        <v/>
      </c>
      <c r="V936" s="173" t="str">
        <f>IFERROR(__xludf.DUMMYFUNCTION("""COMPUTED_VALUE"""),"Purple Banner")</f>
        <v>Purple Banner</v>
      </c>
      <c r="W936" s="174"/>
    </row>
    <row r="937">
      <c r="B937" s="175"/>
      <c r="R937" s="176"/>
      <c r="U937" s="172" t="str">
        <f>IFERROR(__xludf.DUMMYFUNCTION("""COMPUTED_VALUE"""),"")</f>
        <v/>
      </c>
      <c r="V937" s="173" t="str">
        <f>IFERROR(__xludf.DUMMYFUNCTION("""COMPUTED_VALUE"""),"Purple Bed")</f>
        <v>Purple Bed</v>
      </c>
      <c r="W937" s="174"/>
    </row>
    <row r="938">
      <c r="B938" s="175"/>
      <c r="R938" s="176"/>
      <c r="U938" s="172" t="str">
        <f>IFERROR(__xludf.DUMMYFUNCTION("""COMPUTED_VALUE"""),"")</f>
        <v/>
      </c>
      <c r="V938" s="173" t="str">
        <f>IFERROR(__xludf.DUMMYFUNCTION("""COMPUTED_VALUE"""),"Purple Candle")</f>
        <v>Purple Candle</v>
      </c>
      <c r="W938" s="174"/>
    </row>
    <row r="939">
      <c r="B939" s="175"/>
      <c r="R939" s="176"/>
      <c r="U939" s="172" t="str">
        <f>IFERROR(__xludf.DUMMYFUNCTION("""COMPUTED_VALUE"""),"")</f>
        <v/>
      </c>
      <c r="V939" s="173" t="str">
        <f>IFERROR(__xludf.DUMMYFUNCTION("""COMPUTED_VALUE"""),"Purple Carpet")</f>
        <v>Purple Carpet</v>
      </c>
      <c r="W939" s="174"/>
    </row>
    <row r="940">
      <c r="B940" s="175"/>
      <c r="R940" s="176"/>
      <c r="U940" s="172" t="str">
        <f>IFERROR(__xludf.DUMMYFUNCTION("""COMPUTED_VALUE"""),"")</f>
        <v/>
      </c>
      <c r="V940" s="173" t="str">
        <f>IFERROR(__xludf.DUMMYFUNCTION("""COMPUTED_VALUE"""),"Purple Concrete")</f>
        <v>Purple Concrete</v>
      </c>
      <c r="W940" s="174"/>
    </row>
    <row r="941">
      <c r="B941" s="175"/>
      <c r="R941" s="176"/>
      <c r="U941" s="172" t="str">
        <f>IFERROR(__xludf.DUMMYFUNCTION("""COMPUTED_VALUE"""),"")</f>
        <v/>
      </c>
      <c r="V941" s="173" t="str">
        <f>IFERROR(__xludf.DUMMYFUNCTION("""COMPUTED_VALUE"""),"Purple Concrete Powder")</f>
        <v>Purple Concrete Powder</v>
      </c>
      <c r="W941" s="174"/>
    </row>
    <row r="942">
      <c r="B942" s="175"/>
      <c r="R942" s="176"/>
      <c r="U942" s="172" t="str">
        <f>IFERROR(__xludf.DUMMYFUNCTION("""COMPUTED_VALUE"""),"")</f>
        <v/>
      </c>
      <c r="V942" s="173" t="str">
        <f>IFERROR(__xludf.DUMMYFUNCTION("""COMPUTED_VALUE"""),"Purple Dye")</f>
        <v>Purple Dye</v>
      </c>
      <c r="W942" s="174"/>
    </row>
    <row r="943">
      <c r="B943" s="175"/>
      <c r="R943" s="176"/>
      <c r="U943" s="172" t="str">
        <f>IFERROR(__xludf.DUMMYFUNCTION("""COMPUTED_VALUE"""),"")</f>
        <v/>
      </c>
      <c r="V943" s="173" t="str">
        <f>IFERROR(__xludf.DUMMYFUNCTION("""COMPUTED_VALUE"""),"Purple Glazed Terracotta")</f>
        <v>Purple Glazed Terracotta</v>
      </c>
      <c r="W943" s="174"/>
    </row>
    <row r="944">
      <c r="B944" s="175"/>
      <c r="R944" s="176"/>
      <c r="U944" s="172" t="str">
        <f>IFERROR(__xludf.DUMMYFUNCTION("""COMPUTED_VALUE"""),"")</f>
        <v/>
      </c>
      <c r="V944" s="173" t="str">
        <f>IFERROR(__xludf.DUMMYFUNCTION("""COMPUTED_VALUE"""),"Purple Shulker Box")</f>
        <v>Purple Shulker Box</v>
      </c>
      <c r="W944" s="174"/>
    </row>
    <row r="945">
      <c r="B945" s="175"/>
      <c r="R945" s="176"/>
      <c r="U945" s="172" t="str">
        <f>IFERROR(__xludf.DUMMYFUNCTION("""COMPUTED_VALUE"""),"")</f>
        <v/>
      </c>
      <c r="V945" s="173" t="str">
        <f>IFERROR(__xludf.DUMMYFUNCTION("""COMPUTED_VALUE"""),"Purple Stained Glass")</f>
        <v>Purple Stained Glass</v>
      </c>
      <c r="W945" s="174"/>
    </row>
    <row r="946">
      <c r="B946" s="175"/>
      <c r="R946" s="176"/>
      <c r="U946" s="172" t="str">
        <f>IFERROR(__xludf.DUMMYFUNCTION("""COMPUTED_VALUE"""),"")</f>
        <v/>
      </c>
      <c r="V946" s="173" t="str">
        <f>IFERROR(__xludf.DUMMYFUNCTION("""COMPUTED_VALUE"""),"Purple Stained Glass Pane")</f>
        <v>Purple Stained Glass Pane</v>
      </c>
      <c r="W946" s="174"/>
    </row>
    <row r="947">
      <c r="B947" s="175"/>
      <c r="R947" s="176"/>
      <c r="U947" s="172" t="str">
        <f>IFERROR(__xludf.DUMMYFUNCTION("""COMPUTED_VALUE"""),"")</f>
        <v/>
      </c>
      <c r="V947" s="173" t="str">
        <f>IFERROR(__xludf.DUMMYFUNCTION("""COMPUTED_VALUE"""),"Purple Terracotta")</f>
        <v>Purple Terracotta</v>
      </c>
      <c r="W947" s="174"/>
    </row>
    <row r="948">
      <c r="B948" s="175"/>
      <c r="R948" s="176"/>
      <c r="U948" s="172" t="str">
        <f>IFERROR(__xludf.DUMMYFUNCTION("""COMPUTED_VALUE"""),"")</f>
        <v/>
      </c>
      <c r="V948" s="173" t="str">
        <f>IFERROR(__xludf.DUMMYFUNCTION("""COMPUTED_VALUE"""),"Purple Wool")</f>
        <v>Purple Wool</v>
      </c>
      <c r="W948" s="174"/>
    </row>
    <row r="949">
      <c r="B949" s="175"/>
      <c r="R949" s="176"/>
      <c r="U949" s="172" t="str">
        <f>IFERROR(__xludf.DUMMYFUNCTION("""COMPUTED_VALUE"""),"")</f>
        <v/>
      </c>
      <c r="V949" s="173" t="str">
        <f>IFERROR(__xludf.DUMMYFUNCTION("""COMPUTED_VALUE"""),"Purpur Block")</f>
        <v>Purpur Block</v>
      </c>
      <c r="W949" s="174"/>
    </row>
    <row r="950">
      <c r="B950" s="175"/>
      <c r="R950" s="176"/>
      <c r="U950" s="172" t="str">
        <f>IFERROR(__xludf.DUMMYFUNCTION("""COMPUTED_VALUE"""),"")</f>
        <v/>
      </c>
      <c r="V950" s="173" t="str">
        <f>IFERROR(__xludf.DUMMYFUNCTION("""COMPUTED_VALUE"""),"Purpur Pillar")</f>
        <v>Purpur Pillar</v>
      </c>
      <c r="W950" s="174"/>
    </row>
    <row r="951">
      <c r="B951" s="175"/>
      <c r="R951" s="176"/>
      <c r="U951" s="172" t="str">
        <f>IFERROR(__xludf.DUMMYFUNCTION("""COMPUTED_VALUE"""),"")</f>
        <v/>
      </c>
      <c r="V951" s="173" t="str">
        <f>IFERROR(__xludf.DUMMYFUNCTION("""COMPUTED_VALUE"""),"Purpur Slab")</f>
        <v>Purpur Slab</v>
      </c>
      <c r="W951" s="174"/>
    </row>
    <row r="952">
      <c r="B952" s="175"/>
      <c r="R952" s="176"/>
      <c r="U952" s="172" t="str">
        <f>IFERROR(__xludf.DUMMYFUNCTION("""COMPUTED_VALUE"""),"")</f>
        <v/>
      </c>
      <c r="V952" s="173" t="str">
        <f>IFERROR(__xludf.DUMMYFUNCTION("""COMPUTED_VALUE"""),"Purpur Stairs")</f>
        <v>Purpur Stairs</v>
      </c>
      <c r="W952" s="174"/>
    </row>
    <row r="953">
      <c r="B953" s="175"/>
      <c r="R953" s="176"/>
      <c r="U953" s="172" t="str">
        <f>IFERROR(__xludf.DUMMYFUNCTION("""COMPUTED_VALUE"""),"")</f>
        <v/>
      </c>
      <c r="V953" s="173" t="str">
        <f>IFERROR(__xludf.DUMMYFUNCTION("""COMPUTED_VALUE"""),"Quartz")</f>
        <v>Quartz</v>
      </c>
      <c r="W953" s="174"/>
    </row>
    <row r="954">
      <c r="B954" s="175"/>
      <c r="R954" s="176"/>
      <c r="U954" s="172" t="str">
        <f>IFERROR(__xludf.DUMMYFUNCTION("""COMPUTED_VALUE"""),"")</f>
        <v/>
      </c>
      <c r="V954" s="173" t="str">
        <f>IFERROR(__xludf.DUMMYFUNCTION("""COMPUTED_VALUE"""),"Quartz Block")</f>
        <v>Quartz Block</v>
      </c>
      <c r="W954" s="174"/>
    </row>
    <row r="955">
      <c r="B955" s="175"/>
      <c r="R955" s="176"/>
      <c r="U955" s="172" t="str">
        <f>IFERROR(__xludf.DUMMYFUNCTION("""COMPUTED_VALUE"""),"")</f>
        <v/>
      </c>
      <c r="V955" s="173" t="str">
        <f>IFERROR(__xludf.DUMMYFUNCTION("""COMPUTED_VALUE"""),"Quartz Bricks")</f>
        <v>Quartz Bricks</v>
      </c>
      <c r="W955" s="174"/>
    </row>
    <row r="956">
      <c r="B956" s="175"/>
      <c r="R956" s="176"/>
      <c r="U956" s="172" t="str">
        <f>IFERROR(__xludf.DUMMYFUNCTION("""COMPUTED_VALUE"""),"")</f>
        <v/>
      </c>
      <c r="V956" s="173" t="str">
        <f>IFERROR(__xludf.DUMMYFUNCTION("""COMPUTED_VALUE"""),"Quartz Pillar")</f>
        <v>Quartz Pillar</v>
      </c>
      <c r="W956" s="174"/>
    </row>
    <row r="957">
      <c r="B957" s="175"/>
      <c r="R957" s="176"/>
      <c r="U957" s="172" t="str">
        <f>IFERROR(__xludf.DUMMYFUNCTION("""COMPUTED_VALUE"""),"")</f>
        <v/>
      </c>
      <c r="V957" s="173" t="str">
        <f>IFERROR(__xludf.DUMMYFUNCTION("""COMPUTED_VALUE"""),"Quartz Slab")</f>
        <v>Quartz Slab</v>
      </c>
      <c r="W957" s="174"/>
    </row>
    <row r="958">
      <c r="B958" s="175"/>
      <c r="R958" s="176"/>
      <c r="U958" s="172" t="str">
        <f>IFERROR(__xludf.DUMMYFUNCTION("""COMPUTED_VALUE"""),"")</f>
        <v/>
      </c>
      <c r="V958" s="173" t="str">
        <f>IFERROR(__xludf.DUMMYFUNCTION("""COMPUTED_VALUE"""),"Quartz Stairs")</f>
        <v>Quartz Stairs</v>
      </c>
      <c r="W958" s="174"/>
    </row>
    <row r="959">
      <c r="B959" s="175"/>
      <c r="R959" s="176"/>
      <c r="U959" s="172" t="str">
        <f>IFERROR(__xludf.DUMMYFUNCTION("""COMPUTED_VALUE"""),"")</f>
        <v/>
      </c>
      <c r="V959" s="173" t="str">
        <f>IFERROR(__xludf.DUMMYFUNCTION("""COMPUTED_VALUE"""),"Rabbit")</f>
        <v>Rabbit</v>
      </c>
      <c r="W959" s="174"/>
    </row>
    <row r="960">
      <c r="B960" s="175"/>
      <c r="R960" s="176"/>
      <c r="U960" s="172" t="str">
        <f>IFERROR(__xludf.DUMMYFUNCTION("""COMPUTED_VALUE"""),"")</f>
        <v/>
      </c>
      <c r="V960" s="173" t="str">
        <f>IFERROR(__xludf.DUMMYFUNCTION("""COMPUTED_VALUE"""),"Rabbit Foot")</f>
        <v>Rabbit Foot</v>
      </c>
      <c r="W960" s="174"/>
    </row>
    <row r="961">
      <c r="B961" s="175"/>
      <c r="R961" s="176"/>
      <c r="U961" s="172" t="str">
        <f>IFERROR(__xludf.DUMMYFUNCTION("""COMPUTED_VALUE"""),"")</f>
        <v/>
      </c>
      <c r="V961" s="173" t="str">
        <f>IFERROR(__xludf.DUMMYFUNCTION("""COMPUTED_VALUE"""),"Rabbit Hide")</f>
        <v>Rabbit Hide</v>
      </c>
      <c r="W961" s="174"/>
    </row>
    <row r="962">
      <c r="B962" s="175"/>
      <c r="R962" s="176"/>
      <c r="U962" s="172" t="str">
        <f>IFERROR(__xludf.DUMMYFUNCTION("""COMPUTED_VALUE"""),"")</f>
        <v/>
      </c>
      <c r="V962" s="173" t="str">
        <f>IFERROR(__xludf.DUMMYFUNCTION("""COMPUTED_VALUE"""),"Rabbit Stew")</f>
        <v>Rabbit Stew</v>
      </c>
      <c r="W962" s="174"/>
    </row>
    <row r="963">
      <c r="B963" s="175"/>
      <c r="R963" s="176"/>
      <c r="U963" s="172" t="str">
        <f>IFERROR(__xludf.DUMMYFUNCTION("""COMPUTED_VALUE"""),"")</f>
        <v/>
      </c>
      <c r="V963" s="173" t="str">
        <f>IFERROR(__xludf.DUMMYFUNCTION("""COMPUTED_VALUE"""),"Rail")</f>
        <v>Rail</v>
      </c>
      <c r="W963" s="174"/>
    </row>
    <row r="964">
      <c r="B964" s="175"/>
      <c r="R964" s="176"/>
      <c r="U964" s="172" t="str">
        <f>IFERROR(__xludf.DUMMYFUNCTION("""COMPUTED_VALUE"""),"")</f>
        <v/>
      </c>
      <c r="V964" s="173" t="str">
        <f>IFERROR(__xludf.DUMMYFUNCTION("""COMPUTED_VALUE"""),"Raiser Armor Trim")</f>
        <v>Raiser Armor Trim</v>
      </c>
      <c r="W964" s="174"/>
    </row>
    <row r="965">
      <c r="B965" s="175"/>
      <c r="R965" s="176"/>
      <c r="U965" s="172" t="str">
        <f>IFERROR(__xludf.DUMMYFUNCTION("""COMPUTED_VALUE"""),"")</f>
        <v/>
      </c>
      <c r="V965" s="173" t="str">
        <f>IFERROR(__xludf.DUMMYFUNCTION("""COMPUTED_VALUE"""),"Raw Copper")</f>
        <v>Raw Copper</v>
      </c>
      <c r="W965" s="174"/>
    </row>
    <row r="966">
      <c r="B966" s="175"/>
      <c r="R966" s="176"/>
      <c r="U966" s="172" t="str">
        <f>IFERROR(__xludf.DUMMYFUNCTION("""COMPUTED_VALUE"""),"")</f>
        <v/>
      </c>
      <c r="V966" s="173" t="str">
        <f>IFERROR(__xludf.DUMMYFUNCTION("""COMPUTED_VALUE"""),"Raw Copper Block")</f>
        <v>Raw Copper Block</v>
      </c>
      <c r="W966" s="174"/>
    </row>
    <row r="967">
      <c r="B967" s="175"/>
      <c r="R967" s="176"/>
      <c r="U967" s="172" t="str">
        <f>IFERROR(__xludf.DUMMYFUNCTION("""COMPUTED_VALUE"""),"")</f>
        <v/>
      </c>
      <c r="V967" s="173" t="str">
        <f>IFERROR(__xludf.DUMMYFUNCTION("""COMPUTED_VALUE"""),"Raw Gold")</f>
        <v>Raw Gold</v>
      </c>
      <c r="W967" s="174"/>
    </row>
    <row r="968">
      <c r="B968" s="175"/>
      <c r="R968" s="176"/>
      <c r="U968" s="172" t="str">
        <f>IFERROR(__xludf.DUMMYFUNCTION("""COMPUTED_VALUE"""),"")</f>
        <v/>
      </c>
      <c r="V968" s="173" t="str">
        <f>IFERROR(__xludf.DUMMYFUNCTION("""COMPUTED_VALUE"""),"Raw Gold Block")</f>
        <v>Raw Gold Block</v>
      </c>
      <c r="W968" s="174"/>
    </row>
    <row r="969">
      <c r="B969" s="175"/>
      <c r="R969" s="176"/>
      <c r="U969" s="172" t="str">
        <f>IFERROR(__xludf.DUMMYFUNCTION("""COMPUTED_VALUE"""),"")</f>
        <v/>
      </c>
      <c r="V969" s="173" t="str">
        <f>IFERROR(__xludf.DUMMYFUNCTION("""COMPUTED_VALUE"""),"Raw Iron")</f>
        <v>Raw Iron</v>
      </c>
      <c r="W969" s="174"/>
    </row>
    <row r="970">
      <c r="B970" s="175"/>
      <c r="R970" s="176"/>
      <c r="U970" s="172" t="str">
        <f>IFERROR(__xludf.DUMMYFUNCTION("""COMPUTED_VALUE"""),"")</f>
        <v/>
      </c>
      <c r="V970" s="173" t="str">
        <f>IFERROR(__xludf.DUMMYFUNCTION("""COMPUTED_VALUE"""),"Raw Iron Block")</f>
        <v>Raw Iron Block</v>
      </c>
      <c r="W970" s="174"/>
    </row>
    <row r="971">
      <c r="B971" s="175"/>
      <c r="R971" s="176"/>
      <c r="U971" s="172" t="str">
        <f>IFERROR(__xludf.DUMMYFUNCTION("""COMPUTED_VALUE"""),"")</f>
        <v/>
      </c>
      <c r="V971" s="173" t="str">
        <f>IFERROR(__xludf.DUMMYFUNCTION("""COMPUTED_VALUE"""),"Recovery Compass")</f>
        <v>Recovery Compass</v>
      </c>
      <c r="W971" s="174"/>
    </row>
    <row r="972">
      <c r="B972" s="175"/>
      <c r="R972" s="176"/>
      <c r="U972" s="172" t="str">
        <f>IFERROR(__xludf.DUMMYFUNCTION("""COMPUTED_VALUE"""),"")</f>
        <v/>
      </c>
      <c r="V972" s="173" t="str">
        <f>IFERROR(__xludf.DUMMYFUNCTION("""COMPUTED_VALUE"""),"Red Banner")</f>
        <v>Red Banner</v>
      </c>
      <c r="W972" s="174"/>
    </row>
    <row r="973">
      <c r="B973" s="175"/>
      <c r="R973" s="176"/>
      <c r="U973" s="172" t="str">
        <f>IFERROR(__xludf.DUMMYFUNCTION("""COMPUTED_VALUE"""),"")</f>
        <v/>
      </c>
      <c r="V973" s="173" t="str">
        <f>IFERROR(__xludf.DUMMYFUNCTION("""COMPUTED_VALUE"""),"Red Bed")</f>
        <v>Red Bed</v>
      </c>
      <c r="W973" s="174"/>
    </row>
    <row r="974">
      <c r="B974" s="175"/>
      <c r="R974" s="176"/>
      <c r="U974" s="172" t="str">
        <f>IFERROR(__xludf.DUMMYFUNCTION("""COMPUTED_VALUE"""),"")</f>
        <v/>
      </c>
      <c r="V974" s="173" t="str">
        <f>IFERROR(__xludf.DUMMYFUNCTION("""COMPUTED_VALUE"""),"Red Candle")</f>
        <v>Red Candle</v>
      </c>
      <c r="W974" s="174"/>
    </row>
    <row r="975">
      <c r="B975" s="175"/>
      <c r="R975" s="176"/>
      <c r="U975" s="172" t="str">
        <f>IFERROR(__xludf.DUMMYFUNCTION("""COMPUTED_VALUE"""),"")</f>
        <v/>
      </c>
      <c r="V975" s="173" t="str">
        <f>IFERROR(__xludf.DUMMYFUNCTION("""COMPUTED_VALUE"""),"Red Carpet")</f>
        <v>Red Carpet</v>
      </c>
      <c r="W975" s="174"/>
    </row>
    <row r="976">
      <c r="B976" s="175"/>
      <c r="R976" s="176"/>
      <c r="U976" s="172" t="str">
        <f>IFERROR(__xludf.DUMMYFUNCTION("""COMPUTED_VALUE"""),"")</f>
        <v/>
      </c>
      <c r="V976" s="173" t="str">
        <f>IFERROR(__xludf.DUMMYFUNCTION("""COMPUTED_VALUE"""),"Red Concrete")</f>
        <v>Red Concrete</v>
      </c>
      <c r="W976" s="174"/>
    </row>
    <row r="977">
      <c r="B977" s="175"/>
      <c r="R977" s="176"/>
      <c r="U977" s="172" t="str">
        <f>IFERROR(__xludf.DUMMYFUNCTION("""COMPUTED_VALUE"""),"")</f>
        <v/>
      </c>
      <c r="V977" s="173" t="str">
        <f>IFERROR(__xludf.DUMMYFUNCTION("""COMPUTED_VALUE"""),"Red Concrete Powder")</f>
        <v>Red Concrete Powder</v>
      </c>
      <c r="W977" s="174"/>
    </row>
    <row r="978">
      <c r="B978" s="175"/>
      <c r="R978" s="176"/>
      <c r="U978" s="172" t="str">
        <f>IFERROR(__xludf.DUMMYFUNCTION("""COMPUTED_VALUE"""),"")</f>
        <v/>
      </c>
      <c r="V978" s="173" t="str">
        <f>IFERROR(__xludf.DUMMYFUNCTION("""COMPUTED_VALUE"""),"Red Dye")</f>
        <v>Red Dye</v>
      </c>
      <c r="W978" s="174"/>
    </row>
    <row r="979">
      <c r="B979" s="175"/>
      <c r="R979" s="176"/>
      <c r="U979" s="172" t="str">
        <f>IFERROR(__xludf.DUMMYFUNCTION("""COMPUTED_VALUE"""),"")</f>
        <v/>
      </c>
      <c r="V979" s="173" t="str">
        <f>IFERROR(__xludf.DUMMYFUNCTION("""COMPUTED_VALUE"""),"Red Glazed Terracotta")</f>
        <v>Red Glazed Terracotta</v>
      </c>
      <c r="W979" s="174"/>
    </row>
    <row r="980">
      <c r="B980" s="175"/>
      <c r="R980" s="176"/>
      <c r="U980" s="172" t="str">
        <f>IFERROR(__xludf.DUMMYFUNCTION("""COMPUTED_VALUE"""),"")</f>
        <v/>
      </c>
      <c r="V980" s="173" t="str">
        <f>IFERROR(__xludf.DUMMYFUNCTION("""COMPUTED_VALUE"""),"Red Mushroom")</f>
        <v>Red Mushroom</v>
      </c>
      <c r="W980" s="174"/>
    </row>
    <row r="981">
      <c r="B981" s="175"/>
      <c r="R981" s="176"/>
      <c r="U981" s="172" t="str">
        <f>IFERROR(__xludf.DUMMYFUNCTION("""COMPUTED_VALUE"""),"")</f>
        <v/>
      </c>
      <c r="V981" s="173" t="str">
        <f>IFERROR(__xludf.DUMMYFUNCTION("""COMPUTED_VALUE"""),"Red Mushroom Block")</f>
        <v>Red Mushroom Block</v>
      </c>
      <c r="W981" s="174"/>
    </row>
    <row r="982">
      <c r="B982" s="175"/>
      <c r="R982" s="176"/>
      <c r="U982" s="172" t="str">
        <f>IFERROR(__xludf.DUMMYFUNCTION("""COMPUTED_VALUE"""),"")</f>
        <v/>
      </c>
      <c r="V982" s="173" t="str">
        <f>IFERROR(__xludf.DUMMYFUNCTION("""COMPUTED_VALUE"""),"Red Nether Brick Slab")</f>
        <v>Red Nether Brick Slab</v>
      </c>
      <c r="W982" s="174"/>
    </row>
    <row r="983">
      <c r="B983" s="175"/>
      <c r="R983" s="176"/>
      <c r="U983" s="172" t="str">
        <f>IFERROR(__xludf.DUMMYFUNCTION("""COMPUTED_VALUE"""),"")</f>
        <v/>
      </c>
      <c r="V983" s="173" t="str">
        <f>IFERROR(__xludf.DUMMYFUNCTION("""COMPUTED_VALUE"""),"Red Nether Brick Stairs")</f>
        <v>Red Nether Brick Stairs</v>
      </c>
      <c r="W983" s="174"/>
    </row>
    <row r="984">
      <c r="B984" s="175"/>
      <c r="R984" s="176"/>
      <c r="U984" s="172" t="str">
        <f>IFERROR(__xludf.DUMMYFUNCTION("""COMPUTED_VALUE"""),"")</f>
        <v/>
      </c>
      <c r="V984" s="173" t="str">
        <f>IFERROR(__xludf.DUMMYFUNCTION("""COMPUTED_VALUE"""),"Red Nether Brick Wall")</f>
        <v>Red Nether Brick Wall</v>
      </c>
      <c r="W984" s="174"/>
    </row>
    <row r="985">
      <c r="B985" s="175"/>
      <c r="R985" s="176"/>
      <c r="U985" s="172" t="str">
        <f>IFERROR(__xludf.DUMMYFUNCTION("""COMPUTED_VALUE"""),"")</f>
        <v/>
      </c>
      <c r="V985" s="173" t="str">
        <f>IFERROR(__xludf.DUMMYFUNCTION("""COMPUTED_VALUE"""),"Red Nether Bricks")</f>
        <v>Red Nether Bricks</v>
      </c>
      <c r="W985" s="174"/>
    </row>
    <row r="986">
      <c r="B986" s="175"/>
      <c r="R986" s="176"/>
      <c r="U986" s="172" t="str">
        <f>IFERROR(__xludf.DUMMYFUNCTION("""COMPUTED_VALUE"""),"")</f>
        <v/>
      </c>
      <c r="V986" s="173" t="str">
        <f>IFERROR(__xludf.DUMMYFUNCTION("""COMPUTED_VALUE"""),"Red Sand")</f>
        <v>Red Sand</v>
      </c>
      <c r="W986" s="174"/>
    </row>
    <row r="987">
      <c r="B987" s="175"/>
      <c r="R987" s="176"/>
      <c r="U987" s="172" t="str">
        <f>IFERROR(__xludf.DUMMYFUNCTION("""COMPUTED_VALUE"""),"")</f>
        <v/>
      </c>
      <c r="V987" s="173" t="str">
        <f>IFERROR(__xludf.DUMMYFUNCTION("""COMPUTED_VALUE"""),"Red Sandstone")</f>
        <v>Red Sandstone</v>
      </c>
      <c r="W987" s="174"/>
    </row>
    <row r="988">
      <c r="B988" s="175"/>
      <c r="R988" s="176"/>
      <c r="U988" s="172" t="str">
        <f>IFERROR(__xludf.DUMMYFUNCTION("""COMPUTED_VALUE"""),"")</f>
        <v/>
      </c>
      <c r="V988" s="173" t="str">
        <f>IFERROR(__xludf.DUMMYFUNCTION("""COMPUTED_VALUE"""),"Red Sandstone Slab")</f>
        <v>Red Sandstone Slab</v>
      </c>
      <c r="W988" s="174"/>
    </row>
    <row r="989">
      <c r="B989" s="175"/>
      <c r="R989" s="176"/>
      <c r="U989" s="172" t="str">
        <f>IFERROR(__xludf.DUMMYFUNCTION("""COMPUTED_VALUE"""),"")</f>
        <v/>
      </c>
      <c r="V989" s="173" t="str">
        <f>IFERROR(__xludf.DUMMYFUNCTION("""COMPUTED_VALUE"""),"Red Sandstone Stairs")</f>
        <v>Red Sandstone Stairs</v>
      </c>
      <c r="W989" s="174"/>
    </row>
    <row r="990">
      <c r="B990" s="175"/>
      <c r="R990" s="176"/>
      <c r="U990" s="172" t="str">
        <f>IFERROR(__xludf.DUMMYFUNCTION("""COMPUTED_VALUE"""),"")</f>
        <v/>
      </c>
      <c r="V990" s="173" t="str">
        <f>IFERROR(__xludf.DUMMYFUNCTION("""COMPUTED_VALUE"""),"Red Sandstone Wall")</f>
        <v>Red Sandstone Wall</v>
      </c>
      <c r="W990" s="174"/>
    </row>
    <row r="991">
      <c r="B991" s="175"/>
      <c r="R991" s="176"/>
      <c r="U991" s="172" t="str">
        <f>IFERROR(__xludf.DUMMYFUNCTION("""COMPUTED_VALUE"""),"")</f>
        <v/>
      </c>
      <c r="V991" s="173" t="str">
        <f>IFERROR(__xludf.DUMMYFUNCTION("""COMPUTED_VALUE"""),"Red Shulker Box")</f>
        <v>Red Shulker Box</v>
      </c>
      <c r="W991" s="174"/>
    </row>
    <row r="992">
      <c r="B992" s="175"/>
      <c r="R992" s="176"/>
      <c r="U992" s="172" t="str">
        <f>IFERROR(__xludf.DUMMYFUNCTION("""COMPUTED_VALUE"""),"")</f>
        <v/>
      </c>
      <c r="V992" s="173" t="str">
        <f>IFERROR(__xludf.DUMMYFUNCTION("""COMPUTED_VALUE"""),"Red Stained Glass")</f>
        <v>Red Stained Glass</v>
      </c>
      <c r="W992" s="174"/>
    </row>
    <row r="993">
      <c r="B993" s="175"/>
      <c r="R993" s="176"/>
      <c r="U993" s="172" t="str">
        <f>IFERROR(__xludf.DUMMYFUNCTION("""COMPUTED_VALUE"""),"")</f>
        <v/>
      </c>
      <c r="V993" s="173" t="str">
        <f>IFERROR(__xludf.DUMMYFUNCTION("""COMPUTED_VALUE"""),"Red Stained Glass Pane")</f>
        <v>Red Stained Glass Pane</v>
      </c>
      <c r="W993" s="174"/>
    </row>
    <row r="994">
      <c r="B994" s="175"/>
      <c r="R994" s="176"/>
      <c r="U994" s="172" t="str">
        <f>IFERROR(__xludf.DUMMYFUNCTION("""COMPUTED_VALUE"""),"")</f>
        <v/>
      </c>
      <c r="V994" s="173" t="str">
        <f>IFERROR(__xludf.DUMMYFUNCTION("""COMPUTED_VALUE"""),"Red Terracotta")</f>
        <v>Red Terracotta</v>
      </c>
      <c r="W994" s="174"/>
    </row>
    <row r="995">
      <c r="B995" s="175"/>
      <c r="R995" s="176"/>
      <c r="U995" s="172" t="str">
        <f>IFERROR(__xludf.DUMMYFUNCTION("""COMPUTED_VALUE"""),"")</f>
        <v/>
      </c>
      <c r="V995" s="173" t="str">
        <f>IFERROR(__xludf.DUMMYFUNCTION("""COMPUTED_VALUE"""),"Red Tulip")</f>
        <v>Red Tulip</v>
      </c>
      <c r="W995" s="174"/>
    </row>
    <row r="996">
      <c r="B996" s="175"/>
      <c r="R996" s="176"/>
      <c r="U996" s="172" t="str">
        <f>IFERROR(__xludf.DUMMYFUNCTION("""COMPUTED_VALUE"""),"")</f>
        <v/>
      </c>
      <c r="V996" s="173" t="str">
        <f>IFERROR(__xludf.DUMMYFUNCTION("""COMPUTED_VALUE"""),"Red Wool")</f>
        <v>Red Wool</v>
      </c>
      <c r="W996" s="174"/>
    </row>
    <row r="997">
      <c r="B997" s="175"/>
      <c r="R997" s="176"/>
      <c r="U997" s="172" t="str">
        <f>IFERROR(__xludf.DUMMYFUNCTION("""COMPUTED_VALUE"""),"")</f>
        <v/>
      </c>
      <c r="V997" s="173" t="str">
        <f>IFERROR(__xludf.DUMMYFUNCTION("""COMPUTED_VALUE"""),"Redstone")</f>
        <v>Redstone</v>
      </c>
      <c r="W997" s="174"/>
    </row>
    <row r="998">
      <c r="B998" s="175"/>
      <c r="R998" s="176"/>
      <c r="U998" s="172" t="str">
        <f>IFERROR(__xludf.DUMMYFUNCTION("""COMPUTED_VALUE"""),"")</f>
        <v/>
      </c>
      <c r="V998" s="173" t="str">
        <f>IFERROR(__xludf.DUMMYFUNCTION("""COMPUTED_VALUE"""),"Redstone Block")</f>
        <v>Redstone Block</v>
      </c>
      <c r="W998" s="174"/>
    </row>
    <row r="999">
      <c r="B999" s="175"/>
      <c r="R999" s="176"/>
      <c r="U999" s="172" t="str">
        <f>IFERROR(__xludf.DUMMYFUNCTION("""COMPUTED_VALUE"""),"")</f>
        <v/>
      </c>
      <c r="V999" s="173" t="str">
        <f>IFERROR(__xludf.DUMMYFUNCTION("""COMPUTED_VALUE"""),"Redstone Lamp")</f>
        <v>Redstone Lamp</v>
      </c>
      <c r="W999" s="174"/>
    </row>
    <row r="1000">
      <c r="B1000" s="175"/>
      <c r="R1000" s="176"/>
      <c r="U1000" s="172" t="str">
        <f>IFERROR(__xludf.DUMMYFUNCTION("""COMPUTED_VALUE"""),"")</f>
        <v/>
      </c>
      <c r="V1000" s="173" t="str">
        <f>IFERROR(__xludf.DUMMYFUNCTION("""COMPUTED_VALUE"""),"Redstone Ore")</f>
        <v>Redstone Ore</v>
      </c>
      <c r="W1000" s="174"/>
    </row>
    <row r="1001">
      <c r="B1001" s="175"/>
      <c r="R1001" s="176"/>
      <c r="U1001" s="172" t="str">
        <f>IFERROR(__xludf.DUMMYFUNCTION("""COMPUTED_VALUE"""),"")</f>
        <v/>
      </c>
      <c r="V1001" s="173" t="str">
        <f>IFERROR(__xludf.DUMMYFUNCTION("""COMPUTED_VALUE"""),"Redstone Torch")</f>
        <v>Redstone Torch</v>
      </c>
      <c r="W1001" s="174"/>
    </row>
    <row r="1002">
      <c r="B1002" s="175"/>
      <c r="R1002" s="176"/>
      <c r="U1002" s="172" t="str">
        <f>IFERROR(__xludf.DUMMYFUNCTION("""COMPUTED_VALUE"""),"")</f>
        <v/>
      </c>
      <c r="V1002" s="173" t="str">
        <f>IFERROR(__xludf.DUMMYFUNCTION("""COMPUTED_VALUE"""),"Repeater")</f>
        <v>Repeater</v>
      </c>
      <c r="W1002" s="174"/>
    </row>
    <row r="1003">
      <c r="B1003" s="175"/>
      <c r="R1003" s="176"/>
      <c r="U1003" s="172" t="str">
        <f>IFERROR(__xludf.DUMMYFUNCTION("""COMPUTED_VALUE"""),"")</f>
        <v/>
      </c>
      <c r="V1003" s="173" t="str">
        <f>IFERROR(__xludf.DUMMYFUNCTION("""COMPUTED_VALUE"""),"Respawn Anchor")</f>
        <v>Respawn Anchor</v>
      </c>
      <c r="W1003" s="174"/>
    </row>
    <row r="1004">
      <c r="B1004" s="175"/>
      <c r="R1004" s="176"/>
      <c r="U1004" s="172" t="str">
        <f>IFERROR(__xludf.DUMMYFUNCTION("""COMPUTED_VALUE"""),"")</f>
        <v/>
      </c>
      <c r="V1004" s="173" t="str">
        <f>IFERROR(__xludf.DUMMYFUNCTION("""COMPUTED_VALUE"""),"Rib Armor Trim")</f>
        <v>Rib Armor Trim</v>
      </c>
      <c r="W1004" s="174"/>
    </row>
    <row r="1005">
      <c r="B1005" s="175"/>
      <c r="R1005" s="176"/>
      <c r="U1005" s="172" t="str">
        <f>IFERROR(__xludf.DUMMYFUNCTION("""COMPUTED_VALUE"""),"")</f>
        <v/>
      </c>
      <c r="V1005" s="173" t="str">
        <f>IFERROR(__xludf.DUMMYFUNCTION("""COMPUTED_VALUE"""),"Rooted Dirt")</f>
        <v>Rooted Dirt</v>
      </c>
      <c r="W1005" s="174"/>
    </row>
    <row r="1006">
      <c r="B1006" s="175"/>
      <c r="R1006" s="176"/>
      <c r="U1006" s="172" t="str">
        <f>IFERROR(__xludf.DUMMYFUNCTION("""COMPUTED_VALUE"""),"")</f>
        <v/>
      </c>
      <c r="V1006" s="173" t="str">
        <f>IFERROR(__xludf.DUMMYFUNCTION("""COMPUTED_VALUE"""),"Rose Bush")</f>
        <v>Rose Bush</v>
      </c>
      <c r="W1006" s="174"/>
    </row>
    <row r="1007">
      <c r="B1007" s="175"/>
      <c r="R1007" s="176"/>
      <c r="U1007" s="172" t="str">
        <f>IFERROR(__xludf.DUMMYFUNCTION("""COMPUTED_VALUE"""),"")</f>
        <v/>
      </c>
      <c r="V1007" s="173" t="str">
        <f>IFERROR(__xludf.DUMMYFUNCTION("""COMPUTED_VALUE"""),"Rotten Flesh")</f>
        <v>Rotten Flesh</v>
      </c>
      <c r="W1007" s="174"/>
    </row>
    <row r="1008">
      <c r="B1008" s="175"/>
      <c r="R1008" s="176"/>
      <c r="U1008" s="172" t="str">
        <f>IFERROR(__xludf.DUMMYFUNCTION("""COMPUTED_VALUE"""),"")</f>
        <v/>
      </c>
      <c r="V1008" s="173" t="str">
        <f>IFERROR(__xludf.DUMMYFUNCTION("""COMPUTED_VALUE"""),"Saddle")</f>
        <v>Saddle</v>
      </c>
      <c r="W1008" s="174"/>
    </row>
    <row r="1009">
      <c r="B1009" s="175"/>
      <c r="R1009" s="176"/>
      <c r="U1009" s="172" t="str">
        <f>IFERROR(__xludf.DUMMYFUNCTION("""COMPUTED_VALUE"""),"")</f>
        <v/>
      </c>
      <c r="V1009" s="173" t="str">
        <f>IFERROR(__xludf.DUMMYFUNCTION("""COMPUTED_VALUE"""),"Salmon")</f>
        <v>Salmon</v>
      </c>
      <c r="W1009" s="174"/>
    </row>
    <row r="1010">
      <c r="B1010" s="175"/>
      <c r="R1010" s="176"/>
      <c r="U1010" s="172" t="str">
        <f>IFERROR(__xludf.DUMMYFUNCTION("""COMPUTED_VALUE"""),"")</f>
        <v/>
      </c>
      <c r="V1010" s="173" t="str">
        <f>IFERROR(__xludf.DUMMYFUNCTION("""COMPUTED_VALUE"""),"Salmon Bucket")</f>
        <v>Salmon Bucket</v>
      </c>
      <c r="W1010" s="174"/>
    </row>
    <row r="1011">
      <c r="B1011" s="175"/>
      <c r="R1011" s="176"/>
      <c r="U1011" s="172" t="str">
        <f>IFERROR(__xludf.DUMMYFUNCTION("""COMPUTED_VALUE"""),"")</f>
        <v/>
      </c>
      <c r="V1011" s="173" t="str">
        <f>IFERROR(__xludf.DUMMYFUNCTION("""COMPUTED_VALUE"""),"Sand")</f>
        <v>Sand</v>
      </c>
      <c r="W1011" s="174"/>
    </row>
    <row r="1012">
      <c r="B1012" s="175"/>
      <c r="R1012" s="176"/>
      <c r="U1012" s="172" t="str">
        <f>IFERROR(__xludf.DUMMYFUNCTION("""COMPUTED_VALUE"""),"")</f>
        <v/>
      </c>
      <c r="V1012" s="173" t="str">
        <f>IFERROR(__xludf.DUMMYFUNCTION("""COMPUTED_VALUE"""),"Sandstone")</f>
        <v>Sandstone</v>
      </c>
      <c r="W1012" s="174"/>
    </row>
    <row r="1013">
      <c r="B1013" s="175"/>
      <c r="R1013" s="176"/>
      <c r="U1013" s="172" t="str">
        <f>IFERROR(__xludf.DUMMYFUNCTION("""COMPUTED_VALUE"""),"")</f>
        <v/>
      </c>
      <c r="V1013" s="173" t="str">
        <f>IFERROR(__xludf.DUMMYFUNCTION("""COMPUTED_VALUE"""),"Sandstone Slab")</f>
        <v>Sandstone Slab</v>
      </c>
      <c r="W1013" s="174"/>
    </row>
    <row r="1014">
      <c r="B1014" s="175"/>
      <c r="R1014" s="176"/>
      <c r="U1014" s="172" t="str">
        <f>IFERROR(__xludf.DUMMYFUNCTION("""COMPUTED_VALUE"""),"")</f>
        <v/>
      </c>
      <c r="V1014" s="173" t="str">
        <f>IFERROR(__xludf.DUMMYFUNCTION("""COMPUTED_VALUE"""),"Sandstone Stairs")</f>
        <v>Sandstone Stairs</v>
      </c>
      <c r="W1014" s="174"/>
    </row>
    <row r="1015">
      <c r="B1015" s="175"/>
      <c r="R1015" s="176"/>
      <c r="U1015" s="172" t="str">
        <f>IFERROR(__xludf.DUMMYFUNCTION("""COMPUTED_VALUE"""),"")</f>
        <v/>
      </c>
      <c r="V1015" s="173" t="str">
        <f>IFERROR(__xludf.DUMMYFUNCTION("""COMPUTED_VALUE"""),"Sandstone Wall")</f>
        <v>Sandstone Wall</v>
      </c>
      <c r="W1015" s="174"/>
    </row>
    <row r="1016">
      <c r="B1016" s="175"/>
      <c r="R1016" s="176"/>
      <c r="U1016" s="172" t="str">
        <f>IFERROR(__xludf.DUMMYFUNCTION("""COMPUTED_VALUE"""),"")</f>
        <v/>
      </c>
      <c r="V1016" s="173" t="str">
        <f>IFERROR(__xludf.DUMMYFUNCTION("""COMPUTED_VALUE"""),"Scaffolding")</f>
        <v>Scaffolding</v>
      </c>
      <c r="W1016" s="174"/>
    </row>
    <row r="1017">
      <c r="B1017" s="175"/>
      <c r="R1017" s="176"/>
      <c r="U1017" s="172" t="str">
        <f>IFERROR(__xludf.DUMMYFUNCTION("""COMPUTED_VALUE"""),"")</f>
        <v/>
      </c>
      <c r="V1017" s="173" t="str">
        <f>IFERROR(__xludf.DUMMYFUNCTION("""COMPUTED_VALUE"""),"Scrape Pottery Sherd")</f>
        <v>Scrape Pottery Sherd</v>
      </c>
      <c r="W1017" s="174"/>
    </row>
    <row r="1018">
      <c r="B1018" s="175"/>
      <c r="R1018" s="176"/>
      <c r="U1018" s="172" t="str">
        <f>IFERROR(__xludf.DUMMYFUNCTION("""COMPUTED_VALUE"""),"")</f>
        <v/>
      </c>
      <c r="V1018" s="173" t="str">
        <f>IFERROR(__xludf.DUMMYFUNCTION("""COMPUTED_VALUE"""),"Sculk")</f>
        <v>Sculk</v>
      </c>
      <c r="W1018" s="174"/>
    </row>
    <row r="1019">
      <c r="B1019" s="175"/>
      <c r="R1019" s="176"/>
      <c r="U1019" s="172" t="str">
        <f>IFERROR(__xludf.DUMMYFUNCTION("""COMPUTED_VALUE"""),"")</f>
        <v/>
      </c>
      <c r="V1019" s="173" t="str">
        <f>IFERROR(__xludf.DUMMYFUNCTION("""COMPUTED_VALUE"""),"Sculk Catalyst")</f>
        <v>Sculk Catalyst</v>
      </c>
      <c r="W1019" s="174"/>
    </row>
    <row r="1020">
      <c r="B1020" s="175"/>
      <c r="R1020" s="176"/>
      <c r="U1020" s="172" t="str">
        <f>IFERROR(__xludf.DUMMYFUNCTION("""COMPUTED_VALUE"""),"")</f>
        <v/>
      </c>
      <c r="V1020" s="173" t="str">
        <f>IFERROR(__xludf.DUMMYFUNCTION("""COMPUTED_VALUE"""),"Sculk Sensor")</f>
        <v>Sculk Sensor</v>
      </c>
      <c r="W1020" s="174"/>
    </row>
    <row r="1021">
      <c r="B1021" s="175"/>
      <c r="R1021" s="176"/>
      <c r="U1021" s="172" t="str">
        <f>IFERROR(__xludf.DUMMYFUNCTION("""COMPUTED_VALUE"""),"")</f>
        <v/>
      </c>
      <c r="V1021" s="173" t="str">
        <f>IFERROR(__xludf.DUMMYFUNCTION("""COMPUTED_VALUE"""),"Sculk Shrieker")</f>
        <v>Sculk Shrieker</v>
      </c>
      <c r="W1021" s="174"/>
    </row>
    <row r="1022">
      <c r="B1022" s="175"/>
      <c r="R1022" s="176"/>
      <c r="U1022" s="172" t="str">
        <f>IFERROR(__xludf.DUMMYFUNCTION("""COMPUTED_VALUE"""),"")</f>
        <v/>
      </c>
      <c r="V1022" s="173" t="str">
        <f>IFERROR(__xludf.DUMMYFUNCTION("""COMPUTED_VALUE"""),"Sculk Vein")</f>
        <v>Sculk Vein</v>
      </c>
      <c r="W1022" s="174"/>
    </row>
    <row r="1023">
      <c r="B1023" s="175"/>
      <c r="R1023" s="176"/>
      <c r="U1023" s="172" t="str">
        <f>IFERROR(__xludf.DUMMYFUNCTION("""COMPUTED_VALUE"""),"")</f>
        <v/>
      </c>
      <c r="V1023" s="173" t="str">
        <f>IFERROR(__xludf.DUMMYFUNCTION("""COMPUTED_VALUE"""),"Scute")</f>
        <v>Scute</v>
      </c>
      <c r="W1023" s="174"/>
    </row>
    <row r="1024">
      <c r="B1024" s="175"/>
      <c r="R1024" s="176"/>
      <c r="U1024" s="172" t="str">
        <f>IFERROR(__xludf.DUMMYFUNCTION("""COMPUTED_VALUE"""),"")</f>
        <v/>
      </c>
      <c r="V1024" s="173" t="str">
        <f>IFERROR(__xludf.DUMMYFUNCTION("""COMPUTED_VALUE"""),"Sea Lantern")</f>
        <v>Sea Lantern</v>
      </c>
      <c r="W1024" s="174"/>
    </row>
    <row r="1025">
      <c r="B1025" s="175"/>
      <c r="R1025" s="176"/>
      <c r="U1025" s="172" t="str">
        <f>IFERROR(__xludf.DUMMYFUNCTION("""COMPUTED_VALUE"""),"")</f>
        <v/>
      </c>
      <c r="V1025" s="173" t="str">
        <f>IFERROR(__xludf.DUMMYFUNCTION("""COMPUTED_VALUE"""),"Sea Pickle")</f>
        <v>Sea Pickle</v>
      </c>
      <c r="W1025" s="174"/>
    </row>
    <row r="1026">
      <c r="B1026" s="175"/>
      <c r="R1026" s="176"/>
      <c r="U1026" s="172" t="str">
        <f>IFERROR(__xludf.DUMMYFUNCTION("""COMPUTED_VALUE"""),"")</f>
        <v/>
      </c>
      <c r="V1026" s="173" t="str">
        <f>IFERROR(__xludf.DUMMYFUNCTION("""COMPUTED_VALUE"""),"Seagrass")</f>
        <v>Seagrass</v>
      </c>
      <c r="W1026" s="174"/>
    </row>
    <row r="1027">
      <c r="B1027" s="175"/>
      <c r="R1027" s="176"/>
      <c r="U1027" s="172" t="str">
        <f>IFERROR(__xludf.DUMMYFUNCTION("""COMPUTED_VALUE"""),"")</f>
        <v/>
      </c>
      <c r="V1027" s="173" t="str">
        <f>IFERROR(__xludf.DUMMYFUNCTION("""COMPUTED_VALUE"""),"Sentry Armor Trim")</f>
        <v>Sentry Armor Trim</v>
      </c>
      <c r="W1027" s="174"/>
    </row>
    <row r="1028">
      <c r="B1028" s="175"/>
      <c r="R1028" s="176"/>
      <c r="U1028" s="172" t="str">
        <f>IFERROR(__xludf.DUMMYFUNCTION("""COMPUTED_VALUE"""),"")</f>
        <v/>
      </c>
      <c r="V1028" s="173" t="str">
        <f>IFERROR(__xludf.DUMMYFUNCTION("""COMPUTED_VALUE"""),"Shaper Armor Trim")</f>
        <v>Shaper Armor Trim</v>
      </c>
      <c r="W1028" s="174"/>
    </row>
    <row r="1029">
      <c r="B1029" s="175"/>
      <c r="R1029" s="176"/>
      <c r="U1029" s="172" t="str">
        <f>IFERROR(__xludf.DUMMYFUNCTION("""COMPUTED_VALUE"""),"")</f>
        <v/>
      </c>
      <c r="V1029" s="173" t="str">
        <f>IFERROR(__xludf.DUMMYFUNCTION("""COMPUTED_VALUE"""),"Sheaf Pottery Sherd")</f>
        <v>Sheaf Pottery Sherd</v>
      </c>
      <c r="W1029" s="174"/>
    </row>
    <row r="1030">
      <c r="B1030" s="175"/>
      <c r="R1030" s="176"/>
      <c r="U1030" s="172" t="str">
        <f>IFERROR(__xludf.DUMMYFUNCTION("""COMPUTED_VALUE"""),"")</f>
        <v/>
      </c>
      <c r="V1030" s="173" t="str">
        <f>IFERROR(__xludf.DUMMYFUNCTION("""COMPUTED_VALUE"""),"Shears")</f>
        <v>Shears</v>
      </c>
      <c r="W1030" s="174"/>
    </row>
    <row r="1031">
      <c r="B1031" s="175"/>
      <c r="R1031" s="176"/>
      <c r="U1031" s="172" t="str">
        <f>IFERROR(__xludf.DUMMYFUNCTION("""COMPUTED_VALUE"""),"")</f>
        <v/>
      </c>
      <c r="V1031" s="173" t="str">
        <f>IFERROR(__xludf.DUMMYFUNCTION("""COMPUTED_VALUE"""),"Shelter Pottery Sherd")</f>
        <v>Shelter Pottery Sherd</v>
      </c>
      <c r="W1031" s="174"/>
    </row>
    <row r="1032">
      <c r="B1032" s="175"/>
      <c r="R1032" s="176"/>
      <c r="U1032" s="172" t="str">
        <f>IFERROR(__xludf.DUMMYFUNCTION("""COMPUTED_VALUE"""),"")</f>
        <v/>
      </c>
      <c r="V1032" s="173" t="str">
        <f>IFERROR(__xludf.DUMMYFUNCTION("""COMPUTED_VALUE"""),"Shield")</f>
        <v>Shield</v>
      </c>
      <c r="W1032" s="174"/>
    </row>
    <row r="1033">
      <c r="B1033" s="175"/>
      <c r="R1033" s="176"/>
      <c r="U1033" s="172" t="str">
        <f>IFERROR(__xludf.DUMMYFUNCTION("""COMPUTED_VALUE"""),"")</f>
        <v/>
      </c>
      <c r="V1033" s="173" t="str">
        <f>IFERROR(__xludf.DUMMYFUNCTION("""COMPUTED_VALUE"""),"Shroomlight")</f>
        <v>Shroomlight</v>
      </c>
      <c r="W1033" s="174"/>
    </row>
    <row r="1034">
      <c r="B1034" s="175"/>
      <c r="R1034" s="176"/>
      <c r="U1034" s="172" t="str">
        <f>IFERROR(__xludf.DUMMYFUNCTION("""COMPUTED_VALUE"""),"")</f>
        <v/>
      </c>
      <c r="V1034" s="173" t="str">
        <f>IFERROR(__xludf.DUMMYFUNCTION("""COMPUTED_VALUE"""),"Shulker Box")</f>
        <v>Shulker Box</v>
      </c>
      <c r="W1034" s="174"/>
    </row>
    <row r="1035">
      <c r="B1035" s="175"/>
      <c r="R1035" s="176"/>
      <c r="U1035" s="172" t="str">
        <f>IFERROR(__xludf.DUMMYFUNCTION("""COMPUTED_VALUE"""),"")</f>
        <v/>
      </c>
      <c r="V1035" s="173" t="str">
        <f>IFERROR(__xludf.DUMMYFUNCTION("""COMPUTED_VALUE"""),"Shulker Shell")</f>
        <v>Shulker Shell</v>
      </c>
      <c r="W1035" s="174"/>
    </row>
    <row r="1036">
      <c r="B1036" s="175"/>
      <c r="R1036" s="176"/>
      <c r="U1036" s="172" t="str">
        <f>IFERROR(__xludf.DUMMYFUNCTION("""COMPUTED_VALUE"""),"")</f>
        <v/>
      </c>
      <c r="V1036" s="173" t="str">
        <f>IFERROR(__xludf.DUMMYFUNCTION("""COMPUTED_VALUE"""),"Silence Armor Trim")</f>
        <v>Silence Armor Trim</v>
      </c>
      <c r="W1036" s="174"/>
    </row>
    <row r="1037">
      <c r="B1037" s="175"/>
      <c r="R1037" s="176"/>
      <c r="U1037" s="172" t="str">
        <f>IFERROR(__xludf.DUMMYFUNCTION("""COMPUTED_VALUE"""),"")</f>
        <v/>
      </c>
      <c r="V1037" s="173" t="str">
        <f>IFERROR(__xludf.DUMMYFUNCTION("""COMPUTED_VALUE"""),"Skeleton Skull")</f>
        <v>Skeleton Skull</v>
      </c>
      <c r="W1037" s="174"/>
    </row>
    <row r="1038">
      <c r="B1038" s="175"/>
      <c r="R1038" s="176"/>
      <c r="U1038" s="172" t="str">
        <f>IFERROR(__xludf.DUMMYFUNCTION("""COMPUTED_VALUE"""),"")</f>
        <v/>
      </c>
      <c r="V1038" s="173" t="str">
        <f>IFERROR(__xludf.DUMMYFUNCTION("""COMPUTED_VALUE"""),"Skull Banner Pattern")</f>
        <v>Skull Banner Pattern</v>
      </c>
      <c r="W1038" s="174"/>
    </row>
    <row r="1039">
      <c r="B1039" s="175"/>
      <c r="R1039" s="176"/>
      <c r="U1039" s="172" t="str">
        <f>IFERROR(__xludf.DUMMYFUNCTION("""COMPUTED_VALUE"""),"")</f>
        <v/>
      </c>
      <c r="V1039" s="173" t="str">
        <f>IFERROR(__xludf.DUMMYFUNCTION("""COMPUTED_VALUE"""),"Skull Pottery Sherd")</f>
        <v>Skull Pottery Sherd</v>
      </c>
      <c r="W1039" s="174"/>
    </row>
    <row r="1040">
      <c r="B1040" s="175"/>
      <c r="R1040" s="176"/>
      <c r="U1040" s="172" t="str">
        <f>IFERROR(__xludf.DUMMYFUNCTION("""COMPUTED_VALUE"""),"")</f>
        <v/>
      </c>
      <c r="V1040" s="173" t="str">
        <f>IFERROR(__xludf.DUMMYFUNCTION("""COMPUTED_VALUE"""),"Slime Ball")</f>
        <v>Slime Ball</v>
      </c>
      <c r="W1040" s="174"/>
    </row>
    <row r="1041">
      <c r="B1041" s="175"/>
      <c r="R1041" s="176"/>
      <c r="U1041" s="172" t="str">
        <f>IFERROR(__xludf.DUMMYFUNCTION("""COMPUTED_VALUE"""),"")</f>
        <v/>
      </c>
      <c r="V1041" s="173" t="str">
        <f>IFERROR(__xludf.DUMMYFUNCTION("""COMPUTED_VALUE"""),"Slime Block")</f>
        <v>Slime Block</v>
      </c>
      <c r="W1041" s="174"/>
    </row>
    <row r="1042">
      <c r="B1042" s="175"/>
      <c r="R1042" s="176"/>
      <c r="U1042" s="172" t="str">
        <f>IFERROR(__xludf.DUMMYFUNCTION("""COMPUTED_VALUE"""),"")</f>
        <v/>
      </c>
      <c r="V1042" s="173" t="str">
        <f>IFERROR(__xludf.DUMMYFUNCTION("""COMPUTED_VALUE"""),"Small Amethyst Bud")</f>
        <v>Small Amethyst Bud</v>
      </c>
      <c r="W1042" s="174"/>
    </row>
    <row r="1043">
      <c r="B1043" s="175"/>
      <c r="R1043" s="176"/>
      <c r="U1043" s="172" t="str">
        <f>IFERROR(__xludf.DUMMYFUNCTION("""COMPUTED_VALUE"""),"")</f>
        <v/>
      </c>
      <c r="V1043" s="173" t="str">
        <f>IFERROR(__xludf.DUMMYFUNCTION("""COMPUTED_VALUE"""),"Small Dripleaf")</f>
        <v>Small Dripleaf</v>
      </c>
      <c r="W1043" s="174"/>
    </row>
    <row r="1044">
      <c r="B1044" s="175"/>
      <c r="R1044" s="176"/>
      <c r="U1044" s="172" t="str">
        <f>IFERROR(__xludf.DUMMYFUNCTION("""COMPUTED_VALUE"""),"")</f>
        <v/>
      </c>
      <c r="V1044" s="173" t="str">
        <f>IFERROR(__xludf.DUMMYFUNCTION("""COMPUTED_VALUE"""),"Smithing Table")</f>
        <v>Smithing Table</v>
      </c>
      <c r="W1044" s="174"/>
    </row>
    <row r="1045">
      <c r="B1045" s="175"/>
      <c r="R1045" s="176"/>
      <c r="U1045" s="172" t="str">
        <f>IFERROR(__xludf.DUMMYFUNCTION("""COMPUTED_VALUE"""),"")</f>
        <v/>
      </c>
      <c r="V1045" s="173" t="str">
        <f>IFERROR(__xludf.DUMMYFUNCTION("""COMPUTED_VALUE"""),"Smithing Template")</f>
        <v>Smithing Template</v>
      </c>
      <c r="W1045" s="174"/>
    </row>
    <row r="1046">
      <c r="B1046" s="175"/>
      <c r="R1046" s="176"/>
      <c r="U1046" s="172" t="str">
        <f>IFERROR(__xludf.DUMMYFUNCTION("""COMPUTED_VALUE"""),"")</f>
        <v/>
      </c>
      <c r="V1046" s="173" t="str">
        <f>IFERROR(__xludf.DUMMYFUNCTION("""COMPUTED_VALUE"""),"Smoker")</f>
        <v>Smoker</v>
      </c>
      <c r="W1046" s="174"/>
    </row>
    <row r="1047">
      <c r="B1047" s="175"/>
      <c r="R1047" s="176"/>
      <c r="U1047" s="172" t="str">
        <f>IFERROR(__xludf.DUMMYFUNCTION("""COMPUTED_VALUE"""),"")</f>
        <v/>
      </c>
      <c r="V1047" s="173" t="str">
        <f>IFERROR(__xludf.DUMMYFUNCTION("""COMPUTED_VALUE"""),"Smooth Basalt")</f>
        <v>Smooth Basalt</v>
      </c>
      <c r="W1047" s="174"/>
    </row>
    <row r="1048">
      <c r="B1048" s="175"/>
      <c r="R1048" s="176"/>
      <c r="U1048" s="172" t="str">
        <f>IFERROR(__xludf.DUMMYFUNCTION("""COMPUTED_VALUE"""),"")</f>
        <v/>
      </c>
      <c r="V1048" s="173" t="str">
        <f>IFERROR(__xludf.DUMMYFUNCTION("""COMPUTED_VALUE"""),"Smooth Quartz")</f>
        <v>Smooth Quartz</v>
      </c>
      <c r="W1048" s="174"/>
    </row>
    <row r="1049">
      <c r="B1049" s="175"/>
      <c r="R1049" s="176"/>
      <c r="U1049" s="172" t="str">
        <f>IFERROR(__xludf.DUMMYFUNCTION("""COMPUTED_VALUE"""),"")</f>
        <v/>
      </c>
      <c r="V1049" s="173" t="str">
        <f>IFERROR(__xludf.DUMMYFUNCTION("""COMPUTED_VALUE"""),"Smooth Quartz Slab")</f>
        <v>Smooth Quartz Slab</v>
      </c>
      <c r="W1049" s="174"/>
    </row>
    <row r="1050">
      <c r="B1050" s="175"/>
      <c r="R1050" s="176"/>
      <c r="U1050" s="172" t="str">
        <f>IFERROR(__xludf.DUMMYFUNCTION("""COMPUTED_VALUE"""),"")</f>
        <v/>
      </c>
      <c r="V1050" s="173" t="str">
        <f>IFERROR(__xludf.DUMMYFUNCTION("""COMPUTED_VALUE"""),"Smooth Quartz Stairs")</f>
        <v>Smooth Quartz Stairs</v>
      </c>
      <c r="W1050" s="174"/>
    </row>
    <row r="1051">
      <c r="B1051" s="175"/>
      <c r="R1051" s="176"/>
      <c r="U1051" s="172" t="str">
        <f>IFERROR(__xludf.DUMMYFUNCTION("""COMPUTED_VALUE"""),"")</f>
        <v/>
      </c>
      <c r="V1051" s="173" t="str">
        <f>IFERROR(__xludf.DUMMYFUNCTION("""COMPUTED_VALUE"""),"Smooth Red Sandstone")</f>
        <v>Smooth Red Sandstone</v>
      </c>
      <c r="W1051" s="174"/>
    </row>
    <row r="1052">
      <c r="B1052" s="175"/>
      <c r="R1052" s="176"/>
      <c r="U1052" s="172" t="str">
        <f>IFERROR(__xludf.DUMMYFUNCTION("""COMPUTED_VALUE"""),"")</f>
        <v/>
      </c>
      <c r="V1052" s="173" t="str">
        <f>IFERROR(__xludf.DUMMYFUNCTION("""COMPUTED_VALUE"""),"Smooth Red Sandstone Slab")</f>
        <v>Smooth Red Sandstone Slab</v>
      </c>
      <c r="W1052" s="174"/>
    </row>
    <row r="1053">
      <c r="B1053" s="175"/>
      <c r="R1053" s="176"/>
      <c r="U1053" s="172" t="str">
        <f>IFERROR(__xludf.DUMMYFUNCTION("""COMPUTED_VALUE"""),"")</f>
        <v/>
      </c>
      <c r="V1053" s="173" t="str">
        <f>IFERROR(__xludf.DUMMYFUNCTION("""COMPUTED_VALUE"""),"Smooth Red Sandstone Stairs")</f>
        <v>Smooth Red Sandstone Stairs</v>
      </c>
      <c r="W1053" s="174"/>
    </row>
    <row r="1054">
      <c r="B1054" s="175"/>
      <c r="R1054" s="176"/>
      <c r="U1054" s="172" t="str">
        <f>IFERROR(__xludf.DUMMYFUNCTION("""COMPUTED_VALUE"""),"")</f>
        <v/>
      </c>
      <c r="V1054" s="173" t="str">
        <f>IFERROR(__xludf.DUMMYFUNCTION("""COMPUTED_VALUE"""),"Smooth Sandstone")</f>
        <v>Smooth Sandstone</v>
      </c>
      <c r="W1054" s="174"/>
    </row>
    <row r="1055">
      <c r="B1055" s="175"/>
      <c r="R1055" s="176"/>
      <c r="U1055" s="172" t="str">
        <f>IFERROR(__xludf.DUMMYFUNCTION("""COMPUTED_VALUE"""),"")</f>
        <v/>
      </c>
      <c r="V1055" s="173" t="str">
        <f>IFERROR(__xludf.DUMMYFUNCTION("""COMPUTED_VALUE"""),"Smooth Sandstone Slab")</f>
        <v>Smooth Sandstone Slab</v>
      </c>
      <c r="W1055" s="174"/>
    </row>
    <row r="1056">
      <c r="B1056" s="175"/>
      <c r="R1056" s="176"/>
      <c r="U1056" s="172" t="str">
        <f>IFERROR(__xludf.DUMMYFUNCTION("""COMPUTED_VALUE"""),"")</f>
        <v/>
      </c>
      <c r="V1056" s="173" t="str">
        <f>IFERROR(__xludf.DUMMYFUNCTION("""COMPUTED_VALUE"""),"Smooth Sandstone Stairs")</f>
        <v>Smooth Sandstone Stairs</v>
      </c>
      <c r="W1056" s="174"/>
    </row>
    <row r="1057">
      <c r="B1057" s="175"/>
      <c r="R1057" s="176"/>
      <c r="U1057" s="172" t="str">
        <f>IFERROR(__xludf.DUMMYFUNCTION("""COMPUTED_VALUE"""),"")</f>
        <v/>
      </c>
      <c r="V1057" s="173" t="str">
        <f>IFERROR(__xludf.DUMMYFUNCTION("""COMPUTED_VALUE"""),"Smooth Stone")</f>
        <v>Smooth Stone</v>
      </c>
      <c r="W1057" s="174"/>
    </row>
    <row r="1058">
      <c r="B1058" s="175"/>
      <c r="R1058" s="176"/>
      <c r="U1058" s="172" t="str">
        <f>IFERROR(__xludf.DUMMYFUNCTION("""COMPUTED_VALUE"""),"")</f>
        <v/>
      </c>
      <c r="V1058" s="173" t="str">
        <f>IFERROR(__xludf.DUMMYFUNCTION("""COMPUTED_VALUE"""),"Smooth Stone Slab")</f>
        <v>Smooth Stone Slab</v>
      </c>
      <c r="W1058" s="174"/>
    </row>
    <row r="1059">
      <c r="B1059" s="175"/>
      <c r="R1059" s="176"/>
      <c r="U1059" s="172" t="str">
        <f>IFERROR(__xludf.DUMMYFUNCTION("""COMPUTED_VALUE"""),"")</f>
        <v/>
      </c>
      <c r="V1059" s="173" t="str">
        <f>IFERROR(__xludf.DUMMYFUNCTION("""COMPUTED_VALUE"""),"Sniffer Egg")</f>
        <v>Sniffer Egg</v>
      </c>
      <c r="W1059" s="174"/>
    </row>
    <row r="1060">
      <c r="B1060" s="175"/>
      <c r="R1060" s="176"/>
      <c r="U1060" s="172" t="str">
        <f>IFERROR(__xludf.DUMMYFUNCTION("""COMPUTED_VALUE"""),"")</f>
        <v/>
      </c>
      <c r="V1060" s="173" t="str">
        <f>IFERROR(__xludf.DUMMYFUNCTION("""COMPUTED_VALUE"""),"Snort Pottery Sherd")</f>
        <v>Snort Pottery Sherd</v>
      </c>
      <c r="W1060" s="174"/>
    </row>
    <row r="1061">
      <c r="B1061" s="175"/>
      <c r="R1061" s="176"/>
      <c r="U1061" s="172" t="str">
        <f>IFERROR(__xludf.DUMMYFUNCTION("""COMPUTED_VALUE"""),"")</f>
        <v/>
      </c>
      <c r="V1061" s="173" t="str">
        <f>IFERROR(__xludf.DUMMYFUNCTION("""COMPUTED_VALUE"""),"Snout Armor Trim")</f>
        <v>Snout Armor Trim</v>
      </c>
      <c r="W1061" s="174"/>
    </row>
    <row r="1062">
      <c r="B1062" s="175"/>
      <c r="R1062" s="176"/>
      <c r="U1062" s="172" t="str">
        <f>IFERROR(__xludf.DUMMYFUNCTION("""COMPUTED_VALUE"""),"")</f>
        <v/>
      </c>
      <c r="V1062" s="173" t="str">
        <f>IFERROR(__xludf.DUMMYFUNCTION("""COMPUTED_VALUE"""),"Snow")</f>
        <v>Snow</v>
      </c>
      <c r="W1062" s="174"/>
    </row>
    <row r="1063">
      <c r="B1063" s="175"/>
      <c r="R1063" s="176"/>
      <c r="U1063" s="172" t="str">
        <f>IFERROR(__xludf.DUMMYFUNCTION("""COMPUTED_VALUE"""),"")</f>
        <v/>
      </c>
      <c r="V1063" s="173" t="str">
        <f>IFERROR(__xludf.DUMMYFUNCTION("""COMPUTED_VALUE"""),"Snow Block")</f>
        <v>Snow Block</v>
      </c>
      <c r="W1063" s="174"/>
    </row>
    <row r="1064">
      <c r="B1064" s="175"/>
      <c r="R1064" s="176"/>
      <c r="U1064" s="172" t="str">
        <f>IFERROR(__xludf.DUMMYFUNCTION("""COMPUTED_VALUE"""),"")</f>
        <v/>
      </c>
      <c r="V1064" s="173" t="str">
        <f>IFERROR(__xludf.DUMMYFUNCTION("""COMPUTED_VALUE"""),"Snowball")</f>
        <v>Snowball</v>
      </c>
      <c r="W1064" s="174"/>
    </row>
    <row r="1065">
      <c r="B1065" s="175"/>
      <c r="R1065" s="176"/>
      <c r="U1065" s="172" t="str">
        <f>IFERROR(__xludf.DUMMYFUNCTION("""COMPUTED_VALUE"""),"")</f>
        <v/>
      </c>
      <c r="V1065" s="173" t="str">
        <f>IFERROR(__xludf.DUMMYFUNCTION("""COMPUTED_VALUE"""),"Soul Campfire")</f>
        <v>Soul Campfire</v>
      </c>
      <c r="W1065" s="174"/>
    </row>
    <row r="1066">
      <c r="B1066" s="175"/>
      <c r="R1066" s="176"/>
      <c r="U1066" s="172" t="str">
        <f>IFERROR(__xludf.DUMMYFUNCTION("""COMPUTED_VALUE"""),"")</f>
        <v/>
      </c>
      <c r="V1066" s="173" t="str">
        <f>IFERROR(__xludf.DUMMYFUNCTION("""COMPUTED_VALUE"""),"Soul Lantern")</f>
        <v>Soul Lantern</v>
      </c>
      <c r="W1066" s="174"/>
    </row>
    <row r="1067">
      <c r="B1067" s="175"/>
      <c r="R1067" s="176"/>
      <c r="U1067" s="172" t="str">
        <f>IFERROR(__xludf.DUMMYFUNCTION("""COMPUTED_VALUE"""),"")</f>
        <v/>
      </c>
      <c r="V1067" s="173" t="str">
        <f>IFERROR(__xludf.DUMMYFUNCTION("""COMPUTED_VALUE"""),"Soul Sand")</f>
        <v>Soul Sand</v>
      </c>
      <c r="W1067" s="174"/>
    </row>
    <row r="1068">
      <c r="B1068" s="175"/>
      <c r="R1068" s="176"/>
      <c r="U1068" s="172" t="str">
        <f>IFERROR(__xludf.DUMMYFUNCTION("""COMPUTED_VALUE"""),"")</f>
        <v/>
      </c>
      <c r="V1068" s="173" t="str">
        <f>IFERROR(__xludf.DUMMYFUNCTION("""COMPUTED_VALUE"""),"Soul Soil")</f>
        <v>Soul Soil</v>
      </c>
      <c r="W1068" s="174"/>
    </row>
    <row r="1069">
      <c r="B1069" s="175"/>
      <c r="R1069" s="176"/>
      <c r="U1069" s="172" t="str">
        <f>IFERROR(__xludf.DUMMYFUNCTION("""COMPUTED_VALUE"""),"")</f>
        <v/>
      </c>
      <c r="V1069" s="173" t="str">
        <f>IFERROR(__xludf.DUMMYFUNCTION("""COMPUTED_VALUE"""),"Soul Torch")</f>
        <v>Soul Torch</v>
      </c>
      <c r="W1069" s="174"/>
    </row>
    <row r="1070">
      <c r="B1070" s="175"/>
      <c r="R1070" s="176"/>
      <c r="U1070" s="172" t="str">
        <f>IFERROR(__xludf.DUMMYFUNCTION("""COMPUTED_VALUE"""),"")</f>
        <v/>
      </c>
      <c r="V1070" s="173" t="str">
        <f>IFERROR(__xludf.DUMMYFUNCTION("""COMPUTED_VALUE"""),"Spectral Arrow")</f>
        <v>Spectral Arrow</v>
      </c>
      <c r="W1070" s="174"/>
    </row>
    <row r="1071">
      <c r="B1071" s="175"/>
      <c r="R1071" s="176"/>
      <c r="U1071" s="172" t="str">
        <f>IFERROR(__xludf.DUMMYFUNCTION("""COMPUTED_VALUE"""),"")</f>
        <v/>
      </c>
      <c r="V1071" s="173" t="str">
        <f>IFERROR(__xludf.DUMMYFUNCTION("""COMPUTED_VALUE"""),"Spider Eye")</f>
        <v>Spider Eye</v>
      </c>
      <c r="W1071" s="174"/>
    </row>
    <row r="1072">
      <c r="B1072" s="175"/>
      <c r="R1072" s="176"/>
      <c r="U1072" s="172" t="str">
        <f>IFERROR(__xludf.DUMMYFUNCTION("""COMPUTED_VALUE"""),"")</f>
        <v/>
      </c>
      <c r="V1072" s="173" t="str">
        <f>IFERROR(__xludf.DUMMYFUNCTION("""COMPUTED_VALUE"""),"Spire Armor Trim")</f>
        <v>Spire Armor Trim</v>
      </c>
      <c r="W1072" s="174"/>
    </row>
    <row r="1073">
      <c r="B1073" s="175"/>
      <c r="R1073" s="176"/>
      <c r="U1073" s="172" t="str">
        <f>IFERROR(__xludf.DUMMYFUNCTION("""COMPUTED_VALUE"""),"")</f>
        <v/>
      </c>
      <c r="V1073" s="173" t="str">
        <f>IFERROR(__xludf.DUMMYFUNCTION("""COMPUTED_VALUE"""),"Splash Potion")</f>
        <v>Splash Potion</v>
      </c>
      <c r="W1073" s="174"/>
    </row>
    <row r="1074">
      <c r="B1074" s="175"/>
      <c r="R1074" s="176"/>
      <c r="U1074" s="172" t="str">
        <f>IFERROR(__xludf.DUMMYFUNCTION("""COMPUTED_VALUE"""),"")</f>
        <v/>
      </c>
      <c r="V1074" s="173" t="str">
        <f>IFERROR(__xludf.DUMMYFUNCTION("""COMPUTED_VALUE"""),"Sponge")</f>
        <v>Sponge</v>
      </c>
      <c r="W1074" s="174"/>
    </row>
    <row r="1075">
      <c r="B1075" s="175"/>
      <c r="R1075" s="176"/>
      <c r="U1075" s="172" t="str">
        <f>IFERROR(__xludf.DUMMYFUNCTION("""COMPUTED_VALUE"""),"")</f>
        <v/>
      </c>
      <c r="V1075" s="173" t="str">
        <f>IFERROR(__xludf.DUMMYFUNCTION("""COMPUTED_VALUE"""),"Spore Blossom")</f>
        <v>Spore Blossom</v>
      </c>
      <c r="W1075" s="174"/>
    </row>
    <row r="1076">
      <c r="B1076" s="175"/>
      <c r="R1076" s="176"/>
      <c r="U1076" s="172" t="str">
        <f>IFERROR(__xludf.DUMMYFUNCTION("""COMPUTED_VALUE"""),"")</f>
        <v/>
      </c>
      <c r="V1076" s="173" t="str">
        <f>IFERROR(__xludf.DUMMYFUNCTION("""COMPUTED_VALUE"""),"Spruce Boat")</f>
        <v>Spruce Boat</v>
      </c>
      <c r="W1076" s="174"/>
    </row>
    <row r="1077">
      <c r="B1077" s="175"/>
      <c r="R1077" s="176"/>
      <c r="U1077" s="172" t="str">
        <f>IFERROR(__xludf.DUMMYFUNCTION("""COMPUTED_VALUE"""),"")</f>
        <v/>
      </c>
      <c r="V1077" s="173" t="str">
        <f>IFERROR(__xludf.DUMMYFUNCTION("""COMPUTED_VALUE"""),"Spruce Button")</f>
        <v>Spruce Button</v>
      </c>
      <c r="W1077" s="174"/>
    </row>
    <row r="1078">
      <c r="B1078" s="175"/>
      <c r="R1078" s="176"/>
      <c r="U1078" s="172" t="str">
        <f>IFERROR(__xludf.DUMMYFUNCTION("""COMPUTED_VALUE"""),"")</f>
        <v/>
      </c>
      <c r="V1078" s="173" t="str">
        <f>IFERROR(__xludf.DUMMYFUNCTION("""COMPUTED_VALUE"""),"Spruce Chest Boat")</f>
        <v>Spruce Chest Boat</v>
      </c>
      <c r="W1078" s="174"/>
    </row>
    <row r="1079">
      <c r="B1079" s="175"/>
      <c r="R1079" s="176"/>
      <c r="U1079" s="172" t="str">
        <f>IFERROR(__xludf.DUMMYFUNCTION("""COMPUTED_VALUE"""),"")</f>
        <v/>
      </c>
      <c r="V1079" s="173" t="str">
        <f>IFERROR(__xludf.DUMMYFUNCTION("""COMPUTED_VALUE"""),"Spruce Door")</f>
        <v>Spruce Door</v>
      </c>
      <c r="W1079" s="174"/>
    </row>
    <row r="1080">
      <c r="B1080" s="175"/>
      <c r="R1080" s="176"/>
      <c r="U1080" s="172" t="str">
        <f>IFERROR(__xludf.DUMMYFUNCTION("""COMPUTED_VALUE"""),"")</f>
        <v/>
      </c>
      <c r="V1080" s="173" t="str">
        <f>IFERROR(__xludf.DUMMYFUNCTION("""COMPUTED_VALUE"""),"Spruce Fence")</f>
        <v>Spruce Fence</v>
      </c>
      <c r="W1080" s="174"/>
    </row>
    <row r="1081">
      <c r="B1081" s="175"/>
      <c r="R1081" s="176"/>
      <c r="U1081" s="172" t="str">
        <f>IFERROR(__xludf.DUMMYFUNCTION("""COMPUTED_VALUE"""),"")</f>
        <v/>
      </c>
      <c r="V1081" s="173" t="str">
        <f>IFERROR(__xludf.DUMMYFUNCTION("""COMPUTED_VALUE"""),"Spruce Fence Gate")</f>
        <v>Spruce Fence Gate</v>
      </c>
      <c r="W1081" s="174"/>
    </row>
    <row r="1082">
      <c r="B1082" s="175"/>
      <c r="R1082" s="176"/>
      <c r="U1082" s="172" t="str">
        <f>IFERROR(__xludf.DUMMYFUNCTION("""COMPUTED_VALUE"""),"")</f>
        <v/>
      </c>
      <c r="V1082" s="173" t="str">
        <f>IFERROR(__xludf.DUMMYFUNCTION("""COMPUTED_VALUE"""),"Spruce Hanging Sign")</f>
        <v>Spruce Hanging Sign</v>
      </c>
      <c r="W1082" s="174"/>
    </row>
    <row r="1083">
      <c r="B1083" s="175"/>
      <c r="R1083" s="176"/>
      <c r="U1083" s="172" t="str">
        <f>IFERROR(__xludf.DUMMYFUNCTION("""COMPUTED_VALUE"""),"")</f>
        <v/>
      </c>
      <c r="V1083" s="173" t="str">
        <f>IFERROR(__xludf.DUMMYFUNCTION("""COMPUTED_VALUE"""),"Spruce Leaves")</f>
        <v>Spruce Leaves</v>
      </c>
      <c r="W1083" s="174"/>
    </row>
    <row r="1084">
      <c r="B1084" s="175"/>
      <c r="R1084" s="176"/>
      <c r="U1084" s="172" t="str">
        <f>IFERROR(__xludf.DUMMYFUNCTION("""COMPUTED_VALUE"""),"")</f>
        <v/>
      </c>
      <c r="V1084" s="173" t="str">
        <f>IFERROR(__xludf.DUMMYFUNCTION("""COMPUTED_VALUE"""),"Spruce Log")</f>
        <v>Spruce Log</v>
      </c>
      <c r="W1084" s="174"/>
    </row>
    <row r="1085">
      <c r="B1085" s="175"/>
      <c r="R1085" s="176"/>
      <c r="U1085" s="172" t="str">
        <f>IFERROR(__xludf.DUMMYFUNCTION("""COMPUTED_VALUE"""),"")</f>
        <v/>
      </c>
      <c r="V1085" s="173" t="str">
        <f>IFERROR(__xludf.DUMMYFUNCTION("""COMPUTED_VALUE"""),"Spruce Planks")</f>
        <v>Spruce Planks</v>
      </c>
      <c r="W1085" s="174"/>
    </row>
    <row r="1086">
      <c r="B1086" s="175"/>
      <c r="R1086" s="176"/>
      <c r="U1086" s="172" t="str">
        <f>IFERROR(__xludf.DUMMYFUNCTION("""COMPUTED_VALUE"""),"")</f>
        <v/>
      </c>
      <c r="V1086" s="173" t="str">
        <f>IFERROR(__xludf.DUMMYFUNCTION("""COMPUTED_VALUE"""),"Spruce Pressure Plate")</f>
        <v>Spruce Pressure Plate</v>
      </c>
      <c r="W1086" s="174"/>
    </row>
    <row r="1087">
      <c r="B1087" s="175"/>
      <c r="R1087" s="176"/>
      <c r="U1087" s="172" t="str">
        <f>IFERROR(__xludf.DUMMYFUNCTION("""COMPUTED_VALUE"""),"")</f>
        <v/>
      </c>
      <c r="V1087" s="173" t="str">
        <f>IFERROR(__xludf.DUMMYFUNCTION("""COMPUTED_VALUE"""),"Spruce Sapling")</f>
        <v>Spruce Sapling</v>
      </c>
      <c r="W1087" s="174"/>
    </row>
    <row r="1088">
      <c r="B1088" s="175"/>
      <c r="R1088" s="176"/>
      <c r="U1088" s="172" t="str">
        <f>IFERROR(__xludf.DUMMYFUNCTION("""COMPUTED_VALUE"""),"")</f>
        <v/>
      </c>
      <c r="V1088" s="173" t="str">
        <f>IFERROR(__xludf.DUMMYFUNCTION("""COMPUTED_VALUE"""),"Spruce Sign")</f>
        <v>Spruce Sign</v>
      </c>
      <c r="W1088" s="174"/>
    </row>
    <row r="1089">
      <c r="B1089" s="175"/>
      <c r="R1089" s="176"/>
      <c r="U1089" s="172" t="str">
        <f>IFERROR(__xludf.DUMMYFUNCTION("""COMPUTED_VALUE"""),"")</f>
        <v/>
      </c>
      <c r="V1089" s="173" t="str">
        <f>IFERROR(__xludf.DUMMYFUNCTION("""COMPUTED_VALUE"""),"Spruce Slab")</f>
        <v>Spruce Slab</v>
      </c>
      <c r="W1089" s="174"/>
    </row>
    <row r="1090">
      <c r="B1090" s="175"/>
      <c r="R1090" s="176"/>
      <c r="U1090" s="172" t="str">
        <f>IFERROR(__xludf.DUMMYFUNCTION("""COMPUTED_VALUE"""),"")</f>
        <v/>
      </c>
      <c r="V1090" s="173" t="str">
        <f>IFERROR(__xludf.DUMMYFUNCTION("""COMPUTED_VALUE"""),"Spruce Stairs")</f>
        <v>Spruce Stairs</v>
      </c>
      <c r="W1090" s="174"/>
    </row>
    <row r="1091">
      <c r="B1091" s="175"/>
      <c r="R1091" s="176"/>
      <c r="U1091" s="172" t="str">
        <f>IFERROR(__xludf.DUMMYFUNCTION("""COMPUTED_VALUE"""),"")</f>
        <v/>
      </c>
      <c r="V1091" s="173" t="str">
        <f>IFERROR(__xludf.DUMMYFUNCTION("""COMPUTED_VALUE"""),"Spruce Trapdoor")</f>
        <v>Spruce Trapdoor</v>
      </c>
      <c r="W1091" s="174"/>
    </row>
    <row r="1092">
      <c r="B1092" s="175"/>
      <c r="R1092" s="176"/>
      <c r="U1092" s="172" t="str">
        <f>IFERROR(__xludf.DUMMYFUNCTION("""COMPUTED_VALUE"""),"")</f>
        <v/>
      </c>
      <c r="V1092" s="173" t="str">
        <f>IFERROR(__xludf.DUMMYFUNCTION("""COMPUTED_VALUE"""),"Spruce Wood")</f>
        <v>Spruce Wood</v>
      </c>
      <c r="W1092" s="174"/>
    </row>
    <row r="1093">
      <c r="B1093" s="175"/>
      <c r="R1093" s="176"/>
      <c r="U1093" s="172" t="str">
        <f>IFERROR(__xludf.DUMMYFUNCTION("""COMPUTED_VALUE"""),"")</f>
        <v/>
      </c>
      <c r="V1093" s="173" t="str">
        <f>IFERROR(__xludf.DUMMYFUNCTION("""COMPUTED_VALUE"""),"Spyglass")</f>
        <v>Spyglass</v>
      </c>
      <c r="W1093" s="174"/>
    </row>
    <row r="1094">
      <c r="B1094" s="175"/>
      <c r="R1094" s="176"/>
      <c r="U1094" s="172" t="str">
        <f>IFERROR(__xludf.DUMMYFUNCTION("""COMPUTED_VALUE"""),"")</f>
        <v/>
      </c>
      <c r="V1094" s="173" t="str">
        <f>IFERROR(__xludf.DUMMYFUNCTION("""COMPUTED_VALUE"""),"Stick")</f>
        <v>Stick</v>
      </c>
      <c r="W1094" s="174"/>
    </row>
    <row r="1095">
      <c r="B1095" s="175"/>
      <c r="R1095" s="176"/>
      <c r="U1095" s="172" t="str">
        <f>IFERROR(__xludf.DUMMYFUNCTION("""COMPUTED_VALUE"""),"")</f>
        <v/>
      </c>
      <c r="V1095" s="173" t="str">
        <f>IFERROR(__xludf.DUMMYFUNCTION("""COMPUTED_VALUE"""),"Sticky Piston")</f>
        <v>Sticky Piston</v>
      </c>
      <c r="W1095" s="174"/>
    </row>
    <row r="1096">
      <c r="B1096" s="175"/>
      <c r="R1096" s="176"/>
      <c r="U1096" s="172" t="str">
        <f>IFERROR(__xludf.DUMMYFUNCTION("""COMPUTED_VALUE"""),"")</f>
        <v/>
      </c>
      <c r="V1096" s="173" t="str">
        <f>IFERROR(__xludf.DUMMYFUNCTION("""COMPUTED_VALUE"""),"Stone")</f>
        <v>Stone</v>
      </c>
      <c r="W1096" s="174"/>
    </row>
    <row r="1097">
      <c r="B1097" s="175"/>
      <c r="R1097" s="176"/>
      <c r="U1097" s="172" t="str">
        <f>IFERROR(__xludf.DUMMYFUNCTION("""COMPUTED_VALUE"""),"")</f>
        <v/>
      </c>
      <c r="V1097" s="173" t="str">
        <f>IFERROR(__xludf.DUMMYFUNCTION("""COMPUTED_VALUE"""),"Stone Axe")</f>
        <v>Stone Axe</v>
      </c>
      <c r="W1097" s="174"/>
    </row>
    <row r="1098">
      <c r="B1098" s="175"/>
      <c r="R1098" s="176"/>
      <c r="U1098" s="172" t="str">
        <f>IFERROR(__xludf.DUMMYFUNCTION("""COMPUTED_VALUE"""),"")</f>
        <v/>
      </c>
      <c r="V1098" s="173" t="str">
        <f>IFERROR(__xludf.DUMMYFUNCTION("""COMPUTED_VALUE"""),"Stone Brick Slab")</f>
        <v>Stone Brick Slab</v>
      </c>
      <c r="W1098" s="174"/>
    </row>
    <row r="1099">
      <c r="B1099" s="175"/>
      <c r="R1099" s="176"/>
      <c r="U1099" s="172" t="str">
        <f>IFERROR(__xludf.DUMMYFUNCTION("""COMPUTED_VALUE"""),"")</f>
        <v/>
      </c>
      <c r="V1099" s="173" t="str">
        <f>IFERROR(__xludf.DUMMYFUNCTION("""COMPUTED_VALUE"""),"Stone Brick Stairs")</f>
        <v>Stone Brick Stairs</v>
      </c>
      <c r="W1099" s="174"/>
    </row>
    <row r="1100">
      <c r="B1100" s="175"/>
      <c r="R1100" s="176"/>
      <c r="U1100" s="172" t="str">
        <f>IFERROR(__xludf.DUMMYFUNCTION("""COMPUTED_VALUE"""),"")</f>
        <v/>
      </c>
      <c r="V1100" s="173" t="str">
        <f>IFERROR(__xludf.DUMMYFUNCTION("""COMPUTED_VALUE"""),"Stone Brick Wall")</f>
        <v>Stone Brick Wall</v>
      </c>
      <c r="W1100" s="174"/>
    </row>
    <row r="1101">
      <c r="B1101" s="175"/>
      <c r="R1101" s="176"/>
      <c r="U1101" s="172" t="str">
        <f>IFERROR(__xludf.DUMMYFUNCTION("""COMPUTED_VALUE"""),"")</f>
        <v/>
      </c>
      <c r="V1101" s="173" t="str">
        <f>IFERROR(__xludf.DUMMYFUNCTION("""COMPUTED_VALUE"""),"Stone Bricks")</f>
        <v>Stone Bricks</v>
      </c>
      <c r="W1101" s="174"/>
    </row>
    <row r="1102">
      <c r="B1102" s="175"/>
      <c r="R1102" s="176"/>
      <c r="U1102" s="172" t="str">
        <f>IFERROR(__xludf.DUMMYFUNCTION("""COMPUTED_VALUE"""),"")</f>
        <v/>
      </c>
      <c r="V1102" s="173" t="str">
        <f>IFERROR(__xludf.DUMMYFUNCTION("""COMPUTED_VALUE"""),"Stone Button")</f>
        <v>Stone Button</v>
      </c>
      <c r="W1102" s="174"/>
    </row>
    <row r="1103">
      <c r="B1103" s="175"/>
      <c r="R1103" s="176"/>
      <c r="U1103" s="172" t="str">
        <f>IFERROR(__xludf.DUMMYFUNCTION("""COMPUTED_VALUE"""),"")</f>
        <v/>
      </c>
      <c r="V1103" s="173" t="str">
        <f>IFERROR(__xludf.DUMMYFUNCTION("""COMPUTED_VALUE"""),"Stone Hoe")</f>
        <v>Stone Hoe</v>
      </c>
      <c r="W1103" s="174"/>
    </row>
    <row r="1104">
      <c r="B1104" s="175"/>
      <c r="R1104" s="176"/>
      <c r="U1104" s="172" t="str">
        <f>IFERROR(__xludf.DUMMYFUNCTION("""COMPUTED_VALUE"""),"")</f>
        <v/>
      </c>
      <c r="V1104" s="173" t="str">
        <f>IFERROR(__xludf.DUMMYFUNCTION("""COMPUTED_VALUE"""),"Stone Pickaxe")</f>
        <v>Stone Pickaxe</v>
      </c>
      <c r="W1104" s="174"/>
    </row>
    <row r="1105">
      <c r="B1105" s="175"/>
      <c r="R1105" s="176"/>
      <c r="U1105" s="172" t="str">
        <f>IFERROR(__xludf.DUMMYFUNCTION("""COMPUTED_VALUE"""),"")</f>
        <v/>
      </c>
      <c r="V1105" s="173" t="str">
        <f>IFERROR(__xludf.DUMMYFUNCTION("""COMPUTED_VALUE"""),"Stone Pressure Plate")</f>
        <v>Stone Pressure Plate</v>
      </c>
      <c r="W1105" s="174"/>
    </row>
    <row r="1106">
      <c r="B1106" s="175"/>
      <c r="R1106" s="176"/>
      <c r="U1106" s="172" t="str">
        <f>IFERROR(__xludf.DUMMYFUNCTION("""COMPUTED_VALUE"""),"")</f>
        <v/>
      </c>
      <c r="V1106" s="173" t="str">
        <f>IFERROR(__xludf.DUMMYFUNCTION("""COMPUTED_VALUE"""),"Stone Shovel")</f>
        <v>Stone Shovel</v>
      </c>
      <c r="W1106" s="174"/>
    </row>
    <row r="1107">
      <c r="B1107" s="175"/>
      <c r="R1107" s="176"/>
      <c r="U1107" s="172" t="str">
        <f>IFERROR(__xludf.DUMMYFUNCTION("""COMPUTED_VALUE"""),"")</f>
        <v/>
      </c>
      <c r="V1107" s="173" t="str">
        <f>IFERROR(__xludf.DUMMYFUNCTION("""COMPUTED_VALUE"""),"Stone Slab")</f>
        <v>Stone Slab</v>
      </c>
      <c r="W1107" s="174"/>
    </row>
    <row r="1108">
      <c r="B1108" s="175"/>
      <c r="R1108" s="176"/>
      <c r="U1108" s="172" t="str">
        <f>IFERROR(__xludf.DUMMYFUNCTION("""COMPUTED_VALUE"""),"")</f>
        <v/>
      </c>
      <c r="V1108" s="173" t="str">
        <f>IFERROR(__xludf.DUMMYFUNCTION("""COMPUTED_VALUE"""),"Stone Stairs")</f>
        <v>Stone Stairs</v>
      </c>
      <c r="W1108" s="174"/>
    </row>
    <row r="1109">
      <c r="B1109" s="175"/>
      <c r="R1109" s="176"/>
      <c r="U1109" s="172" t="str">
        <f>IFERROR(__xludf.DUMMYFUNCTION("""COMPUTED_VALUE"""),"")</f>
        <v/>
      </c>
      <c r="V1109" s="173" t="str">
        <f>IFERROR(__xludf.DUMMYFUNCTION("""COMPUTED_VALUE"""),"Stone Sword")</f>
        <v>Stone Sword</v>
      </c>
      <c r="W1109" s="174"/>
    </row>
    <row r="1110">
      <c r="B1110" s="175"/>
      <c r="R1110" s="176"/>
      <c r="U1110" s="172" t="str">
        <f>IFERROR(__xludf.DUMMYFUNCTION("""COMPUTED_VALUE"""),"")</f>
        <v/>
      </c>
      <c r="V1110" s="173" t="str">
        <f>IFERROR(__xludf.DUMMYFUNCTION("""COMPUTED_VALUE"""),"Stonecutter")</f>
        <v>Stonecutter</v>
      </c>
      <c r="W1110" s="174"/>
    </row>
    <row r="1111">
      <c r="B1111" s="175"/>
      <c r="R1111" s="176"/>
      <c r="U1111" s="172" t="str">
        <f>IFERROR(__xludf.DUMMYFUNCTION("""COMPUTED_VALUE"""),"")</f>
        <v/>
      </c>
      <c r="V1111" s="173" t="str">
        <f>IFERROR(__xludf.DUMMYFUNCTION("""COMPUTED_VALUE"""),"String")</f>
        <v>String</v>
      </c>
      <c r="W1111" s="174"/>
    </row>
    <row r="1112">
      <c r="B1112" s="175"/>
      <c r="R1112" s="176"/>
      <c r="U1112" s="172" t="str">
        <f>IFERROR(__xludf.DUMMYFUNCTION("""COMPUTED_VALUE"""),"")</f>
        <v/>
      </c>
      <c r="V1112" s="173" t="str">
        <f>IFERROR(__xludf.DUMMYFUNCTION("""COMPUTED_VALUE"""),"Stripped Acacia Log")</f>
        <v>Stripped Acacia Log</v>
      </c>
      <c r="W1112" s="174"/>
    </row>
    <row r="1113">
      <c r="B1113" s="175"/>
      <c r="R1113" s="176"/>
      <c r="U1113" s="172" t="str">
        <f>IFERROR(__xludf.DUMMYFUNCTION("""COMPUTED_VALUE"""),"")</f>
        <v/>
      </c>
      <c r="V1113" s="173" t="str">
        <f>IFERROR(__xludf.DUMMYFUNCTION("""COMPUTED_VALUE"""),"Stripped Acacia Wood")</f>
        <v>Stripped Acacia Wood</v>
      </c>
      <c r="W1113" s="174"/>
    </row>
    <row r="1114">
      <c r="B1114" s="175"/>
      <c r="R1114" s="176"/>
      <c r="U1114" s="172" t="str">
        <f>IFERROR(__xludf.DUMMYFUNCTION("""COMPUTED_VALUE"""),"")</f>
        <v/>
      </c>
      <c r="V1114" s="173" t="str">
        <f>IFERROR(__xludf.DUMMYFUNCTION("""COMPUTED_VALUE"""),"Stripped Bamboo Block")</f>
        <v>Stripped Bamboo Block</v>
      </c>
      <c r="W1114" s="174"/>
    </row>
    <row r="1115">
      <c r="B1115" s="175"/>
      <c r="R1115" s="176"/>
      <c r="U1115" s="172" t="str">
        <f>IFERROR(__xludf.DUMMYFUNCTION("""COMPUTED_VALUE"""),"")</f>
        <v/>
      </c>
      <c r="V1115" s="173" t="str">
        <f>IFERROR(__xludf.DUMMYFUNCTION("""COMPUTED_VALUE"""),"Stripped Birch Log")</f>
        <v>Stripped Birch Log</v>
      </c>
      <c r="W1115" s="174"/>
    </row>
    <row r="1116">
      <c r="B1116" s="175"/>
      <c r="R1116" s="176"/>
      <c r="U1116" s="172" t="str">
        <f>IFERROR(__xludf.DUMMYFUNCTION("""COMPUTED_VALUE"""),"")</f>
        <v/>
      </c>
      <c r="V1116" s="173" t="str">
        <f>IFERROR(__xludf.DUMMYFUNCTION("""COMPUTED_VALUE"""),"Stripped Birch Wood")</f>
        <v>Stripped Birch Wood</v>
      </c>
      <c r="W1116" s="174"/>
    </row>
    <row r="1117">
      <c r="B1117" s="175"/>
      <c r="R1117" s="176"/>
      <c r="U1117" s="172" t="str">
        <f>IFERROR(__xludf.DUMMYFUNCTION("""COMPUTED_VALUE"""),"")</f>
        <v/>
      </c>
      <c r="V1117" s="173" t="str">
        <f>IFERROR(__xludf.DUMMYFUNCTION("""COMPUTED_VALUE"""),"Stripped Cherry Log")</f>
        <v>Stripped Cherry Log</v>
      </c>
      <c r="W1117" s="174"/>
    </row>
    <row r="1118">
      <c r="B1118" s="175"/>
      <c r="R1118" s="176"/>
      <c r="U1118" s="172" t="str">
        <f>IFERROR(__xludf.DUMMYFUNCTION("""COMPUTED_VALUE"""),"")</f>
        <v/>
      </c>
      <c r="V1118" s="173" t="str">
        <f>IFERROR(__xludf.DUMMYFUNCTION("""COMPUTED_VALUE"""),"Stripped Cherry Wood")</f>
        <v>Stripped Cherry Wood</v>
      </c>
      <c r="W1118" s="174"/>
    </row>
    <row r="1119">
      <c r="B1119" s="175"/>
      <c r="R1119" s="176"/>
      <c r="U1119" s="172" t="str">
        <f>IFERROR(__xludf.DUMMYFUNCTION("""COMPUTED_VALUE"""),"")</f>
        <v/>
      </c>
      <c r="V1119" s="173" t="str">
        <f>IFERROR(__xludf.DUMMYFUNCTION("""COMPUTED_VALUE"""),"Stripped Crimson Hyphae")</f>
        <v>Stripped Crimson Hyphae</v>
      </c>
      <c r="W1119" s="174"/>
    </row>
    <row r="1120">
      <c r="B1120" s="175"/>
      <c r="R1120" s="176"/>
      <c r="U1120" s="172" t="str">
        <f>IFERROR(__xludf.DUMMYFUNCTION("""COMPUTED_VALUE"""),"")</f>
        <v/>
      </c>
      <c r="V1120" s="173" t="str">
        <f>IFERROR(__xludf.DUMMYFUNCTION("""COMPUTED_VALUE"""),"Stripped Crimson Stem")</f>
        <v>Stripped Crimson Stem</v>
      </c>
      <c r="W1120" s="174"/>
    </row>
    <row r="1121">
      <c r="B1121" s="175"/>
      <c r="R1121" s="176"/>
      <c r="U1121" s="172" t="str">
        <f>IFERROR(__xludf.DUMMYFUNCTION("""COMPUTED_VALUE"""),"")</f>
        <v/>
      </c>
      <c r="V1121" s="173" t="str">
        <f>IFERROR(__xludf.DUMMYFUNCTION("""COMPUTED_VALUE"""),"Stripped Dark Oak Log")</f>
        <v>Stripped Dark Oak Log</v>
      </c>
      <c r="W1121" s="174"/>
    </row>
    <row r="1122">
      <c r="B1122" s="175"/>
      <c r="R1122" s="176"/>
      <c r="U1122" s="172" t="str">
        <f>IFERROR(__xludf.DUMMYFUNCTION("""COMPUTED_VALUE"""),"")</f>
        <v/>
      </c>
      <c r="V1122" s="173" t="str">
        <f>IFERROR(__xludf.DUMMYFUNCTION("""COMPUTED_VALUE"""),"Stripped Dark Oak Wood")</f>
        <v>Stripped Dark Oak Wood</v>
      </c>
      <c r="W1122" s="174"/>
    </row>
    <row r="1123">
      <c r="B1123" s="175"/>
      <c r="R1123" s="176"/>
      <c r="U1123" s="172" t="str">
        <f>IFERROR(__xludf.DUMMYFUNCTION("""COMPUTED_VALUE"""),"")</f>
        <v/>
      </c>
      <c r="V1123" s="173" t="str">
        <f>IFERROR(__xludf.DUMMYFUNCTION("""COMPUTED_VALUE"""),"Stripped Jungle Log")</f>
        <v>Stripped Jungle Log</v>
      </c>
      <c r="W1123" s="174"/>
    </row>
    <row r="1124">
      <c r="B1124" s="175"/>
      <c r="R1124" s="176"/>
      <c r="U1124" s="172" t="str">
        <f>IFERROR(__xludf.DUMMYFUNCTION("""COMPUTED_VALUE"""),"")</f>
        <v/>
      </c>
      <c r="V1124" s="173" t="str">
        <f>IFERROR(__xludf.DUMMYFUNCTION("""COMPUTED_VALUE"""),"Stripped Jungle Wood")</f>
        <v>Stripped Jungle Wood</v>
      </c>
      <c r="W1124" s="174"/>
    </row>
    <row r="1125">
      <c r="B1125" s="175"/>
      <c r="R1125" s="176"/>
      <c r="U1125" s="172" t="str">
        <f>IFERROR(__xludf.DUMMYFUNCTION("""COMPUTED_VALUE"""),"")</f>
        <v/>
      </c>
      <c r="V1125" s="173" t="str">
        <f>IFERROR(__xludf.DUMMYFUNCTION("""COMPUTED_VALUE"""),"Stripped Mangrove Log")</f>
        <v>Stripped Mangrove Log</v>
      </c>
      <c r="W1125" s="174"/>
    </row>
    <row r="1126">
      <c r="B1126" s="175"/>
      <c r="R1126" s="176"/>
      <c r="U1126" s="172" t="str">
        <f>IFERROR(__xludf.DUMMYFUNCTION("""COMPUTED_VALUE"""),"")</f>
        <v/>
      </c>
      <c r="V1126" s="173" t="str">
        <f>IFERROR(__xludf.DUMMYFUNCTION("""COMPUTED_VALUE"""),"Stripped Mangrove Wood")</f>
        <v>Stripped Mangrove Wood</v>
      </c>
      <c r="W1126" s="174"/>
    </row>
    <row r="1127">
      <c r="B1127" s="175"/>
      <c r="R1127" s="176"/>
      <c r="U1127" s="172" t="str">
        <f>IFERROR(__xludf.DUMMYFUNCTION("""COMPUTED_VALUE"""),"")</f>
        <v/>
      </c>
      <c r="V1127" s="173" t="str">
        <f>IFERROR(__xludf.DUMMYFUNCTION("""COMPUTED_VALUE"""),"Stripped Oak Log")</f>
        <v>Stripped Oak Log</v>
      </c>
      <c r="W1127" s="174"/>
    </row>
    <row r="1128">
      <c r="B1128" s="175"/>
      <c r="R1128" s="176"/>
      <c r="U1128" s="172" t="str">
        <f>IFERROR(__xludf.DUMMYFUNCTION("""COMPUTED_VALUE"""),"")</f>
        <v/>
      </c>
      <c r="V1128" s="173" t="str">
        <f>IFERROR(__xludf.DUMMYFUNCTION("""COMPUTED_VALUE"""),"Stripped Oak Wood")</f>
        <v>Stripped Oak Wood</v>
      </c>
      <c r="W1128" s="174"/>
    </row>
    <row r="1129">
      <c r="B1129" s="175"/>
      <c r="R1129" s="176"/>
      <c r="U1129" s="172" t="str">
        <f>IFERROR(__xludf.DUMMYFUNCTION("""COMPUTED_VALUE"""),"")</f>
        <v/>
      </c>
      <c r="V1129" s="173" t="str">
        <f>IFERROR(__xludf.DUMMYFUNCTION("""COMPUTED_VALUE"""),"Stripped Spruce Log")</f>
        <v>Stripped Spruce Log</v>
      </c>
      <c r="W1129" s="174"/>
    </row>
    <row r="1130">
      <c r="B1130" s="175"/>
      <c r="R1130" s="176"/>
      <c r="U1130" s="172" t="str">
        <f>IFERROR(__xludf.DUMMYFUNCTION("""COMPUTED_VALUE"""),"")</f>
        <v/>
      </c>
      <c r="V1130" s="173" t="str">
        <f>IFERROR(__xludf.DUMMYFUNCTION("""COMPUTED_VALUE"""),"Stripped Spruce Wood")</f>
        <v>Stripped Spruce Wood</v>
      </c>
      <c r="W1130" s="174"/>
    </row>
    <row r="1131">
      <c r="B1131" s="175"/>
      <c r="R1131" s="176"/>
      <c r="U1131" s="172" t="str">
        <f>IFERROR(__xludf.DUMMYFUNCTION("""COMPUTED_VALUE"""),"")</f>
        <v/>
      </c>
      <c r="V1131" s="173" t="str">
        <f>IFERROR(__xludf.DUMMYFUNCTION("""COMPUTED_VALUE"""),"Stripped Warped Hyphae")</f>
        <v>Stripped Warped Hyphae</v>
      </c>
      <c r="W1131" s="174"/>
    </row>
    <row r="1132">
      <c r="B1132" s="175"/>
      <c r="R1132" s="176"/>
      <c r="U1132" s="172" t="str">
        <f>IFERROR(__xludf.DUMMYFUNCTION("""COMPUTED_VALUE"""),"")</f>
        <v/>
      </c>
      <c r="V1132" s="173" t="str">
        <f>IFERROR(__xludf.DUMMYFUNCTION("""COMPUTED_VALUE"""),"Stripped Warped Stem")</f>
        <v>Stripped Warped Stem</v>
      </c>
      <c r="W1132" s="174"/>
    </row>
    <row r="1133">
      <c r="B1133" s="175"/>
      <c r="R1133" s="176"/>
      <c r="U1133" s="172" t="str">
        <f>IFERROR(__xludf.DUMMYFUNCTION("""COMPUTED_VALUE"""),"")</f>
        <v/>
      </c>
      <c r="V1133" s="173" t="str">
        <f>IFERROR(__xludf.DUMMYFUNCTION("""COMPUTED_VALUE"""),"Sugar")</f>
        <v>Sugar</v>
      </c>
      <c r="W1133" s="174"/>
    </row>
    <row r="1134">
      <c r="B1134" s="175"/>
      <c r="R1134" s="176"/>
      <c r="U1134" s="172" t="str">
        <f>IFERROR(__xludf.DUMMYFUNCTION("""COMPUTED_VALUE"""),"")</f>
        <v/>
      </c>
      <c r="V1134" s="173" t="str">
        <f>IFERROR(__xludf.DUMMYFUNCTION("""COMPUTED_VALUE"""),"Sugar Cane")</f>
        <v>Sugar Cane</v>
      </c>
      <c r="W1134" s="174"/>
    </row>
    <row r="1135">
      <c r="B1135" s="175"/>
      <c r="R1135" s="176"/>
      <c r="U1135" s="172" t="str">
        <f>IFERROR(__xludf.DUMMYFUNCTION("""COMPUTED_VALUE"""),"")</f>
        <v/>
      </c>
      <c r="V1135" s="173" t="str">
        <f>IFERROR(__xludf.DUMMYFUNCTION("""COMPUTED_VALUE"""),"Sunflower")</f>
        <v>Sunflower</v>
      </c>
      <c r="W1135" s="174"/>
    </row>
    <row r="1136">
      <c r="B1136" s="175"/>
      <c r="R1136" s="176"/>
      <c r="U1136" s="172" t="str">
        <f>IFERROR(__xludf.DUMMYFUNCTION("""COMPUTED_VALUE"""),"")</f>
        <v/>
      </c>
      <c r="V1136" s="173" t="str">
        <f>IFERROR(__xludf.DUMMYFUNCTION("""COMPUTED_VALUE"""),"Suspicious Gravel")</f>
        <v>Suspicious Gravel</v>
      </c>
      <c r="W1136" s="174"/>
    </row>
    <row r="1137">
      <c r="B1137" s="175"/>
      <c r="R1137" s="176"/>
      <c r="U1137" s="172" t="str">
        <f>IFERROR(__xludf.DUMMYFUNCTION("""COMPUTED_VALUE"""),"")</f>
        <v/>
      </c>
      <c r="V1137" s="173" t="str">
        <f>IFERROR(__xludf.DUMMYFUNCTION("""COMPUTED_VALUE"""),"Suspicious Sand")</f>
        <v>Suspicious Sand</v>
      </c>
      <c r="W1137" s="174"/>
    </row>
    <row r="1138">
      <c r="B1138" s="175"/>
      <c r="R1138" s="176"/>
      <c r="U1138" s="172" t="str">
        <f>IFERROR(__xludf.DUMMYFUNCTION("""COMPUTED_VALUE"""),"")</f>
        <v/>
      </c>
      <c r="V1138" s="173" t="str">
        <f>IFERROR(__xludf.DUMMYFUNCTION("""COMPUTED_VALUE"""),"Suspicious Stew")</f>
        <v>Suspicious Stew</v>
      </c>
      <c r="W1138" s="174"/>
    </row>
    <row r="1139">
      <c r="B1139" s="175"/>
      <c r="R1139" s="176"/>
      <c r="U1139" s="172" t="str">
        <f>IFERROR(__xludf.DUMMYFUNCTION("""COMPUTED_VALUE"""),"")</f>
        <v/>
      </c>
      <c r="V1139" s="173" t="str">
        <f>IFERROR(__xludf.DUMMYFUNCTION("""COMPUTED_VALUE"""),"Sweet Berries")</f>
        <v>Sweet Berries</v>
      </c>
      <c r="W1139" s="174"/>
    </row>
    <row r="1140">
      <c r="B1140" s="175"/>
      <c r="R1140" s="176"/>
      <c r="U1140" s="172" t="str">
        <f>IFERROR(__xludf.DUMMYFUNCTION("""COMPUTED_VALUE"""),"")</f>
        <v/>
      </c>
      <c r="V1140" s="173" t="str">
        <f>IFERROR(__xludf.DUMMYFUNCTION("""COMPUTED_VALUE"""),"Tadpole Bucket")</f>
        <v>Tadpole Bucket</v>
      </c>
      <c r="W1140" s="174"/>
    </row>
    <row r="1141">
      <c r="B1141" s="175"/>
      <c r="R1141" s="176"/>
      <c r="U1141" s="172" t="str">
        <f>IFERROR(__xludf.DUMMYFUNCTION("""COMPUTED_VALUE"""),"")</f>
        <v/>
      </c>
      <c r="V1141" s="173" t="str">
        <f>IFERROR(__xludf.DUMMYFUNCTION("""COMPUTED_VALUE"""),"Tall Grass")</f>
        <v>Tall Grass</v>
      </c>
      <c r="W1141" s="174"/>
    </row>
    <row r="1142">
      <c r="B1142" s="175"/>
      <c r="R1142" s="176"/>
      <c r="U1142" s="172" t="str">
        <f>IFERROR(__xludf.DUMMYFUNCTION("""COMPUTED_VALUE"""),"")</f>
        <v/>
      </c>
      <c r="V1142" s="173" t="str">
        <f>IFERROR(__xludf.DUMMYFUNCTION("""COMPUTED_VALUE"""),"Target")</f>
        <v>Target</v>
      </c>
      <c r="W1142" s="174"/>
    </row>
    <row r="1143">
      <c r="B1143" s="175"/>
      <c r="R1143" s="176"/>
      <c r="U1143" s="172" t="str">
        <f>IFERROR(__xludf.DUMMYFUNCTION("""COMPUTED_VALUE"""),"")</f>
        <v/>
      </c>
      <c r="V1143" s="173" t="str">
        <f>IFERROR(__xludf.DUMMYFUNCTION("""COMPUTED_VALUE"""),"Terracotta")</f>
        <v>Terracotta</v>
      </c>
      <c r="W1143" s="174"/>
    </row>
    <row r="1144">
      <c r="B1144" s="175"/>
      <c r="R1144" s="176"/>
      <c r="U1144" s="172" t="str">
        <f>IFERROR(__xludf.DUMMYFUNCTION("""COMPUTED_VALUE"""),"")</f>
        <v/>
      </c>
      <c r="V1144" s="173" t="str">
        <f>IFERROR(__xludf.DUMMYFUNCTION("""COMPUTED_VALUE"""),"Tide Armor Trim")</f>
        <v>Tide Armor Trim</v>
      </c>
      <c r="W1144" s="174"/>
    </row>
    <row r="1145">
      <c r="B1145" s="175"/>
      <c r="R1145" s="176"/>
      <c r="U1145" s="172" t="str">
        <f>IFERROR(__xludf.DUMMYFUNCTION("""COMPUTED_VALUE"""),"")</f>
        <v/>
      </c>
      <c r="V1145" s="173" t="str">
        <f>IFERROR(__xludf.DUMMYFUNCTION("""COMPUTED_VALUE"""),"Tinted Glass")</f>
        <v>Tinted Glass</v>
      </c>
      <c r="W1145" s="174"/>
    </row>
    <row r="1146">
      <c r="B1146" s="175"/>
      <c r="R1146" s="176"/>
      <c r="U1146" s="172" t="str">
        <f>IFERROR(__xludf.DUMMYFUNCTION("""COMPUTED_VALUE"""),"")</f>
        <v/>
      </c>
      <c r="V1146" s="173" t="str">
        <f>IFERROR(__xludf.DUMMYFUNCTION("""COMPUTED_VALUE"""),"Tipped Arrow")</f>
        <v>Tipped Arrow</v>
      </c>
      <c r="W1146" s="174"/>
    </row>
    <row r="1147">
      <c r="B1147" s="175"/>
      <c r="R1147" s="176"/>
      <c r="U1147" s="172" t="str">
        <f>IFERROR(__xludf.DUMMYFUNCTION("""COMPUTED_VALUE"""),"")</f>
        <v/>
      </c>
      <c r="V1147" s="173" t="str">
        <f>IFERROR(__xludf.DUMMYFUNCTION("""COMPUTED_VALUE"""),"Tnt")</f>
        <v>Tnt</v>
      </c>
      <c r="W1147" s="174"/>
    </row>
    <row r="1148">
      <c r="B1148" s="175"/>
      <c r="R1148" s="176"/>
      <c r="U1148" s="172" t="str">
        <f>IFERROR(__xludf.DUMMYFUNCTION("""COMPUTED_VALUE"""),"")</f>
        <v/>
      </c>
      <c r="V1148" s="173" t="str">
        <f>IFERROR(__xludf.DUMMYFUNCTION("""COMPUTED_VALUE"""),"Tnt Minecart")</f>
        <v>Tnt Minecart</v>
      </c>
      <c r="W1148" s="174"/>
    </row>
    <row r="1149">
      <c r="B1149" s="175"/>
      <c r="R1149" s="176"/>
      <c r="U1149" s="172" t="str">
        <f>IFERROR(__xludf.DUMMYFUNCTION("""COMPUTED_VALUE"""),"")</f>
        <v/>
      </c>
      <c r="V1149" s="173" t="str">
        <f>IFERROR(__xludf.DUMMYFUNCTION("""COMPUTED_VALUE"""),"Torch")</f>
        <v>Torch</v>
      </c>
      <c r="W1149" s="174"/>
    </row>
    <row r="1150">
      <c r="B1150" s="175"/>
      <c r="R1150" s="176"/>
      <c r="U1150" s="172" t="str">
        <f>IFERROR(__xludf.DUMMYFUNCTION("""COMPUTED_VALUE"""),"")</f>
        <v/>
      </c>
      <c r="V1150" s="173" t="str">
        <f>IFERROR(__xludf.DUMMYFUNCTION("""COMPUTED_VALUE"""),"Torchflower")</f>
        <v>Torchflower</v>
      </c>
      <c r="W1150" s="174"/>
    </row>
    <row r="1151">
      <c r="B1151" s="175"/>
      <c r="R1151" s="176"/>
      <c r="U1151" s="172" t="str">
        <f>IFERROR(__xludf.DUMMYFUNCTION("""COMPUTED_VALUE"""),"")</f>
        <v/>
      </c>
      <c r="V1151" s="173" t="str">
        <f>IFERROR(__xludf.DUMMYFUNCTION("""COMPUTED_VALUE"""),"Torchflower Seeds")</f>
        <v>Torchflower Seeds</v>
      </c>
      <c r="W1151" s="174"/>
    </row>
    <row r="1152">
      <c r="B1152" s="175"/>
      <c r="R1152" s="176"/>
      <c r="U1152" s="172" t="str">
        <f>IFERROR(__xludf.DUMMYFUNCTION("""COMPUTED_VALUE"""),"")</f>
        <v/>
      </c>
      <c r="V1152" s="173" t="str">
        <f>IFERROR(__xludf.DUMMYFUNCTION("""COMPUTED_VALUE"""),"Totem Of Undying")</f>
        <v>Totem Of Undying</v>
      </c>
      <c r="W1152" s="174"/>
    </row>
    <row r="1153">
      <c r="B1153" s="175"/>
      <c r="R1153" s="176"/>
      <c r="U1153" s="172" t="str">
        <f>IFERROR(__xludf.DUMMYFUNCTION("""COMPUTED_VALUE"""),"")</f>
        <v/>
      </c>
      <c r="V1153" s="173" t="str">
        <f>IFERROR(__xludf.DUMMYFUNCTION("""COMPUTED_VALUE"""),"Trapped Chest")</f>
        <v>Trapped Chest</v>
      </c>
      <c r="W1153" s="174"/>
    </row>
    <row r="1154">
      <c r="B1154" s="175"/>
      <c r="R1154" s="176"/>
      <c r="U1154" s="172" t="str">
        <f>IFERROR(__xludf.DUMMYFUNCTION("""COMPUTED_VALUE"""),"")</f>
        <v/>
      </c>
      <c r="V1154" s="173" t="str">
        <f>IFERROR(__xludf.DUMMYFUNCTION("""COMPUTED_VALUE"""),"Trial Key")</f>
        <v>Trial Key</v>
      </c>
      <c r="W1154" s="174"/>
    </row>
    <row r="1155">
      <c r="B1155" s="175"/>
      <c r="R1155" s="176"/>
      <c r="U1155" s="172" t="str">
        <f>IFERROR(__xludf.DUMMYFUNCTION("""COMPUTED_VALUE"""),"")</f>
        <v/>
      </c>
      <c r="V1155" s="173" t="str">
        <f>IFERROR(__xludf.DUMMYFUNCTION("""COMPUTED_VALUE"""),"Trident")</f>
        <v>Trident</v>
      </c>
      <c r="W1155" s="174"/>
    </row>
    <row r="1156">
      <c r="B1156" s="175"/>
      <c r="R1156" s="176"/>
      <c r="U1156" s="172" t="str">
        <f>IFERROR(__xludf.DUMMYFUNCTION("""COMPUTED_VALUE"""),"")</f>
        <v/>
      </c>
      <c r="V1156" s="173" t="str">
        <f>IFERROR(__xludf.DUMMYFUNCTION("""COMPUTED_VALUE"""),"Tripwire Hook")</f>
        <v>Tripwire Hook</v>
      </c>
      <c r="W1156" s="174"/>
    </row>
    <row r="1157">
      <c r="B1157" s="175"/>
      <c r="R1157" s="176"/>
      <c r="U1157" s="172" t="str">
        <f>IFERROR(__xludf.DUMMYFUNCTION("""COMPUTED_VALUE"""),"")</f>
        <v/>
      </c>
      <c r="V1157" s="173" t="str">
        <f>IFERROR(__xludf.DUMMYFUNCTION("""COMPUTED_VALUE"""),"Tropical Fish")</f>
        <v>Tropical Fish</v>
      </c>
      <c r="W1157" s="174"/>
    </row>
    <row r="1158">
      <c r="B1158" s="175"/>
      <c r="R1158" s="176"/>
      <c r="U1158" s="172" t="str">
        <f>IFERROR(__xludf.DUMMYFUNCTION("""COMPUTED_VALUE"""),"")</f>
        <v/>
      </c>
      <c r="V1158" s="173" t="str">
        <f>IFERROR(__xludf.DUMMYFUNCTION("""COMPUTED_VALUE"""),"Tropical Fish Bucket")</f>
        <v>Tropical Fish Bucket</v>
      </c>
      <c r="W1158" s="174"/>
    </row>
    <row r="1159">
      <c r="B1159" s="175"/>
      <c r="R1159" s="176"/>
      <c r="U1159" s="172" t="str">
        <f>IFERROR(__xludf.DUMMYFUNCTION("""COMPUTED_VALUE"""),"")</f>
        <v/>
      </c>
      <c r="V1159" s="173" t="str">
        <f>IFERROR(__xludf.DUMMYFUNCTION("""COMPUTED_VALUE"""),"Tube Coral")</f>
        <v>Tube Coral</v>
      </c>
      <c r="W1159" s="174"/>
    </row>
    <row r="1160">
      <c r="B1160" s="175"/>
      <c r="R1160" s="176"/>
      <c r="U1160" s="172" t="str">
        <f>IFERROR(__xludf.DUMMYFUNCTION("""COMPUTED_VALUE"""),"")</f>
        <v/>
      </c>
      <c r="V1160" s="173" t="str">
        <f>IFERROR(__xludf.DUMMYFUNCTION("""COMPUTED_VALUE"""),"Tube Coral Block")</f>
        <v>Tube Coral Block</v>
      </c>
      <c r="W1160" s="174"/>
    </row>
    <row r="1161">
      <c r="B1161" s="175"/>
      <c r="R1161" s="176"/>
      <c r="U1161" s="172" t="str">
        <f>IFERROR(__xludf.DUMMYFUNCTION("""COMPUTED_VALUE"""),"")</f>
        <v/>
      </c>
      <c r="V1161" s="173" t="str">
        <f>IFERROR(__xludf.DUMMYFUNCTION("""COMPUTED_VALUE"""),"Tube Coral Fan")</f>
        <v>Tube Coral Fan</v>
      </c>
      <c r="W1161" s="174"/>
    </row>
    <row r="1162">
      <c r="B1162" s="175"/>
      <c r="R1162" s="176"/>
      <c r="U1162" s="172" t="str">
        <f>IFERROR(__xludf.DUMMYFUNCTION("""COMPUTED_VALUE"""),"")</f>
        <v/>
      </c>
      <c r="V1162" s="173" t="str">
        <f>IFERROR(__xludf.DUMMYFUNCTION("""COMPUTED_VALUE"""),"Tuff")</f>
        <v>Tuff</v>
      </c>
      <c r="W1162" s="174"/>
    </row>
    <row r="1163">
      <c r="B1163" s="175"/>
      <c r="R1163" s="176"/>
      <c r="U1163" s="172" t="str">
        <f>IFERROR(__xludf.DUMMYFUNCTION("""COMPUTED_VALUE"""),"")</f>
        <v/>
      </c>
      <c r="V1163" s="173" t="str">
        <f>IFERROR(__xludf.DUMMYFUNCTION("""COMPUTED_VALUE"""),"Tuff Brick Slab")</f>
        <v>Tuff Brick Slab</v>
      </c>
      <c r="W1163" s="174"/>
    </row>
    <row r="1164">
      <c r="B1164" s="175"/>
      <c r="R1164" s="176"/>
      <c r="U1164" s="172" t="str">
        <f>IFERROR(__xludf.DUMMYFUNCTION("""COMPUTED_VALUE"""),"")</f>
        <v/>
      </c>
      <c r="V1164" s="173" t="str">
        <f>IFERROR(__xludf.DUMMYFUNCTION("""COMPUTED_VALUE"""),"Tuff Brick Stairs")</f>
        <v>Tuff Brick Stairs</v>
      </c>
      <c r="W1164" s="174"/>
    </row>
    <row r="1165">
      <c r="B1165" s="175"/>
      <c r="R1165" s="176"/>
      <c r="U1165" s="172" t="str">
        <f>IFERROR(__xludf.DUMMYFUNCTION("""COMPUTED_VALUE"""),"")</f>
        <v/>
      </c>
      <c r="V1165" s="173" t="str">
        <f>IFERROR(__xludf.DUMMYFUNCTION("""COMPUTED_VALUE"""),"Tuff Brick Wall")</f>
        <v>Tuff Brick Wall</v>
      </c>
      <c r="W1165" s="174"/>
    </row>
    <row r="1166">
      <c r="B1166" s="175"/>
      <c r="R1166" s="176"/>
      <c r="U1166" s="172" t="str">
        <f>IFERROR(__xludf.DUMMYFUNCTION("""COMPUTED_VALUE"""),"")</f>
        <v/>
      </c>
      <c r="V1166" s="173" t="str">
        <f>IFERROR(__xludf.DUMMYFUNCTION("""COMPUTED_VALUE"""),"Tuff Bricks")</f>
        <v>Tuff Bricks</v>
      </c>
      <c r="W1166" s="174"/>
    </row>
    <row r="1167">
      <c r="B1167" s="175"/>
      <c r="R1167" s="176"/>
      <c r="U1167" s="172" t="str">
        <f>IFERROR(__xludf.DUMMYFUNCTION("""COMPUTED_VALUE"""),"")</f>
        <v/>
      </c>
      <c r="V1167" s="173" t="str">
        <f>IFERROR(__xludf.DUMMYFUNCTION("""COMPUTED_VALUE"""),"Tuff Slab")</f>
        <v>Tuff Slab</v>
      </c>
      <c r="W1167" s="174"/>
    </row>
    <row r="1168">
      <c r="B1168" s="175"/>
      <c r="R1168" s="176"/>
      <c r="U1168" s="172" t="str">
        <f>IFERROR(__xludf.DUMMYFUNCTION("""COMPUTED_VALUE"""),"")</f>
        <v/>
      </c>
      <c r="V1168" s="173" t="str">
        <f>IFERROR(__xludf.DUMMYFUNCTION("""COMPUTED_VALUE"""),"Tuff Stairs")</f>
        <v>Tuff Stairs</v>
      </c>
      <c r="W1168" s="174"/>
    </row>
    <row r="1169">
      <c r="B1169" s="175"/>
      <c r="R1169" s="176"/>
      <c r="U1169" s="172" t="str">
        <f>IFERROR(__xludf.DUMMYFUNCTION("""COMPUTED_VALUE"""),"")</f>
        <v/>
      </c>
      <c r="V1169" s="173" t="str">
        <f>IFERROR(__xludf.DUMMYFUNCTION("""COMPUTED_VALUE"""),"Tuff Wall")</f>
        <v>Tuff Wall</v>
      </c>
      <c r="W1169" s="174"/>
    </row>
    <row r="1170">
      <c r="B1170" s="175"/>
      <c r="R1170" s="176"/>
      <c r="U1170" s="172" t="str">
        <f>IFERROR(__xludf.DUMMYFUNCTION("""COMPUTED_VALUE"""),"")</f>
        <v/>
      </c>
      <c r="V1170" s="173" t="str">
        <f>IFERROR(__xludf.DUMMYFUNCTION("""COMPUTED_VALUE"""),"Turtle Egg")</f>
        <v>Turtle Egg</v>
      </c>
      <c r="W1170" s="174"/>
    </row>
    <row r="1171">
      <c r="B1171" s="175"/>
      <c r="R1171" s="176"/>
      <c r="U1171" s="172" t="str">
        <f>IFERROR(__xludf.DUMMYFUNCTION("""COMPUTED_VALUE"""),"")</f>
        <v/>
      </c>
      <c r="V1171" s="173" t="str">
        <f>IFERROR(__xludf.DUMMYFUNCTION("""COMPUTED_VALUE"""),"Turtle Helmet")</f>
        <v>Turtle Helmet</v>
      </c>
      <c r="W1171" s="174"/>
    </row>
    <row r="1172">
      <c r="B1172" s="175"/>
      <c r="R1172" s="176"/>
      <c r="U1172" s="172" t="str">
        <f>IFERROR(__xludf.DUMMYFUNCTION("""COMPUTED_VALUE"""),"")</f>
        <v/>
      </c>
      <c r="V1172" s="173" t="str">
        <f>IFERROR(__xludf.DUMMYFUNCTION("""COMPUTED_VALUE"""),"Twisting Vines")</f>
        <v>Twisting Vines</v>
      </c>
      <c r="W1172" s="174"/>
    </row>
    <row r="1173">
      <c r="B1173" s="175"/>
      <c r="R1173" s="176"/>
      <c r="U1173" s="172" t="str">
        <f>IFERROR(__xludf.DUMMYFUNCTION("""COMPUTED_VALUE"""),"")</f>
        <v/>
      </c>
      <c r="V1173" s="173" t="str">
        <f>IFERROR(__xludf.DUMMYFUNCTION("""COMPUTED_VALUE"""),"Verdant Froglight")</f>
        <v>Verdant Froglight</v>
      </c>
      <c r="W1173" s="174"/>
    </row>
    <row r="1174">
      <c r="B1174" s="175"/>
      <c r="R1174" s="176"/>
      <c r="U1174" s="172" t="str">
        <f>IFERROR(__xludf.DUMMYFUNCTION("""COMPUTED_VALUE"""),"")</f>
        <v/>
      </c>
      <c r="V1174" s="173" t="str">
        <f>IFERROR(__xludf.DUMMYFUNCTION("""COMPUTED_VALUE"""),"Vex Armor Trim")</f>
        <v>Vex Armor Trim</v>
      </c>
      <c r="W1174" s="174"/>
    </row>
    <row r="1175">
      <c r="B1175" s="175"/>
      <c r="R1175" s="176"/>
      <c r="U1175" s="172" t="str">
        <f>IFERROR(__xludf.DUMMYFUNCTION("""COMPUTED_VALUE"""),"")</f>
        <v/>
      </c>
      <c r="V1175" s="173" t="str">
        <f>IFERROR(__xludf.DUMMYFUNCTION("""COMPUTED_VALUE"""),"Vine")</f>
        <v>Vine</v>
      </c>
      <c r="W1175" s="174"/>
    </row>
    <row r="1176">
      <c r="B1176" s="175"/>
      <c r="R1176" s="176"/>
      <c r="U1176" s="172" t="str">
        <f>IFERROR(__xludf.DUMMYFUNCTION("""COMPUTED_VALUE"""),"")</f>
        <v/>
      </c>
      <c r="V1176" s="173" t="str">
        <f>IFERROR(__xludf.DUMMYFUNCTION("""COMPUTED_VALUE"""),"Ward Armor Trim")</f>
        <v>Ward Armor Trim</v>
      </c>
      <c r="W1176" s="174"/>
    </row>
    <row r="1177">
      <c r="B1177" s="175"/>
      <c r="R1177" s="176"/>
      <c r="U1177" s="172" t="str">
        <f>IFERROR(__xludf.DUMMYFUNCTION("""COMPUTED_VALUE"""),"")</f>
        <v/>
      </c>
      <c r="V1177" s="173" t="str">
        <f>IFERROR(__xludf.DUMMYFUNCTION("""COMPUTED_VALUE"""),"Warped Button")</f>
        <v>Warped Button</v>
      </c>
      <c r="W1177" s="174"/>
    </row>
    <row r="1178">
      <c r="B1178" s="175"/>
      <c r="R1178" s="176"/>
      <c r="U1178" s="172" t="str">
        <f>IFERROR(__xludf.DUMMYFUNCTION("""COMPUTED_VALUE"""),"")</f>
        <v/>
      </c>
      <c r="V1178" s="173" t="str">
        <f>IFERROR(__xludf.DUMMYFUNCTION("""COMPUTED_VALUE"""),"Warped Door")</f>
        <v>Warped Door</v>
      </c>
      <c r="W1178" s="174"/>
    </row>
    <row r="1179">
      <c r="B1179" s="175"/>
      <c r="R1179" s="176"/>
      <c r="U1179" s="172" t="str">
        <f>IFERROR(__xludf.DUMMYFUNCTION("""COMPUTED_VALUE"""),"")</f>
        <v/>
      </c>
      <c r="V1179" s="173" t="str">
        <f>IFERROR(__xludf.DUMMYFUNCTION("""COMPUTED_VALUE"""),"Warped Fence")</f>
        <v>Warped Fence</v>
      </c>
      <c r="W1179" s="174"/>
    </row>
    <row r="1180">
      <c r="B1180" s="175"/>
      <c r="R1180" s="176"/>
      <c r="U1180" s="172" t="str">
        <f>IFERROR(__xludf.DUMMYFUNCTION("""COMPUTED_VALUE"""),"")</f>
        <v/>
      </c>
      <c r="V1180" s="173" t="str">
        <f>IFERROR(__xludf.DUMMYFUNCTION("""COMPUTED_VALUE"""),"Warped Fence Gate")</f>
        <v>Warped Fence Gate</v>
      </c>
      <c r="W1180" s="174"/>
    </row>
    <row r="1181">
      <c r="B1181" s="175"/>
      <c r="R1181" s="176"/>
      <c r="U1181" s="172" t="str">
        <f>IFERROR(__xludf.DUMMYFUNCTION("""COMPUTED_VALUE"""),"")</f>
        <v/>
      </c>
      <c r="V1181" s="173" t="str">
        <f>IFERROR(__xludf.DUMMYFUNCTION("""COMPUTED_VALUE"""),"Warped Fungus")</f>
        <v>Warped Fungus</v>
      </c>
      <c r="W1181" s="174"/>
    </row>
    <row r="1182">
      <c r="B1182" s="175"/>
      <c r="R1182" s="176"/>
      <c r="U1182" s="172" t="str">
        <f>IFERROR(__xludf.DUMMYFUNCTION("""COMPUTED_VALUE"""),"")</f>
        <v/>
      </c>
      <c r="V1182" s="173" t="str">
        <f>IFERROR(__xludf.DUMMYFUNCTION("""COMPUTED_VALUE"""),"Warped Fungus On A Stick")</f>
        <v>Warped Fungus On A Stick</v>
      </c>
      <c r="W1182" s="174"/>
    </row>
    <row r="1183">
      <c r="B1183" s="175"/>
      <c r="R1183" s="176"/>
      <c r="U1183" s="172" t="str">
        <f>IFERROR(__xludf.DUMMYFUNCTION("""COMPUTED_VALUE"""),"")</f>
        <v/>
      </c>
      <c r="V1183" s="173" t="str">
        <f>IFERROR(__xludf.DUMMYFUNCTION("""COMPUTED_VALUE"""),"Warped Hanging Sign")</f>
        <v>Warped Hanging Sign</v>
      </c>
      <c r="W1183" s="174"/>
    </row>
    <row r="1184">
      <c r="B1184" s="175"/>
      <c r="R1184" s="176"/>
      <c r="U1184" s="172" t="str">
        <f>IFERROR(__xludf.DUMMYFUNCTION("""COMPUTED_VALUE"""),"")</f>
        <v/>
      </c>
      <c r="V1184" s="173" t="str">
        <f>IFERROR(__xludf.DUMMYFUNCTION("""COMPUTED_VALUE"""),"Warped Hyphae")</f>
        <v>Warped Hyphae</v>
      </c>
      <c r="W1184" s="174"/>
    </row>
    <row r="1185">
      <c r="B1185" s="175"/>
      <c r="R1185" s="176"/>
      <c r="U1185" s="172" t="str">
        <f>IFERROR(__xludf.DUMMYFUNCTION("""COMPUTED_VALUE"""),"")</f>
        <v/>
      </c>
      <c r="V1185" s="173" t="str">
        <f>IFERROR(__xludf.DUMMYFUNCTION("""COMPUTED_VALUE"""),"Warped Nylium")</f>
        <v>Warped Nylium</v>
      </c>
      <c r="W1185" s="174"/>
    </row>
    <row r="1186">
      <c r="B1186" s="175"/>
      <c r="R1186" s="176"/>
      <c r="U1186" s="172" t="str">
        <f>IFERROR(__xludf.DUMMYFUNCTION("""COMPUTED_VALUE"""),"")</f>
        <v/>
      </c>
      <c r="V1186" s="173" t="str">
        <f>IFERROR(__xludf.DUMMYFUNCTION("""COMPUTED_VALUE"""),"Warped Planks")</f>
        <v>Warped Planks</v>
      </c>
      <c r="W1186" s="174"/>
    </row>
    <row r="1187">
      <c r="B1187" s="175"/>
      <c r="R1187" s="176"/>
      <c r="U1187" s="172" t="str">
        <f>IFERROR(__xludf.DUMMYFUNCTION("""COMPUTED_VALUE"""),"")</f>
        <v/>
      </c>
      <c r="V1187" s="173" t="str">
        <f>IFERROR(__xludf.DUMMYFUNCTION("""COMPUTED_VALUE"""),"Warped Pressure Plate")</f>
        <v>Warped Pressure Plate</v>
      </c>
      <c r="W1187" s="174"/>
    </row>
    <row r="1188">
      <c r="B1188" s="175"/>
      <c r="R1188" s="176"/>
      <c r="U1188" s="172" t="str">
        <f>IFERROR(__xludf.DUMMYFUNCTION("""COMPUTED_VALUE"""),"")</f>
        <v/>
      </c>
      <c r="V1188" s="173" t="str">
        <f>IFERROR(__xludf.DUMMYFUNCTION("""COMPUTED_VALUE"""),"Warped Roots")</f>
        <v>Warped Roots</v>
      </c>
      <c r="W1188" s="174"/>
    </row>
    <row r="1189">
      <c r="B1189" s="175"/>
      <c r="R1189" s="176"/>
      <c r="U1189" s="172" t="str">
        <f>IFERROR(__xludf.DUMMYFUNCTION("""COMPUTED_VALUE"""),"")</f>
        <v/>
      </c>
      <c r="V1189" s="173" t="str">
        <f>IFERROR(__xludf.DUMMYFUNCTION("""COMPUTED_VALUE"""),"Warped Sign")</f>
        <v>Warped Sign</v>
      </c>
      <c r="W1189" s="174"/>
    </row>
    <row r="1190">
      <c r="B1190" s="175"/>
      <c r="R1190" s="176"/>
      <c r="U1190" s="172" t="str">
        <f>IFERROR(__xludf.DUMMYFUNCTION("""COMPUTED_VALUE"""),"")</f>
        <v/>
      </c>
      <c r="V1190" s="173" t="str">
        <f>IFERROR(__xludf.DUMMYFUNCTION("""COMPUTED_VALUE"""),"Warped Slab")</f>
        <v>Warped Slab</v>
      </c>
      <c r="W1190" s="174"/>
    </row>
    <row r="1191">
      <c r="B1191" s="175"/>
      <c r="R1191" s="176"/>
      <c r="U1191" s="172" t="str">
        <f>IFERROR(__xludf.DUMMYFUNCTION("""COMPUTED_VALUE"""),"")</f>
        <v/>
      </c>
      <c r="V1191" s="173" t="str">
        <f>IFERROR(__xludf.DUMMYFUNCTION("""COMPUTED_VALUE"""),"Warped Stairs")</f>
        <v>Warped Stairs</v>
      </c>
      <c r="W1191" s="174"/>
    </row>
    <row r="1192">
      <c r="B1192" s="175"/>
      <c r="R1192" s="176"/>
      <c r="U1192" s="172" t="str">
        <f>IFERROR(__xludf.DUMMYFUNCTION("""COMPUTED_VALUE"""),"")</f>
        <v/>
      </c>
      <c r="V1192" s="173" t="str">
        <f>IFERROR(__xludf.DUMMYFUNCTION("""COMPUTED_VALUE"""),"Warped Stem")</f>
        <v>Warped Stem</v>
      </c>
      <c r="W1192" s="174"/>
    </row>
    <row r="1193">
      <c r="B1193" s="175"/>
      <c r="R1193" s="176"/>
      <c r="U1193" s="172" t="str">
        <f>IFERROR(__xludf.DUMMYFUNCTION("""COMPUTED_VALUE"""),"")</f>
        <v/>
      </c>
      <c r="V1193" s="173" t="str">
        <f>IFERROR(__xludf.DUMMYFUNCTION("""COMPUTED_VALUE"""),"Warped Trapdoor")</f>
        <v>Warped Trapdoor</v>
      </c>
      <c r="W1193" s="174"/>
    </row>
    <row r="1194">
      <c r="B1194" s="175"/>
      <c r="R1194" s="176"/>
      <c r="U1194" s="172" t="str">
        <f>IFERROR(__xludf.DUMMYFUNCTION("""COMPUTED_VALUE"""),"")</f>
        <v/>
      </c>
      <c r="V1194" s="173" t="str">
        <f>IFERROR(__xludf.DUMMYFUNCTION("""COMPUTED_VALUE"""),"Warped Wart Block")</f>
        <v>Warped Wart Block</v>
      </c>
      <c r="W1194" s="174"/>
    </row>
    <row r="1195">
      <c r="B1195" s="175"/>
      <c r="R1195" s="176"/>
      <c r="U1195" s="172" t="str">
        <f>IFERROR(__xludf.DUMMYFUNCTION("""COMPUTED_VALUE"""),"")</f>
        <v/>
      </c>
      <c r="V1195" s="173" t="str">
        <f>IFERROR(__xludf.DUMMYFUNCTION("""COMPUTED_VALUE"""),"Water Bucket")</f>
        <v>Water Bucket</v>
      </c>
      <c r="W1195" s="174"/>
    </row>
    <row r="1196">
      <c r="B1196" s="175"/>
      <c r="R1196" s="176"/>
      <c r="U1196" s="172" t="str">
        <f>IFERROR(__xludf.DUMMYFUNCTION("""COMPUTED_VALUE"""),"")</f>
        <v/>
      </c>
      <c r="V1196" s="173" t="str">
        <f>IFERROR(__xludf.DUMMYFUNCTION("""COMPUTED_VALUE"""),"Waxed Chiseled Copper")</f>
        <v>Waxed Chiseled Copper</v>
      </c>
      <c r="W1196" s="174"/>
    </row>
    <row r="1197">
      <c r="B1197" s="175"/>
      <c r="R1197" s="176"/>
      <c r="U1197" s="172" t="str">
        <f>IFERROR(__xludf.DUMMYFUNCTION("""COMPUTED_VALUE"""),"")</f>
        <v/>
      </c>
      <c r="V1197" s="173" t="str">
        <f>IFERROR(__xludf.DUMMYFUNCTION("""COMPUTED_VALUE"""),"Waxed Copper Block")</f>
        <v>Waxed Copper Block</v>
      </c>
      <c r="W1197" s="174"/>
    </row>
    <row r="1198">
      <c r="B1198" s="175"/>
      <c r="R1198" s="176"/>
      <c r="U1198" s="172" t="str">
        <f>IFERROR(__xludf.DUMMYFUNCTION("""COMPUTED_VALUE"""),"")</f>
        <v/>
      </c>
      <c r="V1198" s="173" t="str">
        <f>IFERROR(__xludf.DUMMYFUNCTION("""COMPUTED_VALUE"""),"Waxed Copper Bulb")</f>
        <v>Waxed Copper Bulb</v>
      </c>
      <c r="W1198" s="174"/>
    </row>
    <row r="1199">
      <c r="B1199" s="175"/>
      <c r="R1199" s="176"/>
      <c r="U1199" s="172" t="str">
        <f>IFERROR(__xludf.DUMMYFUNCTION("""COMPUTED_VALUE"""),"")</f>
        <v/>
      </c>
      <c r="V1199" s="173" t="str">
        <f>IFERROR(__xludf.DUMMYFUNCTION("""COMPUTED_VALUE"""),"Waxed Copper Door")</f>
        <v>Waxed Copper Door</v>
      </c>
      <c r="W1199" s="174"/>
    </row>
    <row r="1200">
      <c r="B1200" s="175"/>
      <c r="R1200" s="176"/>
      <c r="U1200" s="172" t="str">
        <f>IFERROR(__xludf.DUMMYFUNCTION("""COMPUTED_VALUE"""),"")</f>
        <v/>
      </c>
      <c r="V1200" s="173" t="str">
        <f>IFERROR(__xludf.DUMMYFUNCTION("""COMPUTED_VALUE"""),"Waxed Copper Grate")</f>
        <v>Waxed Copper Grate</v>
      </c>
      <c r="W1200" s="174"/>
    </row>
    <row r="1201">
      <c r="B1201" s="175"/>
      <c r="R1201" s="176"/>
      <c r="U1201" s="172" t="str">
        <f>IFERROR(__xludf.DUMMYFUNCTION("""COMPUTED_VALUE"""),"")</f>
        <v/>
      </c>
      <c r="V1201" s="173" t="str">
        <f>IFERROR(__xludf.DUMMYFUNCTION("""COMPUTED_VALUE"""),"Waxed Copper Trapdoor")</f>
        <v>Waxed Copper Trapdoor</v>
      </c>
      <c r="W1201" s="174"/>
    </row>
    <row r="1202">
      <c r="B1202" s="175"/>
      <c r="R1202" s="176"/>
      <c r="U1202" s="172" t="str">
        <f>IFERROR(__xludf.DUMMYFUNCTION("""COMPUTED_VALUE"""),"")</f>
        <v/>
      </c>
      <c r="V1202" s="173" t="str">
        <f>IFERROR(__xludf.DUMMYFUNCTION("""COMPUTED_VALUE"""),"Waxed Cut Copper")</f>
        <v>Waxed Cut Copper</v>
      </c>
      <c r="W1202" s="174"/>
    </row>
    <row r="1203">
      <c r="B1203" s="175"/>
      <c r="R1203" s="176"/>
      <c r="U1203" s="172" t="str">
        <f>IFERROR(__xludf.DUMMYFUNCTION("""COMPUTED_VALUE"""),"")</f>
        <v/>
      </c>
      <c r="V1203" s="173" t="str">
        <f>IFERROR(__xludf.DUMMYFUNCTION("""COMPUTED_VALUE"""),"Waxed Cut Copper Slab")</f>
        <v>Waxed Cut Copper Slab</v>
      </c>
      <c r="W1203" s="174"/>
    </row>
    <row r="1204">
      <c r="B1204" s="175"/>
      <c r="R1204" s="176"/>
      <c r="U1204" s="172" t="str">
        <f>IFERROR(__xludf.DUMMYFUNCTION("""COMPUTED_VALUE"""),"")</f>
        <v/>
      </c>
      <c r="V1204" s="173" t="str">
        <f>IFERROR(__xludf.DUMMYFUNCTION("""COMPUTED_VALUE"""),"Waxed Cut Copper Stairs")</f>
        <v>Waxed Cut Copper Stairs</v>
      </c>
      <c r="W1204" s="174"/>
    </row>
    <row r="1205">
      <c r="B1205" s="175"/>
      <c r="R1205" s="176"/>
      <c r="U1205" s="172" t="str">
        <f>IFERROR(__xludf.DUMMYFUNCTION("""COMPUTED_VALUE"""),"")</f>
        <v/>
      </c>
      <c r="V1205" s="173" t="str">
        <f>IFERROR(__xludf.DUMMYFUNCTION("""COMPUTED_VALUE"""),"Waxed Exposed Chiseled Copper")</f>
        <v>Waxed Exposed Chiseled Copper</v>
      </c>
      <c r="W1205" s="174"/>
    </row>
    <row r="1206">
      <c r="B1206" s="175"/>
      <c r="R1206" s="176"/>
      <c r="U1206" s="172" t="str">
        <f>IFERROR(__xludf.DUMMYFUNCTION("""COMPUTED_VALUE"""),"")</f>
        <v/>
      </c>
      <c r="V1206" s="173" t="str">
        <f>IFERROR(__xludf.DUMMYFUNCTION("""COMPUTED_VALUE"""),"Waxed Exposed Copper")</f>
        <v>Waxed Exposed Copper</v>
      </c>
      <c r="W1206" s="174"/>
    </row>
    <row r="1207">
      <c r="B1207" s="175"/>
      <c r="R1207" s="176"/>
      <c r="U1207" s="172" t="str">
        <f>IFERROR(__xludf.DUMMYFUNCTION("""COMPUTED_VALUE"""),"")</f>
        <v/>
      </c>
      <c r="V1207" s="173" t="str">
        <f>IFERROR(__xludf.DUMMYFUNCTION("""COMPUTED_VALUE"""),"Waxed Exposed Copper Bulb")</f>
        <v>Waxed Exposed Copper Bulb</v>
      </c>
      <c r="W1207" s="174"/>
    </row>
    <row r="1208">
      <c r="B1208" s="175"/>
      <c r="R1208" s="176"/>
      <c r="U1208" s="172" t="str">
        <f>IFERROR(__xludf.DUMMYFUNCTION("""COMPUTED_VALUE"""),"")</f>
        <v/>
      </c>
      <c r="V1208" s="173" t="str">
        <f>IFERROR(__xludf.DUMMYFUNCTION("""COMPUTED_VALUE"""),"Waxed Exposed Copper Door")</f>
        <v>Waxed Exposed Copper Door</v>
      </c>
      <c r="W1208" s="174"/>
    </row>
    <row r="1209">
      <c r="B1209" s="175"/>
      <c r="R1209" s="176"/>
      <c r="U1209" s="172" t="str">
        <f>IFERROR(__xludf.DUMMYFUNCTION("""COMPUTED_VALUE"""),"")</f>
        <v/>
      </c>
      <c r="V1209" s="173" t="str">
        <f>IFERROR(__xludf.DUMMYFUNCTION("""COMPUTED_VALUE"""),"Waxed Exposed Copper Grate")</f>
        <v>Waxed Exposed Copper Grate</v>
      </c>
      <c r="W1209" s="174"/>
    </row>
    <row r="1210">
      <c r="B1210" s="175"/>
      <c r="R1210" s="176"/>
      <c r="U1210" s="172" t="str">
        <f>IFERROR(__xludf.DUMMYFUNCTION("""COMPUTED_VALUE"""),"")</f>
        <v/>
      </c>
      <c r="V1210" s="173" t="str">
        <f>IFERROR(__xludf.DUMMYFUNCTION("""COMPUTED_VALUE"""),"Waxed Exposed Copper Trapdoor")</f>
        <v>Waxed Exposed Copper Trapdoor</v>
      </c>
      <c r="W1210" s="174"/>
    </row>
    <row r="1211">
      <c r="B1211" s="175"/>
      <c r="R1211" s="176"/>
      <c r="U1211" s="172" t="str">
        <f>IFERROR(__xludf.DUMMYFUNCTION("""COMPUTED_VALUE"""),"")</f>
        <v/>
      </c>
      <c r="V1211" s="173" t="str">
        <f>IFERROR(__xludf.DUMMYFUNCTION("""COMPUTED_VALUE"""),"Waxed Exposed Cut Copper")</f>
        <v>Waxed Exposed Cut Copper</v>
      </c>
      <c r="W1211" s="174"/>
    </row>
    <row r="1212">
      <c r="B1212" s="175"/>
      <c r="R1212" s="176"/>
      <c r="U1212" s="172" t="str">
        <f>IFERROR(__xludf.DUMMYFUNCTION("""COMPUTED_VALUE"""),"")</f>
        <v/>
      </c>
      <c r="V1212" s="173" t="str">
        <f>IFERROR(__xludf.DUMMYFUNCTION("""COMPUTED_VALUE"""),"Waxed Exposed Cut Copper Slab")</f>
        <v>Waxed Exposed Cut Copper Slab</v>
      </c>
      <c r="W1212" s="174"/>
    </row>
    <row r="1213">
      <c r="B1213" s="175"/>
      <c r="R1213" s="176"/>
      <c r="U1213" s="172" t="str">
        <f>IFERROR(__xludf.DUMMYFUNCTION("""COMPUTED_VALUE"""),"")</f>
        <v/>
      </c>
      <c r="V1213" s="173" t="str">
        <f>IFERROR(__xludf.DUMMYFUNCTION("""COMPUTED_VALUE"""),"Waxed Exposed Cut Copper Stairs")</f>
        <v>Waxed Exposed Cut Copper Stairs</v>
      </c>
      <c r="W1213" s="174"/>
    </row>
    <row r="1214">
      <c r="B1214" s="175"/>
      <c r="R1214" s="176"/>
      <c r="U1214" s="172" t="str">
        <f>IFERROR(__xludf.DUMMYFUNCTION("""COMPUTED_VALUE"""),"")</f>
        <v/>
      </c>
      <c r="V1214" s="173" t="str">
        <f>IFERROR(__xludf.DUMMYFUNCTION("""COMPUTED_VALUE"""),"Waxed Oxidized Chiseled Copper")</f>
        <v>Waxed Oxidized Chiseled Copper</v>
      </c>
      <c r="W1214" s="174"/>
    </row>
    <row r="1215">
      <c r="B1215" s="175"/>
      <c r="R1215" s="176"/>
      <c r="U1215" s="172" t="str">
        <f>IFERROR(__xludf.DUMMYFUNCTION("""COMPUTED_VALUE"""),"")</f>
        <v/>
      </c>
      <c r="V1215" s="173" t="str">
        <f>IFERROR(__xludf.DUMMYFUNCTION("""COMPUTED_VALUE"""),"Waxed Oxidized Copper")</f>
        <v>Waxed Oxidized Copper</v>
      </c>
      <c r="W1215" s="174"/>
    </row>
    <row r="1216">
      <c r="B1216" s="175"/>
      <c r="R1216" s="176"/>
      <c r="U1216" s="172" t="str">
        <f>IFERROR(__xludf.DUMMYFUNCTION("""COMPUTED_VALUE"""),"")</f>
        <v/>
      </c>
      <c r="V1216" s="173" t="str">
        <f>IFERROR(__xludf.DUMMYFUNCTION("""COMPUTED_VALUE"""),"Waxed Oxidized Copper Bulb")</f>
        <v>Waxed Oxidized Copper Bulb</v>
      </c>
      <c r="W1216" s="174"/>
    </row>
    <row r="1217">
      <c r="B1217" s="175"/>
      <c r="R1217" s="176"/>
      <c r="U1217" s="172" t="str">
        <f>IFERROR(__xludf.DUMMYFUNCTION("""COMPUTED_VALUE"""),"")</f>
        <v/>
      </c>
      <c r="V1217" s="173" t="str">
        <f>IFERROR(__xludf.DUMMYFUNCTION("""COMPUTED_VALUE"""),"Waxed Oxidized Copper Door")</f>
        <v>Waxed Oxidized Copper Door</v>
      </c>
      <c r="W1217" s="174"/>
    </row>
    <row r="1218">
      <c r="B1218" s="175"/>
      <c r="R1218" s="176"/>
      <c r="U1218" s="172" t="str">
        <f>IFERROR(__xludf.DUMMYFUNCTION("""COMPUTED_VALUE"""),"")</f>
        <v/>
      </c>
      <c r="V1218" s="173" t="str">
        <f>IFERROR(__xludf.DUMMYFUNCTION("""COMPUTED_VALUE"""),"Waxed Oxidized Copper Grate")</f>
        <v>Waxed Oxidized Copper Grate</v>
      </c>
      <c r="W1218" s="174"/>
    </row>
    <row r="1219">
      <c r="B1219" s="175"/>
      <c r="R1219" s="176"/>
      <c r="U1219" s="172" t="str">
        <f>IFERROR(__xludf.DUMMYFUNCTION("""COMPUTED_VALUE"""),"")</f>
        <v/>
      </c>
      <c r="V1219" s="173" t="str">
        <f>IFERROR(__xludf.DUMMYFUNCTION("""COMPUTED_VALUE"""),"Waxed Oxidized Copper Trapdoor")</f>
        <v>Waxed Oxidized Copper Trapdoor</v>
      </c>
      <c r="W1219" s="174"/>
    </row>
    <row r="1220">
      <c r="B1220" s="175"/>
      <c r="R1220" s="176"/>
      <c r="U1220" s="172" t="str">
        <f>IFERROR(__xludf.DUMMYFUNCTION("""COMPUTED_VALUE"""),"")</f>
        <v/>
      </c>
      <c r="V1220" s="173" t="str">
        <f>IFERROR(__xludf.DUMMYFUNCTION("""COMPUTED_VALUE"""),"Waxed Oxidized Cut Copper")</f>
        <v>Waxed Oxidized Cut Copper</v>
      </c>
      <c r="W1220" s="174"/>
    </row>
    <row r="1221">
      <c r="B1221" s="175"/>
      <c r="R1221" s="176"/>
      <c r="U1221" s="172" t="str">
        <f>IFERROR(__xludf.DUMMYFUNCTION("""COMPUTED_VALUE"""),"")</f>
        <v/>
      </c>
      <c r="V1221" s="173" t="str">
        <f>IFERROR(__xludf.DUMMYFUNCTION("""COMPUTED_VALUE"""),"Waxed Oxidized Cut Copper Slab")</f>
        <v>Waxed Oxidized Cut Copper Slab</v>
      </c>
      <c r="W1221" s="174"/>
    </row>
    <row r="1222">
      <c r="B1222" s="175"/>
      <c r="R1222" s="176"/>
      <c r="U1222" s="172" t="str">
        <f>IFERROR(__xludf.DUMMYFUNCTION("""COMPUTED_VALUE"""),"")</f>
        <v/>
      </c>
      <c r="V1222" s="173" t="str">
        <f>IFERROR(__xludf.DUMMYFUNCTION("""COMPUTED_VALUE"""),"Waxed Oxidized Cut Copper Stairs")</f>
        <v>Waxed Oxidized Cut Copper Stairs</v>
      </c>
      <c r="W1222" s="174"/>
    </row>
    <row r="1223">
      <c r="B1223" s="175"/>
      <c r="R1223" s="176"/>
      <c r="U1223" s="172" t="str">
        <f>IFERROR(__xludf.DUMMYFUNCTION("""COMPUTED_VALUE"""),"")</f>
        <v/>
      </c>
      <c r="V1223" s="173" t="str">
        <f>IFERROR(__xludf.DUMMYFUNCTION("""COMPUTED_VALUE"""),"Waxed Weathered Chiseled Copper")</f>
        <v>Waxed Weathered Chiseled Copper</v>
      </c>
      <c r="W1223" s="174"/>
    </row>
    <row r="1224">
      <c r="B1224" s="175"/>
      <c r="R1224" s="176"/>
      <c r="U1224" s="172" t="str">
        <f>IFERROR(__xludf.DUMMYFUNCTION("""COMPUTED_VALUE"""),"")</f>
        <v/>
      </c>
      <c r="V1224" s="173" t="str">
        <f>IFERROR(__xludf.DUMMYFUNCTION("""COMPUTED_VALUE"""),"Waxed Weathered Copper")</f>
        <v>Waxed Weathered Copper</v>
      </c>
      <c r="W1224" s="174"/>
    </row>
    <row r="1225">
      <c r="B1225" s="175"/>
      <c r="R1225" s="176"/>
      <c r="U1225" s="172" t="str">
        <f>IFERROR(__xludf.DUMMYFUNCTION("""COMPUTED_VALUE"""),"")</f>
        <v/>
      </c>
      <c r="V1225" s="173" t="str">
        <f>IFERROR(__xludf.DUMMYFUNCTION("""COMPUTED_VALUE"""),"Waxed Weathered Copper Bulb")</f>
        <v>Waxed Weathered Copper Bulb</v>
      </c>
      <c r="W1225" s="174"/>
    </row>
    <row r="1226">
      <c r="B1226" s="175"/>
      <c r="R1226" s="176"/>
      <c r="U1226" s="172" t="str">
        <f>IFERROR(__xludf.DUMMYFUNCTION("""COMPUTED_VALUE"""),"")</f>
        <v/>
      </c>
      <c r="V1226" s="173" t="str">
        <f>IFERROR(__xludf.DUMMYFUNCTION("""COMPUTED_VALUE"""),"Waxed Weathered Copper Door")</f>
        <v>Waxed Weathered Copper Door</v>
      </c>
      <c r="W1226" s="174"/>
    </row>
    <row r="1227">
      <c r="B1227" s="175"/>
      <c r="R1227" s="176"/>
      <c r="U1227" s="172" t="str">
        <f>IFERROR(__xludf.DUMMYFUNCTION("""COMPUTED_VALUE"""),"")</f>
        <v/>
      </c>
      <c r="V1227" s="173" t="str">
        <f>IFERROR(__xludf.DUMMYFUNCTION("""COMPUTED_VALUE"""),"Waxed Weathered Copper Grate")</f>
        <v>Waxed Weathered Copper Grate</v>
      </c>
      <c r="W1227" s="174"/>
    </row>
    <row r="1228">
      <c r="B1228" s="175"/>
      <c r="R1228" s="176"/>
      <c r="U1228" s="172" t="str">
        <f>IFERROR(__xludf.DUMMYFUNCTION("""COMPUTED_VALUE"""),"")</f>
        <v/>
      </c>
      <c r="V1228" s="173" t="str">
        <f>IFERROR(__xludf.DUMMYFUNCTION("""COMPUTED_VALUE"""),"Waxed Weathered Copper Trapdoor")</f>
        <v>Waxed Weathered Copper Trapdoor</v>
      </c>
      <c r="W1228" s="174"/>
    </row>
    <row r="1229">
      <c r="B1229" s="175"/>
      <c r="R1229" s="176"/>
      <c r="U1229" s="172" t="str">
        <f>IFERROR(__xludf.DUMMYFUNCTION("""COMPUTED_VALUE"""),"")</f>
        <v/>
      </c>
      <c r="V1229" s="173" t="str">
        <f>IFERROR(__xludf.DUMMYFUNCTION("""COMPUTED_VALUE"""),"Waxed Weathered Cut Copper")</f>
        <v>Waxed Weathered Cut Copper</v>
      </c>
      <c r="W1229" s="174"/>
    </row>
    <row r="1230">
      <c r="B1230" s="175"/>
      <c r="R1230" s="176"/>
      <c r="U1230" s="172" t="str">
        <f>IFERROR(__xludf.DUMMYFUNCTION("""COMPUTED_VALUE"""),"")</f>
        <v/>
      </c>
      <c r="V1230" s="173" t="str">
        <f>IFERROR(__xludf.DUMMYFUNCTION("""COMPUTED_VALUE"""),"Waxed Weathered Cut Copper Slab")</f>
        <v>Waxed Weathered Cut Copper Slab</v>
      </c>
      <c r="W1230" s="174"/>
    </row>
    <row r="1231">
      <c r="B1231" s="175"/>
      <c r="R1231" s="176"/>
      <c r="U1231" s="172" t="str">
        <f>IFERROR(__xludf.DUMMYFUNCTION("""COMPUTED_VALUE"""),"")</f>
        <v/>
      </c>
      <c r="V1231" s="173" t="str">
        <f>IFERROR(__xludf.DUMMYFUNCTION("""COMPUTED_VALUE"""),"Waxed Weathered Cut Copper Stairs")</f>
        <v>Waxed Weathered Cut Copper Stairs</v>
      </c>
      <c r="W1231" s="174"/>
    </row>
    <row r="1232">
      <c r="B1232" s="175"/>
      <c r="R1232" s="176"/>
      <c r="U1232" s="172" t="str">
        <f>IFERROR(__xludf.DUMMYFUNCTION("""COMPUTED_VALUE"""),"")</f>
        <v/>
      </c>
      <c r="V1232" s="173" t="str">
        <f>IFERROR(__xludf.DUMMYFUNCTION("""COMPUTED_VALUE"""),"Wayfinder Armor Trim")</f>
        <v>Wayfinder Armor Trim</v>
      </c>
      <c r="W1232" s="174"/>
    </row>
    <row r="1233">
      <c r="B1233" s="175"/>
      <c r="R1233" s="176"/>
      <c r="U1233" s="172" t="str">
        <f>IFERROR(__xludf.DUMMYFUNCTION("""COMPUTED_VALUE"""),"")</f>
        <v/>
      </c>
      <c r="V1233" s="173" t="str">
        <f>IFERROR(__xludf.DUMMYFUNCTION("""COMPUTED_VALUE"""),"Weathered Chiseled Copper")</f>
        <v>Weathered Chiseled Copper</v>
      </c>
      <c r="W1233" s="174"/>
    </row>
    <row r="1234">
      <c r="B1234" s="175"/>
      <c r="R1234" s="176"/>
      <c r="U1234" s="172" t="str">
        <f>IFERROR(__xludf.DUMMYFUNCTION("""COMPUTED_VALUE"""),"")</f>
        <v/>
      </c>
      <c r="V1234" s="173" t="str">
        <f>IFERROR(__xludf.DUMMYFUNCTION("""COMPUTED_VALUE"""),"Weathered Copper")</f>
        <v>Weathered Copper</v>
      </c>
      <c r="W1234" s="174"/>
    </row>
    <row r="1235">
      <c r="B1235" s="175"/>
      <c r="R1235" s="176"/>
      <c r="U1235" s="172" t="str">
        <f>IFERROR(__xludf.DUMMYFUNCTION("""COMPUTED_VALUE"""),"")</f>
        <v/>
      </c>
      <c r="V1235" s="173" t="str">
        <f>IFERROR(__xludf.DUMMYFUNCTION("""COMPUTED_VALUE"""),"Weathered Copper Bulb")</f>
        <v>Weathered Copper Bulb</v>
      </c>
      <c r="W1235" s="174"/>
    </row>
    <row r="1236">
      <c r="B1236" s="175"/>
      <c r="R1236" s="176"/>
      <c r="U1236" s="172" t="str">
        <f>IFERROR(__xludf.DUMMYFUNCTION("""COMPUTED_VALUE"""),"")</f>
        <v/>
      </c>
      <c r="V1236" s="173" t="str">
        <f>IFERROR(__xludf.DUMMYFUNCTION("""COMPUTED_VALUE"""),"Weathered Copper Door")</f>
        <v>Weathered Copper Door</v>
      </c>
      <c r="W1236" s="174"/>
    </row>
    <row r="1237">
      <c r="B1237" s="175"/>
      <c r="R1237" s="176"/>
      <c r="U1237" s="172" t="str">
        <f>IFERROR(__xludf.DUMMYFUNCTION("""COMPUTED_VALUE"""),"")</f>
        <v/>
      </c>
      <c r="V1237" s="173" t="str">
        <f>IFERROR(__xludf.DUMMYFUNCTION("""COMPUTED_VALUE"""),"Weathered Copper Grate")</f>
        <v>Weathered Copper Grate</v>
      </c>
      <c r="W1237" s="174"/>
    </row>
    <row r="1238">
      <c r="B1238" s="175"/>
      <c r="R1238" s="176"/>
      <c r="U1238" s="172" t="str">
        <f>IFERROR(__xludf.DUMMYFUNCTION("""COMPUTED_VALUE"""),"")</f>
        <v/>
      </c>
      <c r="V1238" s="173" t="str">
        <f>IFERROR(__xludf.DUMMYFUNCTION("""COMPUTED_VALUE"""),"Weathered Copper Trapdoor")</f>
        <v>Weathered Copper Trapdoor</v>
      </c>
      <c r="W1238" s="174"/>
    </row>
    <row r="1239">
      <c r="B1239" s="175"/>
      <c r="R1239" s="176"/>
      <c r="U1239" s="172" t="str">
        <f>IFERROR(__xludf.DUMMYFUNCTION("""COMPUTED_VALUE"""),"")</f>
        <v/>
      </c>
      <c r="V1239" s="173" t="str">
        <f>IFERROR(__xludf.DUMMYFUNCTION("""COMPUTED_VALUE"""),"Weathered Cut Copper")</f>
        <v>Weathered Cut Copper</v>
      </c>
      <c r="W1239" s="174"/>
    </row>
    <row r="1240">
      <c r="B1240" s="175"/>
      <c r="R1240" s="176"/>
      <c r="U1240" s="172" t="str">
        <f>IFERROR(__xludf.DUMMYFUNCTION("""COMPUTED_VALUE"""),"")</f>
        <v/>
      </c>
      <c r="V1240" s="173" t="str">
        <f>IFERROR(__xludf.DUMMYFUNCTION("""COMPUTED_VALUE"""),"Weathered Cut Copper Slab")</f>
        <v>Weathered Cut Copper Slab</v>
      </c>
      <c r="W1240" s="174"/>
    </row>
    <row r="1241">
      <c r="B1241" s="175"/>
      <c r="R1241" s="176"/>
      <c r="U1241" s="172" t="str">
        <f>IFERROR(__xludf.DUMMYFUNCTION("""COMPUTED_VALUE"""),"")</f>
        <v/>
      </c>
      <c r="V1241" s="173" t="str">
        <f>IFERROR(__xludf.DUMMYFUNCTION("""COMPUTED_VALUE"""),"Weathered Cut Copper Stairs")</f>
        <v>Weathered Cut Copper Stairs</v>
      </c>
      <c r="W1241" s="174"/>
    </row>
    <row r="1242">
      <c r="B1242" s="175"/>
      <c r="R1242" s="176"/>
      <c r="U1242" s="172" t="str">
        <f>IFERROR(__xludf.DUMMYFUNCTION("""COMPUTED_VALUE"""),"")</f>
        <v/>
      </c>
      <c r="V1242" s="173" t="str">
        <f>IFERROR(__xludf.DUMMYFUNCTION("""COMPUTED_VALUE"""),"Weeping Vines")</f>
        <v>Weeping Vines</v>
      </c>
      <c r="W1242" s="174"/>
    </row>
    <row r="1243">
      <c r="B1243" s="175"/>
      <c r="R1243" s="176"/>
      <c r="U1243" s="172" t="str">
        <f>IFERROR(__xludf.DUMMYFUNCTION("""COMPUTED_VALUE"""),"")</f>
        <v/>
      </c>
      <c r="V1243" s="173" t="str">
        <f>IFERROR(__xludf.DUMMYFUNCTION("""COMPUTED_VALUE"""),"Wet Sponge")</f>
        <v>Wet Sponge</v>
      </c>
      <c r="W1243" s="174"/>
    </row>
    <row r="1244">
      <c r="B1244" s="175"/>
      <c r="R1244" s="176"/>
      <c r="U1244" s="172" t="str">
        <f>IFERROR(__xludf.DUMMYFUNCTION("""COMPUTED_VALUE"""),"")</f>
        <v/>
      </c>
      <c r="V1244" s="173" t="str">
        <f>IFERROR(__xludf.DUMMYFUNCTION("""COMPUTED_VALUE"""),"Wheat")</f>
        <v>Wheat</v>
      </c>
      <c r="W1244" s="174"/>
    </row>
    <row r="1245">
      <c r="B1245" s="175"/>
      <c r="R1245" s="176"/>
      <c r="U1245" s="172" t="str">
        <f>IFERROR(__xludf.DUMMYFUNCTION("""COMPUTED_VALUE"""),"")</f>
        <v/>
      </c>
      <c r="V1245" s="173" t="str">
        <f>IFERROR(__xludf.DUMMYFUNCTION("""COMPUTED_VALUE"""),"Wheat Seeds")</f>
        <v>Wheat Seeds</v>
      </c>
      <c r="W1245" s="174"/>
    </row>
    <row r="1246">
      <c r="B1246" s="175"/>
      <c r="R1246" s="176"/>
      <c r="U1246" s="172" t="str">
        <f>IFERROR(__xludf.DUMMYFUNCTION("""COMPUTED_VALUE"""),"")</f>
        <v/>
      </c>
      <c r="V1246" s="173" t="str">
        <f>IFERROR(__xludf.DUMMYFUNCTION("""COMPUTED_VALUE"""),"White Banner")</f>
        <v>White Banner</v>
      </c>
      <c r="W1246" s="174"/>
    </row>
    <row r="1247">
      <c r="B1247" s="175"/>
      <c r="R1247" s="176"/>
      <c r="U1247" s="172" t="str">
        <f>IFERROR(__xludf.DUMMYFUNCTION("""COMPUTED_VALUE"""),"")</f>
        <v/>
      </c>
      <c r="V1247" s="173" t="str">
        <f>IFERROR(__xludf.DUMMYFUNCTION("""COMPUTED_VALUE"""),"White Bed")</f>
        <v>White Bed</v>
      </c>
      <c r="W1247" s="174"/>
    </row>
    <row r="1248">
      <c r="B1248" s="175"/>
      <c r="R1248" s="176"/>
      <c r="U1248" s="172" t="str">
        <f>IFERROR(__xludf.DUMMYFUNCTION("""COMPUTED_VALUE"""),"")</f>
        <v/>
      </c>
      <c r="V1248" s="173" t="str">
        <f>IFERROR(__xludf.DUMMYFUNCTION("""COMPUTED_VALUE"""),"White Candle")</f>
        <v>White Candle</v>
      </c>
      <c r="W1248" s="174"/>
    </row>
    <row r="1249">
      <c r="B1249" s="175"/>
      <c r="R1249" s="176"/>
      <c r="U1249" s="172" t="str">
        <f>IFERROR(__xludf.DUMMYFUNCTION("""COMPUTED_VALUE"""),"")</f>
        <v/>
      </c>
      <c r="V1249" s="173" t="str">
        <f>IFERROR(__xludf.DUMMYFUNCTION("""COMPUTED_VALUE"""),"White Carpet")</f>
        <v>White Carpet</v>
      </c>
      <c r="W1249" s="174"/>
    </row>
    <row r="1250">
      <c r="B1250" s="175"/>
      <c r="R1250" s="176"/>
      <c r="U1250" s="172" t="str">
        <f>IFERROR(__xludf.DUMMYFUNCTION("""COMPUTED_VALUE"""),"")</f>
        <v/>
      </c>
      <c r="V1250" s="173" t="str">
        <f>IFERROR(__xludf.DUMMYFUNCTION("""COMPUTED_VALUE"""),"White Concrete")</f>
        <v>White Concrete</v>
      </c>
      <c r="W1250" s="174"/>
    </row>
    <row r="1251">
      <c r="B1251" s="175"/>
      <c r="R1251" s="176"/>
      <c r="U1251" s="172" t="str">
        <f>IFERROR(__xludf.DUMMYFUNCTION("""COMPUTED_VALUE"""),"")</f>
        <v/>
      </c>
      <c r="V1251" s="173" t="str">
        <f>IFERROR(__xludf.DUMMYFUNCTION("""COMPUTED_VALUE"""),"White Concrete Powder")</f>
        <v>White Concrete Powder</v>
      </c>
      <c r="W1251" s="174"/>
    </row>
    <row r="1252">
      <c r="B1252" s="175"/>
      <c r="R1252" s="176"/>
      <c r="U1252" s="172" t="str">
        <f>IFERROR(__xludf.DUMMYFUNCTION("""COMPUTED_VALUE"""),"")</f>
        <v/>
      </c>
      <c r="V1252" s="173" t="str">
        <f>IFERROR(__xludf.DUMMYFUNCTION("""COMPUTED_VALUE"""),"White Dye")</f>
        <v>White Dye</v>
      </c>
      <c r="W1252" s="174"/>
    </row>
    <row r="1253">
      <c r="B1253" s="175"/>
      <c r="R1253" s="176"/>
      <c r="U1253" s="172" t="str">
        <f>IFERROR(__xludf.DUMMYFUNCTION("""COMPUTED_VALUE"""),"")</f>
        <v/>
      </c>
      <c r="V1253" s="173" t="str">
        <f>IFERROR(__xludf.DUMMYFUNCTION("""COMPUTED_VALUE"""),"White Glazed Terracotta")</f>
        <v>White Glazed Terracotta</v>
      </c>
      <c r="W1253" s="174"/>
    </row>
    <row r="1254">
      <c r="B1254" s="175"/>
      <c r="R1254" s="176"/>
      <c r="U1254" s="172" t="str">
        <f>IFERROR(__xludf.DUMMYFUNCTION("""COMPUTED_VALUE"""),"")</f>
        <v/>
      </c>
      <c r="V1254" s="173" t="str">
        <f>IFERROR(__xludf.DUMMYFUNCTION("""COMPUTED_VALUE"""),"White Shulker Box")</f>
        <v>White Shulker Box</v>
      </c>
      <c r="W1254" s="174"/>
    </row>
    <row r="1255">
      <c r="B1255" s="175"/>
      <c r="R1255" s="176"/>
      <c r="U1255" s="172" t="str">
        <f>IFERROR(__xludf.DUMMYFUNCTION("""COMPUTED_VALUE"""),"")</f>
        <v/>
      </c>
      <c r="V1255" s="173" t="str">
        <f>IFERROR(__xludf.DUMMYFUNCTION("""COMPUTED_VALUE"""),"White Stained Glass")</f>
        <v>White Stained Glass</v>
      </c>
      <c r="W1255" s="174"/>
    </row>
    <row r="1256">
      <c r="B1256" s="175"/>
      <c r="R1256" s="176"/>
      <c r="U1256" s="172" t="str">
        <f>IFERROR(__xludf.DUMMYFUNCTION("""COMPUTED_VALUE"""),"")</f>
        <v/>
      </c>
      <c r="V1256" s="173" t="str">
        <f>IFERROR(__xludf.DUMMYFUNCTION("""COMPUTED_VALUE"""),"White Stained Glass Pane")</f>
        <v>White Stained Glass Pane</v>
      </c>
      <c r="W1256" s="174"/>
    </row>
    <row r="1257">
      <c r="B1257" s="175"/>
      <c r="R1257" s="176"/>
      <c r="U1257" s="172" t="str">
        <f>IFERROR(__xludf.DUMMYFUNCTION("""COMPUTED_VALUE"""),"")</f>
        <v/>
      </c>
      <c r="V1257" s="173" t="str">
        <f>IFERROR(__xludf.DUMMYFUNCTION("""COMPUTED_VALUE"""),"White Terracotta")</f>
        <v>White Terracotta</v>
      </c>
      <c r="W1257" s="174"/>
    </row>
    <row r="1258">
      <c r="B1258" s="175"/>
      <c r="R1258" s="176"/>
      <c r="U1258" s="172" t="str">
        <f>IFERROR(__xludf.DUMMYFUNCTION("""COMPUTED_VALUE"""),"")</f>
        <v/>
      </c>
      <c r="V1258" s="173" t="str">
        <f>IFERROR(__xludf.DUMMYFUNCTION("""COMPUTED_VALUE"""),"White Tulip")</f>
        <v>White Tulip</v>
      </c>
      <c r="W1258" s="174"/>
    </row>
    <row r="1259">
      <c r="B1259" s="175"/>
      <c r="R1259" s="176"/>
      <c r="U1259" s="172" t="str">
        <f>IFERROR(__xludf.DUMMYFUNCTION("""COMPUTED_VALUE"""),"")</f>
        <v/>
      </c>
      <c r="V1259" s="173" t="str">
        <f>IFERROR(__xludf.DUMMYFUNCTION("""COMPUTED_VALUE"""),"White Wool")</f>
        <v>White Wool</v>
      </c>
      <c r="W1259" s="174"/>
    </row>
    <row r="1260">
      <c r="B1260" s="175"/>
      <c r="R1260" s="176"/>
      <c r="U1260" s="172" t="str">
        <f>IFERROR(__xludf.DUMMYFUNCTION("""COMPUTED_VALUE"""),"")</f>
        <v/>
      </c>
      <c r="V1260" s="173" t="str">
        <f>IFERROR(__xludf.DUMMYFUNCTION("""COMPUTED_VALUE"""),"Wild Armor Trim")</f>
        <v>Wild Armor Trim</v>
      </c>
      <c r="W1260" s="174"/>
    </row>
    <row r="1261">
      <c r="B1261" s="175"/>
      <c r="R1261" s="176"/>
      <c r="U1261" s="172" t="str">
        <f>IFERROR(__xludf.DUMMYFUNCTION("""COMPUTED_VALUE"""),"")</f>
        <v/>
      </c>
      <c r="V1261" s="173" t="str">
        <f>IFERROR(__xludf.DUMMYFUNCTION("""COMPUTED_VALUE"""),"Wind Charge")</f>
        <v>Wind Charge</v>
      </c>
      <c r="W1261" s="174"/>
    </row>
    <row r="1262">
      <c r="B1262" s="175"/>
      <c r="R1262" s="176"/>
      <c r="U1262" s="172" t="str">
        <f>IFERROR(__xludf.DUMMYFUNCTION("""COMPUTED_VALUE"""),"")</f>
        <v/>
      </c>
      <c r="V1262" s="173" t="str">
        <f>IFERROR(__xludf.DUMMYFUNCTION("""COMPUTED_VALUE"""),"Wither Rose")</f>
        <v>Wither Rose</v>
      </c>
      <c r="W1262" s="174"/>
    </row>
    <row r="1263">
      <c r="B1263" s="175"/>
      <c r="R1263" s="176"/>
      <c r="U1263" s="172" t="str">
        <f>IFERROR(__xludf.DUMMYFUNCTION("""COMPUTED_VALUE"""),"")</f>
        <v/>
      </c>
      <c r="V1263" s="173" t="str">
        <f>IFERROR(__xludf.DUMMYFUNCTION("""COMPUTED_VALUE"""),"Wither Skeleton Skull")</f>
        <v>Wither Skeleton Skull</v>
      </c>
      <c r="W1263" s="174"/>
    </row>
    <row r="1264">
      <c r="B1264" s="175"/>
      <c r="R1264" s="176"/>
      <c r="U1264" s="172" t="str">
        <f>IFERROR(__xludf.DUMMYFUNCTION("""COMPUTED_VALUE"""),"")</f>
        <v/>
      </c>
      <c r="V1264" s="173" t="str">
        <f>IFERROR(__xludf.DUMMYFUNCTION("""COMPUTED_VALUE"""),"Wolf Armor")</f>
        <v>Wolf Armor</v>
      </c>
      <c r="W1264" s="174"/>
    </row>
    <row r="1265">
      <c r="B1265" s="175"/>
      <c r="R1265" s="176"/>
      <c r="U1265" s="172" t="str">
        <f>IFERROR(__xludf.DUMMYFUNCTION("""COMPUTED_VALUE"""),"")</f>
        <v/>
      </c>
      <c r="V1265" s="173" t="str">
        <f>IFERROR(__xludf.DUMMYFUNCTION("""COMPUTED_VALUE"""),"Wooden Axe")</f>
        <v>Wooden Axe</v>
      </c>
      <c r="W1265" s="174"/>
    </row>
    <row r="1266">
      <c r="B1266" s="175"/>
      <c r="R1266" s="176"/>
      <c r="U1266" s="172" t="str">
        <f>IFERROR(__xludf.DUMMYFUNCTION("""COMPUTED_VALUE"""),"")</f>
        <v/>
      </c>
      <c r="V1266" s="173" t="str">
        <f>IFERROR(__xludf.DUMMYFUNCTION("""COMPUTED_VALUE"""),"Wooden Hoe")</f>
        <v>Wooden Hoe</v>
      </c>
      <c r="W1266" s="174"/>
    </row>
    <row r="1267">
      <c r="B1267" s="175"/>
      <c r="R1267" s="176"/>
      <c r="U1267" s="172" t="str">
        <f>IFERROR(__xludf.DUMMYFUNCTION("""COMPUTED_VALUE"""),"")</f>
        <v/>
      </c>
      <c r="V1267" s="173" t="str">
        <f>IFERROR(__xludf.DUMMYFUNCTION("""COMPUTED_VALUE"""),"Wooden Pickaxe")</f>
        <v>Wooden Pickaxe</v>
      </c>
      <c r="W1267" s="174"/>
    </row>
    <row r="1268">
      <c r="B1268" s="175"/>
      <c r="R1268" s="176"/>
      <c r="U1268" s="172" t="str">
        <f>IFERROR(__xludf.DUMMYFUNCTION("""COMPUTED_VALUE"""),"")</f>
        <v/>
      </c>
      <c r="V1268" s="173" t="str">
        <f>IFERROR(__xludf.DUMMYFUNCTION("""COMPUTED_VALUE"""),"Wooden Shovel")</f>
        <v>Wooden Shovel</v>
      </c>
      <c r="W1268" s="174"/>
    </row>
    <row r="1269">
      <c r="B1269" s="175"/>
      <c r="R1269" s="176"/>
      <c r="U1269" s="172" t="str">
        <f>IFERROR(__xludf.DUMMYFUNCTION("""COMPUTED_VALUE"""),"")</f>
        <v/>
      </c>
      <c r="V1269" s="173" t="str">
        <f>IFERROR(__xludf.DUMMYFUNCTION("""COMPUTED_VALUE"""),"Wooden Sword")</f>
        <v>Wooden Sword</v>
      </c>
      <c r="W1269" s="174"/>
    </row>
    <row r="1270">
      <c r="B1270" s="175"/>
      <c r="R1270" s="176"/>
      <c r="U1270" s="172" t="str">
        <f>IFERROR(__xludf.DUMMYFUNCTION("""COMPUTED_VALUE"""),"")</f>
        <v/>
      </c>
      <c r="V1270" s="173" t="str">
        <f>IFERROR(__xludf.DUMMYFUNCTION("""COMPUTED_VALUE"""),"Writable Book")</f>
        <v>Writable Book</v>
      </c>
      <c r="W1270" s="174"/>
    </row>
    <row r="1271">
      <c r="B1271" s="175"/>
      <c r="R1271" s="176"/>
      <c r="U1271" s="172" t="str">
        <f>IFERROR(__xludf.DUMMYFUNCTION("""COMPUTED_VALUE"""),"")</f>
        <v/>
      </c>
      <c r="V1271" s="173" t="str">
        <f>IFERROR(__xludf.DUMMYFUNCTION("""COMPUTED_VALUE"""),"Written Book")</f>
        <v>Written Book</v>
      </c>
      <c r="W1271" s="174"/>
    </row>
    <row r="1272">
      <c r="B1272" s="175"/>
      <c r="R1272" s="176"/>
      <c r="U1272" s="172" t="str">
        <f>IFERROR(__xludf.DUMMYFUNCTION("""COMPUTED_VALUE"""),"")</f>
        <v/>
      </c>
      <c r="V1272" s="173" t="str">
        <f>IFERROR(__xludf.DUMMYFUNCTION("""COMPUTED_VALUE"""),"Yellow Banner")</f>
        <v>Yellow Banner</v>
      </c>
      <c r="W1272" s="174"/>
    </row>
    <row r="1273">
      <c r="B1273" s="175"/>
      <c r="R1273" s="176"/>
      <c r="U1273" s="172" t="str">
        <f>IFERROR(__xludf.DUMMYFUNCTION("""COMPUTED_VALUE"""),"")</f>
        <v/>
      </c>
      <c r="V1273" s="173" t="str">
        <f>IFERROR(__xludf.DUMMYFUNCTION("""COMPUTED_VALUE"""),"Yellow Bed")</f>
        <v>Yellow Bed</v>
      </c>
      <c r="W1273" s="174"/>
    </row>
    <row r="1274">
      <c r="B1274" s="175"/>
      <c r="R1274" s="176"/>
      <c r="U1274" s="172" t="str">
        <f>IFERROR(__xludf.DUMMYFUNCTION("""COMPUTED_VALUE"""),"")</f>
        <v/>
      </c>
      <c r="V1274" s="173" t="str">
        <f>IFERROR(__xludf.DUMMYFUNCTION("""COMPUTED_VALUE"""),"Yellow Candle")</f>
        <v>Yellow Candle</v>
      </c>
      <c r="W1274" s="174"/>
    </row>
    <row r="1275">
      <c r="B1275" s="175"/>
      <c r="R1275" s="176"/>
      <c r="U1275" s="172" t="str">
        <f>IFERROR(__xludf.DUMMYFUNCTION("""COMPUTED_VALUE"""),"")</f>
        <v/>
      </c>
      <c r="V1275" s="173" t="str">
        <f>IFERROR(__xludf.DUMMYFUNCTION("""COMPUTED_VALUE"""),"Yellow Carpet")</f>
        <v>Yellow Carpet</v>
      </c>
      <c r="W1275" s="174"/>
    </row>
    <row r="1276">
      <c r="B1276" s="175"/>
      <c r="R1276" s="176"/>
      <c r="U1276" s="172" t="str">
        <f>IFERROR(__xludf.DUMMYFUNCTION("""COMPUTED_VALUE"""),"")</f>
        <v/>
      </c>
      <c r="V1276" s="173" t="str">
        <f>IFERROR(__xludf.DUMMYFUNCTION("""COMPUTED_VALUE"""),"Yellow Concrete")</f>
        <v>Yellow Concrete</v>
      </c>
      <c r="W1276" s="174"/>
    </row>
    <row r="1277">
      <c r="B1277" s="175"/>
      <c r="R1277" s="176"/>
      <c r="U1277" s="172" t="str">
        <f>IFERROR(__xludf.DUMMYFUNCTION("""COMPUTED_VALUE"""),"")</f>
        <v/>
      </c>
      <c r="V1277" s="173" t="str">
        <f>IFERROR(__xludf.DUMMYFUNCTION("""COMPUTED_VALUE"""),"Yellow Concrete Powder")</f>
        <v>Yellow Concrete Powder</v>
      </c>
      <c r="W1277" s="174"/>
    </row>
    <row r="1278">
      <c r="B1278" s="175"/>
      <c r="R1278" s="176"/>
      <c r="U1278" s="172" t="str">
        <f>IFERROR(__xludf.DUMMYFUNCTION("""COMPUTED_VALUE"""),"")</f>
        <v/>
      </c>
      <c r="V1278" s="173" t="str">
        <f>IFERROR(__xludf.DUMMYFUNCTION("""COMPUTED_VALUE"""),"Yellow Dye")</f>
        <v>Yellow Dye</v>
      </c>
      <c r="W1278" s="174"/>
    </row>
    <row r="1279">
      <c r="B1279" s="175"/>
      <c r="R1279" s="176"/>
      <c r="U1279" s="172" t="str">
        <f>IFERROR(__xludf.DUMMYFUNCTION("""COMPUTED_VALUE"""),"")</f>
        <v/>
      </c>
      <c r="V1279" s="173" t="str">
        <f>IFERROR(__xludf.DUMMYFUNCTION("""COMPUTED_VALUE"""),"Yellow Glazed Terracotta")</f>
        <v>Yellow Glazed Terracotta</v>
      </c>
      <c r="W1279" s="174"/>
    </row>
    <row r="1280">
      <c r="B1280" s="175"/>
      <c r="R1280" s="176"/>
      <c r="U1280" s="172" t="str">
        <f>IFERROR(__xludf.DUMMYFUNCTION("""COMPUTED_VALUE"""),"")</f>
        <v/>
      </c>
      <c r="V1280" s="173" t="str">
        <f>IFERROR(__xludf.DUMMYFUNCTION("""COMPUTED_VALUE"""),"Yellow Shulker Box")</f>
        <v>Yellow Shulker Box</v>
      </c>
      <c r="W1280" s="174"/>
    </row>
    <row r="1281">
      <c r="B1281" s="175"/>
      <c r="R1281" s="176"/>
      <c r="U1281" s="172" t="str">
        <f>IFERROR(__xludf.DUMMYFUNCTION("""COMPUTED_VALUE"""),"")</f>
        <v/>
      </c>
      <c r="V1281" s="173" t="str">
        <f>IFERROR(__xludf.DUMMYFUNCTION("""COMPUTED_VALUE"""),"Yellow Stained Glass")</f>
        <v>Yellow Stained Glass</v>
      </c>
      <c r="W1281" s="174"/>
    </row>
    <row r="1282">
      <c r="B1282" s="175"/>
      <c r="R1282" s="176"/>
      <c r="U1282" s="172" t="str">
        <f>IFERROR(__xludf.DUMMYFUNCTION("""COMPUTED_VALUE"""),"")</f>
        <v/>
      </c>
      <c r="V1282" s="173" t="str">
        <f>IFERROR(__xludf.DUMMYFUNCTION("""COMPUTED_VALUE"""),"Yellow Stained Glass Pane")</f>
        <v>Yellow Stained Glass Pane</v>
      </c>
      <c r="W1282" s="174"/>
    </row>
    <row r="1283">
      <c r="B1283" s="175"/>
      <c r="R1283" s="176"/>
      <c r="U1283" s="172" t="str">
        <f>IFERROR(__xludf.DUMMYFUNCTION("""COMPUTED_VALUE"""),"")</f>
        <v/>
      </c>
      <c r="V1283" s="173" t="str">
        <f>IFERROR(__xludf.DUMMYFUNCTION("""COMPUTED_VALUE"""),"Yellow Terracotta")</f>
        <v>Yellow Terracotta</v>
      </c>
      <c r="W1283" s="174"/>
    </row>
    <row r="1284">
      <c r="B1284" s="175"/>
      <c r="R1284" s="176"/>
      <c r="U1284" s="172" t="str">
        <f>IFERROR(__xludf.DUMMYFUNCTION("""COMPUTED_VALUE"""),"")</f>
        <v/>
      </c>
      <c r="V1284" s="173" t="str">
        <f>IFERROR(__xludf.DUMMYFUNCTION("""COMPUTED_VALUE"""),"Yellow Wool")</f>
        <v>Yellow Wool</v>
      </c>
      <c r="W1284" s="174"/>
    </row>
    <row r="1285">
      <c r="B1285" s="175"/>
      <c r="R1285" s="176"/>
      <c r="U1285" s="172" t="str">
        <f>IFERROR(__xludf.DUMMYFUNCTION("""COMPUTED_VALUE"""),"")</f>
        <v/>
      </c>
      <c r="V1285" s="173" t="str">
        <f>IFERROR(__xludf.DUMMYFUNCTION("""COMPUTED_VALUE"""),"Zombie Head")</f>
        <v>Zombie Head</v>
      </c>
      <c r="W1285" s="174"/>
    </row>
  </sheetData>
  <mergeCells count="915">
    <mergeCell ref="D191:G191"/>
    <mergeCell ref="H191:R191"/>
    <mergeCell ref="B189:C189"/>
    <mergeCell ref="D189:G189"/>
    <mergeCell ref="H189:R189"/>
    <mergeCell ref="B190:C190"/>
    <mergeCell ref="D190:G190"/>
    <mergeCell ref="H190:R190"/>
    <mergeCell ref="B191:C191"/>
    <mergeCell ref="D194:G194"/>
    <mergeCell ref="H194:R194"/>
    <mergeCell ref="B192:C192"/>
    <mergeCell ref="D192:G192"/>
    <mergeCell ref="H192:R192"/>
    <mergeCell ref="B193:C193"/>
    <mergeCell ref="D193:G193"/>
    <mergeCell ref="H193:R193"/>
    <mergeCell ref="B194:C194"/>
    <mergeCell ref="D197:G197"/>
    <mergeCell ref="H197:R197"/>
    <mergeCell ref="B195:C195"/>
    <mergeCell ref="D195:G195"/>
    <mergeCell ref="H195:R195"/>
    <mergeCell ref="B196:C196"/>
    <mergeCell ref="D196:G196"/>
    <mergeCell ref="H196:R196"/>
    <mergeCell ref="B197:C197"/>
    <mergeCell ref="D200:G200"/>
    <mergeCell ref="H200:R200"/>
    <mergeCell ref="B198:C198"/>
    <mergeCell ref="D198:G198"/>
    <mergeCell ref="H198:R198"/>
    <mergeCell ref="B199:C199"/>
    <mergeCell ref="D199:G199"/>
    <mergeCell ref="H199:R199"/>
    <mergeCell ref="B200:C200"/>
    <mergeCell ref="D203:G203"/>
    <mergeCell ref="H203:R203"/>
    <mergeCell ref="B201:C201"/>
    <mergeCell ref="D201:G201"/>
    <mergeCell ref="H201:R201"/>
    <mergeCell ref="B202:C202"/>
    <mergeCell ref="D202:G202"/>
    <mergeCell ref="H202:R202"/>
    <mergeCell ref="B203:C203"/>
    <mergeCell ref="D206:G206"/>
    <mergeCell ref="H206:R206"/>
    <mergeCell ref="B204:C204"/>
    <mergeCell ref="D204:G204"/>
    <mergeCell ref="H204:R204"/>
    <mergeCell ref="B205:C205"/>
    <mergeCell ref="D205:G205"/>
    <mergeCell ref="H205:R205"/>
    <mergeCell ref="B206:C206"/>
    <mergeCell ref="D209:G209"/>
    <mergeCell ref="H209:R209"/>
    <mergeCell ref="B207:C207"/>
    <mergeCell ref="D207:G207"/>
    <mergeCell ref="H207:R207"/>
    <mergeCell ref="B208:C208"/>
    <mergeCell ref="D208:G208"/>
    <mergeCell ref="H208:R208"/>
    <mergeCell ref="B209:C209"/>
    <mergeCell ref="D212:G212"/>
    <mergeCell ref="H212:R212"/>
    <mergeCell ref="B210:C210"/>
    <mergeCell ref="D210:G210"/>
    <mergeCell ref="H210:R210"/>
    <mergeCell ref="B211:C211"/>
    <mergeCell ref="D211:G211"/>
    <mergeCell ref="H211:R211"/>
    <mergeCell ref="B212:C212"/>
    <mergeCell ref="D215:G215"/>
    <mergeCell ref="H215:R215"/>
    <mergeCell ref="B213:C213"/>
    <mergeCell ref="D213:G213"/>
    <mergeCell ref="H213:R213"/>
    <mergeCell ref="B214:C214"/>
    <mergeCell ref="D214:G214"/>
    <mergeCell ref="H214:R214"/>
    <mergeCell ref="B215:C215"/>
    <mergeCell ref="D218:G218"/>
    <mergeCell ref="H218:R218"/>
    <mergeCell ref="B216:C216"/>
    <mergeCell ref="D216:G216"/>
    <mergeCell ref="H216:R216"/>
    <mergeCell ref="B217:C217"/>
    <mergeCell ref="D217:G217"/>
    <mergeCell ref="H217:R217"/>
    <mergeCell ref="B218:C218"/>
    <mergeCell ref="D221:G221"/>
    <mergeCell ref="H221:R221"/>
    <mergeCell ref="B219:C219"/>
    <mergeCell ref="D219:G219"/>
    <mergeCell ref="H219:R219"/>
    <mergeCell ref="B220:C220"/>
    <mergeCell ref="D220:G220"/>
    <mergeCell ref="H220:R220"/>
    <mergeCell ref="B221:C221"/>
    <mergeCell ref="D224:G224"/>
    <mergeCell ref="H224:R224"/>
    <mergeCell ref="B222:C222"/>
    <mergeCell ref="D222:G222"/>
    <mergeCell ref="H222:R222"/>
    <mergeCell ref="B223:C223"/>
    <mergeCell ref="D223:G223"/>
    <mergeCell ref="H223:R223"/>
    <mergeCell ref="B224:C224"/>
    <mergeCell ref="D227:G227"/>
    <mergeCell ref="H227:R227"/>
    <mergeCell ref="B225:C225"/>
    <mergeCell ref="D225:G225"/>
    <mergeCell ref="H225:R225"/>
    <mergeCell ref="B226:C226"/>
    <mergeCell ref="D226:G226"/>
    <mergeCell ref="H226:R226"/>
    <mergeCell ref="B227:C227"/>
    <mergeCell ref="D230:G230"/>
    <mergeCell ref="H230:R230"/>
    <mergeCell ref="B228:C228"/>
    <mergeCell ref="D228:G228"/>
    <mergeCell ref="H228:R228"/>
    <mergeCell ref="B229:C229"/>
    <mergeCell ref="D229:G229"/>
    <mergeCell ref="H229:R229"/>
    <mergeCell ref="B230:C230"/>
    <mergeCell ref="D233:G233"/>
    <mergeCell ref="H233:R233"/>
    <mergeCell ref="B231:C231"/>
    <mergeCell ref="D231:G231"/>
    <mergeCell ref="H231:R231"/>
    <mergeCell ref="B232:C232"/>
    <mergeCell ref="D232:G232"/>
    <mergeCell ref="H232:R232"/>
    <mergeCell ref="B233:C233"/>
    <mergeCell ref="D236:G236"/>
    <mergeCell ref="H236:R236"/>
    <mergeCell ref="B234:C234"/>
    <mergeCell ref="D234:G234"/>
    <mergeCell ref="H234:R234"/>
    <mergeCell ref="B235:C235"/>
    <mergeCell ref="D235:G235"/>
    <mergeCell ref="H235:R235"/>
    <mergeCell ref="B236:C236"/>
    <mergeCell ref="D239:G239"/>
    <mergeCell ref="H239:R239"/>
    <mergeCell ref="B237:C237"/>
    <mergeCell ref="D237:G237"/>
    <mergeCell ref="H237:R237"/>
    <mergeCell ref="B238:C238"/>
    <mergeCell ref="D238:G238"/>
    <mergeCell ref="H238:R238"/>
    <mergeCell ref="B239:C239"/>
    <mergeCell ref="D242:G242"/>
    <mergeCell ref="H242:R242"/>
    <mergeCell ref="B240:C240"/>
    <mergeCell ref="D240:G240"/>
    <mergeCell ref="H240:R240"/>
    <mergeCell ref="B241:C241"/>
    <mergeCell ref="D241:G241"/>
    <mergeCell ref="H241:R241"/>
    <mergeCell ref="B242:C242"/>
    <mergeCell ref="D245:G245"/>
    <mergeCell ref="H245:R245"/>
    <mergeCell ref="B243:C243"/>
    <mergeCell ref="D243:G243"/>
    <mergeCell ref="H243:R243"/>
    <mergeCell ref="B244:C244"/>
    <mergeCell ref="D244:G244"/>
    <mergeCell ref="H244:R244"/>
    <mergeCell ref="B245:C245"/>
    <mergeCell ref="D248:G248"/>
    <mergeCell ref="H248:R248"/>
    <mergeCell ref="B246:C246"/>
    <mergeCell ref="D246:G246"/>
    <mergeCell ref="H246:R246"/>
    <mergeCell ref="B247:C247"/>
    <mergeCell ref="D247:G247"/>
    <mergeCell ref="H247:R247"/>
    <mergeCell ref="B248:C248"/>
    <mergeCell ref="D251:G251"/>
    <mergeCell ref="H251:R251"/>
    <mergeCell ref="B249:C249"/>
    <mergeCell ref="D249:G249"/>
    <mergeCell ref="H249:R249"/>
    <mergeCell ref="B250:C250"/>
    <mergeCell ref="D250:G250"/>
    <mergeCell ref="H250:R250"/>
    <mergeCell ref="B251:C251"/>
    <mergeCell ref="D254:G254"/>
    <mergeCell ref="H254:R254"/>
    <mergeCell ref="B252:C252"/>
    <mergeCell ref="D252:G252"/>
    <mergeCell ref="H252:R252"/>
    <mergeCell ref="B253:C253"/>
    <mergeCell ref="D253:G253"/>
    <mergeCell ref="H253:R253"/>
    <mergeCell ref="B254:C254"/>
    <mergeCell ref="D257:G257"/>
    <mergeCell ref="H257:R257"/>
    <mergeCell ref="B255:C255"/>
    <mergeCell ref="D255:G255"/>
    <mergeCell ref="H255:R255"/>
    <mergeCell ref="B256:C256"/>
    <mergeCell ref="D256:G256"/>
    <mergeCell ref="H256:R256"/>
    <mergeCell ref="B257:C257"/>
    <mergeCell ref="D260:G260"/>
    <mergeCell ref="H260:R260"/>
    <mergeCell ref="B258:C258"/>
    <mergeCell ref="D258:G258"/>
    <mergeCell ref="H258:R258"/>
    <mergeCell ref="B259:C259"/>
    <mergeCell ref="D259:G259"/>
    <mergeCell ref="H259:R259"/>
    <mergeCell ref="B260:C260"/>
    <mergeCell ref="D263:G263"/>
    <mergeCell ref="H263:R263"/>
    <mergeCell ref="B261:C261"/>
    <mergeCell ref="D261:G261"/>
    <mergeCell ref="H261:R261"/>
    <mergeCell ref="B262:C262"/>
    <mergeCell ref="D262:G262"/>
    <mergeCell ref="H262:R262"/>
    <mergeCell ref="B263:C263"/>
    <mergeCell ref="D266:G266"/>
    <mergeCell ref="H266:R266"/>
    <mergeCell ref="B264:C264"/>
    <mergeCell ref="D264:G264"/>
    <mergeCell ref="H264:R264"/>
    <mergeCell ref="B265:C265"/>
    <mergeCell ref="D265:G265"/>
    <mergeCell ref="H265:R265"/>
    <mergeCell ref="B266:C266"/>
    <mergeCell ref="D269:G269"/>
    <mergeCell ref="H269:R269"/>
    <mergeCell ref="B267:C267"/>
    <mergeCell ref="D267:G267"/>
    <mergeCell ref="H267:R267"/>
    <mergeCell ref="B268:C268"/>
    <mergeCell ref="D268:G268"/>
    <mergeCell ref="H268:R268"/>
    <mergeCell ref="B269:C269"/>
    <mergeCell ref="D272:G272"/>
    <mergeCell ref="H272:R272"/>
    <mergeCell ref="B270:C270"/>
    <mergeCell ref="D270:G270"/>
    <mergeCell ref="H270:R270"/>
    <mergeCell ref="B271:C271"/>
    <mergeCell ref="D271:G271"/>
    <mergeCell ref="H271:R271"/>
    <mergeCell ref="B272:C272"/>
    <mergeCell ref="D296:G296"/>
    <mergeCell ref="H296:R296"/>
    <mergeCell ref="B294:C294"/>
    <mergeCell ref="D294:G294"/>
    <mergeCell ref="H294:R294"/>
    <mergeCell ref="B295:C295"/>
    <mergeCell ref="D295:G295"/>
    <mergeCell ref="H295:R295"/>
    <mergeCell ref="B296:C296"/>
    <mergeCell ref="D299:G299"/>
    <mergeCell ref="H299:R299"/>
    <mergeCell ref="B297:C297"/>
    <mergeCell ref="D297:G297"/>
    <mergeCell ref="H297:R297"/>
    <mergeCell ref="B298:C298"/>
    <mergeCell ref="D298:G298"/>
    <mergeCell ref="H298:R298"/>
    <mergeCell ref="B299:C299"/>
    <mergeCell ref="D302:G302"/>
    <mergeCell ref="H302:R302"/>
    <mergeCell ref="B300:C300"/>
    <mergeCell ref="D300:G300"/>
    <mergeCell ref="H300:R300"/>
    <mergeCell ref="B301:C301"/>
    <mergeCell ref="D301:G301"/>
    <mergeCell ref="H301:R301"/>
    <mergeCell ref="B302:C302"/>
    <mergeCell ref="D305:G305"/>
    <mergeCell ref="H305:R305"/>
    <mergeCell ref="B303:C303"/>
    <mergeCell ref="D303:G303"/>
    <mergeCell ref="H303:R303"/>
    <mergeCell ref="B304:C304"/>
    <mergeCell ref="D304:G304"/>
    <mergeCell ref="H304:R304"/>
    <mergeCell ref="B305:C305"/>
    <mergeCell ref="D308:G308"/>
    <mergeCell ref="H308:R308"/>
    <mergeCell ref="B306:C306"/>
    <mergeCell ref="D306:G306"/>
    <mergeCell ref="H306:R306"/>
    <mergeCell ref="B307:C307"/>
    <mergeCell ref="D307:G307"/>
    <mergeCell ref="H307:R307"/>
    <mergeCell ref="B308:C308"/>
    <mergeCell ref="D77:G77"/>
    <mergeCell ref="H77:R77"/>
    <mergeCell ref="B75:C75"/>
    <mergeCell ref="D75:G75"/>
    <mergeCell ref="H75:R75"/>
    <mergeCell ref="B76:C76"/>
    <mergeCell ref="D76:G76"/>
    <mergeCell ref="H76:R76"/>
    <mergeCell ref="B77:C77"/>
    <mergeCell ref="D80:G80"/>
    <mergeCell ref="H80:R80"/>
    <mergeCell ref="B78:C78"/>
    <mergeCell ref="D78:G78"/>
    <mergeCell ref="H78:R78"/>
    <mergeCell ref="B79:C79"/>
    <mergeCell ref="D79:G79"/>
    <mergeCell ref="H79:R79"/>
    <mergeCell ref="B80:C80"/>
    <mergeCell ref="D83:G83"/>
    <mergeCell ref="H83:R83"/>
    <mergeCell ref="B81:C81"/>
    <mergeCell ref="D81:G81"/>
    <mergeCell ref="H81:R81"/>
    <mergeCell ref="B82:C82"/>
    <mergeCell ref="D82:G82"/>
    <mergeCell ref="H82:R82"/>
    <mergeCell ref="B83:C83"/>
    <mergeCell ref="D311:G311"/>
    <mergeCell ref="H311:R311"/>
    <mergeCell ref="B309:C309"/>
    <mergeCell ref="D309:G309"/>
    <mergeCell ref="H309:R309"/>
    <mergeCell ref="B310:C310"/>
    <mergeCell ref="D310:G310"/>
    <mergeCell ref="H310:R310"/>
    <mergeCell ref="B311:C311"/>
    <mergeCell ref="D275:G275"/>
    <mergeCell ref="H275:R275"/>
    <mergeCell ref="B273:C273"/>
    <mergeCell ref="D273:G273"/>
    <mergeCell ref="H273:R273"/>
    <mergeCell ref="B274:C274"/>
    <mergeCell ref="D274:G274"/>
    <mergeCell ref="H274:R274"/>
    <mergeCell ref="B275:C275"/>
    <mergeCell ref="D278:G278"/>
    <mergeCell ref="H278:R278"/>
    <mergeCell ref="B276:C276"/>
    <mergeCell ref="D276:G276"/>
    <mergeCell ref="H276:R276"/>
    <mergeCell ref="B277:C277"/>
    <mergeCell ref="D277:G277"/>
    <mergeCell ref="H277:R277"/>
    <mergeCell ref="B278:C278"/>
    <mergeCell ref="D281:G281"/>
    <mergeCell ref="H281:R281"/>
    <mergeCell ref="B279:C279"/>
    <mergeCell ref="D279:G279"/>
    <mergeCell ref="H279:R279"/>
    <mergeCell ref="B280:C280"/>
    <mergeCell ref="D280:G280"/>
    <mergeCell ref="H280:R280"/>
    <mergeCell ref="B281:C281"/>
    <mergeCell ref="D284:G284"/>
    <mergeCell ref="H284:R284"/>
    <mergeCell ref="B282:C282"/>
    <mergeCell ref="D282:G282"/>
    <mergeCell ref="H282:R282"/>
    <mergeCell ref="B283:C283"/>
    <mergeCell ref="D283:G283"/>
    <mergeCell ref="H283:R283"/>
    <mergeCell ref="B284:C284"/>
    <mergeCell ref="D287:G287"/>
    <mergeCell ref="H287:R287"/>
    <mergeCell ref="B285:C285"/>
    <mergeCell ref="D285:G285"/>
    <mergeCell ref="H285:R285"/>
    <mergeCell ref="B286:C286"/>
    <mergeCell ref="D286:G286"/>
    <mergeCell ref="H286:R286"/>
    <mergeCell ref="B287:C287"/>
    <mergeCell ref="D290:G290"/>
    <mergeCell ref="H290:R290"/>
    <mergeCell ref="B288:C288"/>
    <mergeCell ref="D288:G288"/>
    <mergeCell ref="H288:R288"/>
    <mergeCell ref="B289:C289"/>
    <mergeCell ref="D289:G289"/>
    <mergeCell ref="H289:R289"/>
    <mergeCell ref="B290:C290"/>
    <mergeCell ref="D293:G293"/>
    <mergeCell ref="H293:R293"/>
    <mergeCell ref="B291:C291"/>
    <mergeCell ref="D291:G291"/>
    <mergeCell ref="H291:R291"/>
    <mergeCell ref="B292:C292"/>
    <mergeCell ref="D292:G292"/>
    <mergeCell ref="H292:R292"/>
    <mergeCell ref="B293:C293"/>
    <mergeCell ref="H21:M21"/>
    <mergeCell ref="H22:M22"/>
    <mergeCell ref="H23:M23"/>
    <mergeCell ref="H24:M24"/>
    <mergeCell ref="E18:G18"/>
    <mergeCell ref="H18:M18"/>
    <mergeCell ref="B19:C19"/>
    <mergeCell ref="E19:G19"/>
    <mergeCell ref="H19:M19"/>
    <mergeCell ref="E20:G20"/>
    <mergeCell ref="H20:M20"/>
    <mergeCell ref="B25:C25"/>
    <mergeCell ref="E25:G25"/>
    <mergeCell ref="H25:M25"/>
    <mergeCell ref="U25:W25"/>
    <mergeCell ref="B26:C26"/>
    <mergeCell ref="E26:G26"/>
    <mergeCell ref="H26:M26"/>
    <mergeCell ref="U26:W26"/>
    <mergeCell ref="B30:M30"/>
    <mergeCell ref="P30:W30"/>
    <mergeCell ref="B27:C27"/>
    <mergeCell ref="E27:G27"/>
    <mergeCell ref="H27:M27"/>
    <mergeCell ref="U27:W27"/>
    <mergeCell ref="B28:C28"/>
    <mergeCell ref="E28:G28"/>
    <mergeCell ref="H28:M28"/>
    <mergeCell ref="U47:U48"/>
    <mergeCell ref="V47:V48"/>
    <mergeCell ref="D44:D45"/>
    <mergeCell ref="E44:I45"/>
    <mergeCell ref="J44:M45"/>
    <mergeCell ref="P44:P45"/>
    <mergeCell ref="Q44:Q45"/>
    <mergeCell ref="U44:U45"/>
    <mergeCell ref="V44:V45"/>
    <mergeCell ref="B44:C45"/>
    <mergeCell ref="B47:C48"/>
    <mergeCell ref="D47:D48"/>
    <mergeCell ref="E47:I48"/>
    <mergeCell ref="J47:M48"/>
    <mergeCell ref="P47:P48"/>
    <mergeCell ref="Q47:Q48"/>
    <mergeCell ref="G52:G53"/>
    <mergeCell ref="I52:K53"/>
    <mergeCell ref="P53:P54"/>
    <mergeCell ref="Q53:Q54"/>
    <mergeCell ref="U53:U54"/>
    <mergeCell ref="V53:V54"/>
    <mergeCell ref="B50:G51"/>
    <mergeCell ref="I50:M51"/>
    <mergeCell ref="P50:P51"/>
    <mergeCell ref="Q50:Q51"/>
    <mergeCell ref="U50:U51"/>
    <mergeCell ref="V50:V51"/>
    <mergeCell ref="B52:C53"/>
    <mergeCell ref="L52:M53"/>
    <mergeCell ref="J54:K55"/>
    <mergeCell ref="L54:L55"/>
    <mergeCell ref="M54:M55"/>
    <mergeCell ref="P56:P57"/>
    <mergeCell ref="Q56:Q57"/>
    <mergeCell ref="U56:U57"/>
    <mergeCell ref="V56:V57"/>
    <mergeCell ref="I57:M58"/>
    <mergeCell ref="D52:E53"/>
    <mergeCell ref="F52:F53"/>
    <mergeCell ref="B54:C55"/>
    <mergeCell ref="D54:E55"/>
    <mergeCell ref="F54:F55"/>
    <mergeCell ref="G54:G55"/>
    <mergeCell ref="I54:I55"/>
    <mergeCell ref="B57:G58"/>
    <mergeCell ref="B59:C59"/>
    <mergeCell ref="D59:E59"/>
    <mergeCell ref="I59:J59"/>
    <mergeCell ref="B60:C60"/>
    <mergeCell ref="D60:E60"/>
    <mergeCell ref="I60:J60"/>
    <mergeCell ref="H4:M4"/>
    <mergeCell ref="P4:W4"/>
    <mergeCell ref="A1:X1"/>
    <mergeCell ref="B2:E2"/>
    <mergeCell ref="F2:G2"/>
    <mergeCell ref="H2:K2"/>
    <mergeCell ref="N2:Q2"/>
    <mergeCell ref="S2:V2"/>
    <mergeCell ref="B4:G4"/>
    <mergeCell ref="P7:R7"/>
    <mergeCell ref="S7:W7"/>
    <mergeCell ref="B5:G5"/>
    <mergeCell ref="H5:M5"/>
    <mergeCell ref="P5:R5"/>
    <mergeCell ref="S5:W5"/>
    <mergeCell ref="S6:W6"/>
    <mergeCell ref="B7:G7"/>
    <mergeCell ref="H7:M7"/>
    <mergeCell ref="B8:G8"/>
    <mergeCell ref="H8:M8"/>
    <mergeCell ref="P8:R8"/>
    <mergeCell ref="S8:W8"/>
    <mergeCell ref="B10:G10"/>
    <mergeCell ref="H10:M10"/>
    <mergeCell ref="P10:W10"/>
    <mergeCell ref="B11:G11"/>
    <mergeCell ref="H11:M11"/>
    <mergeCell ref="P11:R11"/>
    <mergeCell ref="P12:R12"/>
    <mergeCell ref="B13:G13"/>
    <mergeCell ref="H13:M13"/>
    <mergeCell ref="P13:R13"/>
    <mergeCell ref="B14:G14"/>
    <mergeCell ref="H14:M14"/>
    <mergeCell ref="P14:R14"/>
    <mergeCell ref="S14:W14"/>
    <mergeCell ref="B16:M16"/>
    <mergeCell ref="P16:W16"/>
    <mergeCell ref="B18:C18"/>
    <mergeCell ref="E23:G23"/>
    <mergeCell ref="E24:G24"/>
    <mergeCell ref="B20:C20"/>
    <mergeCell ref="B21:C21"/>
    <mergeCell ref="E21:G21"/>
    <mergeCell ref="B22:C22"/>
    <mergeCell ref="E22:G22"/>
    <mergeCell ref="B23:C23"/>
    <mergeCell ref="B24:C24"/>
    <mergeCell ref="Q32:Q33"/>
    <mergeCell ref="U32:U33"/>
    <mergeCell ref="V32:V33"/>
    <mergeCell ref="B32:C33"/>
    <mergeCell ref="D32:D33"/>
    <mergeCell ref="E32:G33"/>
    <mergeCell ref="I32:I33"/>
    <mergeCell ref="J32:J33"/>
    <mergeCell ref="K32:M33"/>
    <mergeCell ref="P32:P33"/>
    <mergeCell ref="Q35:Q36"/>
    <mergeCell ref="U35:U36"/>
    <mergeCell ref="V35:V36"/>
    <mergeCell ref="B34:E34"/>
    <mergeCell ref="I34:K34"/>
    <mergeCell ref="B35:F36"/>
    <mergeCell ref="G35:G36"/>
    <mergeCell ref="I35:L36"/>
    <mergeCell ref="M35:M36"/>
    <mergeCell ref="P35:P36"/>
    <mergeCell ref="Q38:Q39"/>
    <mergeCell ref="U38:U39"/>
    <mergeCell ref="V38:V39"/>
    <mergeCell ref="B38:C39"/>
    <mergeCell ref="D38:D39"/>
    <mergeCell ref="E38:G39"/>
    <mergeCell ref="I38:I39"/>
    <mergeCell ref="J38:J39"/>
    <mergeCell ref="K38:M39"/>
    <mergeCell ref="P38:P39"/>
    <mergeCell ref="Q41:Q42"/>
    <mergeCell ref="U41:U42"/>
    <mergeCell ref="V41:V42"/>
    <mergeCell ref="B41:C42"/>
    <mergeCell ref="D41:D42"/>
    <mergeCell ref="E41:G42"/>
    <mergeCell ref="I41:I42"/>
    <mergeCell ref="J41:J42"/>
    <mergeCell ref="K41:M42"/>
    <mergeCell ref="P41:P42"/>
    <mergeCell ref="B62:C62"/>
    <mergeCell ref="D62:E62"/>
    <mergeCell ref="F62:G62"/>
    <mergeCell ref="I62:M62"/>
    <mergeCell ref="B64:R64"/>
    <mergeCell ref="U64:W64"/>
    <mergeCell ref="B65:C65"/>
    <mergeCell ref="H68:R68"/>
    <mergeCell ref="H69:R69"/>
    <mergeCell ref="H70:R70"/>
    <mergeCell ref="D65:G65"/>
    <mergeCell ref="H65:R65"/>
    <mergeCell ref="B66:C66"/>
    <mergeCell ref="D66:G66"/>
    <mergeCell ref="H66:R66"/>
    <mergeCell ref="D67:G67"/>
    <mergeCell ref="H67:R67"/>
    <mergeCell ref="B71:C71"/>
    <mergeCell ref="D71:G71"/>
    <mergeCell ref="H71:R71"/>
    <mergeCell ref="B67:C67"/>
    <mergeCell ref="B68:C68"/>
    <mergeCell ref="D68:G68"/>
    <mergeCell ref="B69:C69"/>
    <mergeCell ref="D69:G69"/>
    <mergeCell ref="B70:C70"/>
    <mergeCell ref="D70:G70"/>
    <mergeCell ref="D74:G74"/>
    <mergeCell ref="H74:R74"/>
    <mergeCell ref="B72:C72"/>
    <mergeCell ref="D72:G72"/>
    <mergeCell ref="H72:R72"/>
    <mergeCell ref="B73:C73"/>
    <mergeCell ref="D73:G73"/>
    <mergeCell ref="H73:R73"/>
    <mergeCell ref="B74:C74"/>
    <mergeCell ref="D86:G86"/>
    <mergeCell ref="H86:R86"/>
    <mergeCell ref="B84:C84"/>
    <mergeCell ref="D84:G84"/>
    <mergeCell ref="H84:R84"/>
    <mergeCell ref="B85:C85"/>
    <mergeCell ref="D85:G85"/>
    <mergeCell ref="H85:R85"/>
    <mergeCell ref="B86:C86"/>
    <mergeCell ref="D89:G89"/>
    <mergeCell ref="H89:R89"/>
    <mergeCell ref="B87:C87"/>
    <mergeCell ref="D87:G87"/>
    <mergeCell ref="H87:R87"/>
    <mergeCell ref="B88:C88"/>
    <mergeCell ref="D88:G88"/>
    <mergeCell ref="H88:R88"/>
    <mergeCell ref="B89:C89"/>
    <mergeCell ref="D92:G92"/>
    <mergeCell ref="H92:R92"/>
    <mergeCell ref="B90:C90"/>
    <mergeCell ref="D90:G90"/>
    <mergeCell ref="H90:R90"/>
    <mergeCell ref="B91:C91"/>
    <mergeCell ref="D91:G91"/>
    <mergeCell ref="H91:R91"/>
    <mergeCell ref="B92:C92"/>
    <mergeCell ref="D95:G95"/>
    <mergeCell ref="H95:R95"/>
    <mergeCell ref="B93:C93"/>
    <mergeCell ref="D93:G93"/>
    <mergeCell ref="H93:R93"/>
    <mergeCell ref="B94:C94"/>
    <mergeCell ref="D94:G94"/>
    <mergeCell ref="H94:R94"/>
    <mergeCell ref="B95:C95"/>
    <mergeCell ref="D98:G98"/>
    <mergeCell ref="H98:R98"/>
    <mergeCell ref="B96:C96"/>
    <mergeCell ref="D96:G96"/>
    <mergeCell ref="H96:R96"/>
    <mergeCell ref="B97:C97"/>
    <mergeCell ref="D97:G97"/>
    <mergeCell ref="H97:R97"/>
    <mergeCell ref="B98:C98"/>
    <mergeCell ref="D101:G101"/>
    <mergeCell ref="H101:R101"/>
    <mergeCell ref="B99:C99"/>
    <mergeCell ref="D99:G99"/>
    <mergeCell ref="H99:R99"/>
    <mergeCell ref="B100:C100"/>
    <mergeCell ref="D100:G100"/>
    <mergeCell ref="H100:R100"/>
    <mergeCell ref="B101:C101"/>
    <mergeCell ref="D104:G104"/>
    <mergeCell ref="H104:R104"/>
    <mergeCell ref="B102:C102"/>
    <mergeCell ref="D102:G102"/>
    <mergeCell ref="H102:R102"/>
    <mergeCell ref="B103:C103"/>
    <mergeCell ref="D103:G103"/>
    <mergeCell ref="H103:R103"/>
    <mergeCell ref="B104:C104"/>
    <mergeCell ref="D107:G107"/>
    <mergeCell ref="H107:R107"/>
    <mergeCell ref="B105:C105"/>
    <mergeCell ref="D105:G105"/>
    <mergeCell ref="H105:R105"/>
    <mergeCell ref="B106:C106"/>
    <mergeCell ref="D106:G106"/>
    <mergeCell ref="H106:R106"/>
    <mergeCell ref="B107:C107"/>
    <mergeCell ref="D110:G110"/>
    <mergeCell ref="H110:R110"/>
    <mergeCell ref="B108:C108"/>
    <mergeCell ref="D108:G108"/>
    <mergeCell ref="H108:R108"/>
    <mergeCell ref="B109:C109"/>
    <mergeCell ref="D109:G109"/>
    <mergeCell ref="H109:R109"/>
    <mergeCell ref="B110:C110"/>
    <mergeCell ref="D113:G113"/>
    <mergeCell ref="H113:R113"/>
    <mergeCell ref="B111:C111"/>
    <mergeCell ref="D111:G111"/>
    <mergeCell ref="H111:R111"/>
    <mergeCell ref="B112:C112"/>
    <mergeCell ref="D112:G112"/>
    <mergeCell ref="H112:R112"/>
    <mergeCell ref="B113:C113"/>
    <mergeCell ref="D116:G116"/>
    <mergeCell ref="H116:R116"/>
    <mergeCell ref="B114:C114"/>
    <mergeCell ref="D114:G114"/>
    <mergeCell ref="H114:R114"/>
    <mergeCell ref="B115:C115"/>
    <mergeCell ref="D115:G115"/>
    <mergeCell ref="H115:R115"/>
    <mergeCell ref="B116:C116"/>
    <mergeCell ref="D119:G119"/>
    <mergeCell ref="H119:R119"/>
    <mergeCell ref="B117:C117"/>
    <mergeCell ref="D117:G117"/>
    <mergeCell ref="H117:R117"/>
    <mergeCell ref="B118:C118"/>
    <mergeCell ref="D118:G118"/>
    <mergeCell ref="H118:R118"/>
    <mergeCell ref="B119:C119"/>
    <mergeCell ref="D122:G122"/>
    <mergeCell ref="H122:R122"/>
    <mergeCell ref="B120:C120"/>
    <mergeCell ref="D120:G120"/>
    <mergeCell ref="H120:R120"/>
    <mergeCell ref="B121:C121"/>
    <mergeCell ref="D121:G121"/>
    <mergeCell ref="H121:R121"/>
    <mergeCell ref="B122:C122"/>
    <mergeCell ref="D125:G125"/>
    <mergeCell ref="H125:R125"/>
    <mergeCell ref="B123:C123"/>
    <mergeCell ref="D123:G123"/>
    <mergeCell ref="H123:R123"/>
    <mergeCell ref="B124:C124"/>
    <mergeCell ref="D124:G124"/>
    <mergeCell ref="H124:R124"/>
    <mergeCell ref="B125:C125"/>
    <mergeCell ref="D128:G128"/>
    <mergeCell ref="H128:R128"/>
    <mergeCell ref="B126:C126"/>
    <mergeCell ref="D126:G126"/>
    <mergeCell ref="H126:R126"/>
    <mergeCell ref="B127:C127"/>
    <mergeCell ref="D127:G127"/>
    <mergeCell ref="H127:R127"/>
    <mergeCell ref="B128:C128"/>
    <mergeCell ref="D131:G131"/>
    <mergeCell ref="H131:R131"/>
    <mergeCell ref="B129:C129"/>
    <mergeCell ref="D129:G129"/>
    <mergeCell ref="H129:R129"/>
    <mergeCell ref="B130:C130"/>
    <mergeCell ref="D130:G130"/>
    <mergeCell ref="H130:R130"/>
    <mergeCell ref="B131:C131"/>
    <mergeCell ref="D134:G134"/>
    <mergeCell ref="H134:R134"/>
    <mergeCell ref="B132:C132"/>
    <mergeCell ref="D132:G132"/>
    <mergeCell ref="H132:R132"/>
    <mergeCell ref="B133:C133"/>
    <mergeCell ref="D133:G133"/>
    <mergeCell ref="H133:R133"/>
    <mergeCell ref="B134:C134"/>
    <mergeCell ref="D137:G137"/>
    <mergeCell ref="H137:R137"/>
    <mergeCell ref="B135:C135"/>
    <mergeCell ref="D135:G135"/>
    <mergeCell ref="H135:R135"/>
    <mergeCell ref="B136:C136"/>
    <mergeCell ref="D136:G136"/>
    <mergeCell ref="H136:R136"/>
    <mergeCell ref="B137:C137"/>
    <mergeCell ref="D140:G140"/>
    <mergeCell ref="H140:R140"/>
    <mergeCell ref="B138:C138"/>
    <mergeCell ref="D138:G138"/>
    <mergeCell ref="H138:R138"/>
    <mergeCell ref="B139:C139"/>
    <mergeCell ref="D139:G139"/>
    <mergeCell ref="H139:R139"/>
    <mergeCell ref="B140:C140"/>
    <mergeCell ref="D143:G143"/>
    <mergeCell ref="H143:R143"/>
    <mergeCell ref="B141:C141"/>
    <mergeCell ref="D141:G141"/>
    <mergeCell ref="H141:R141"/>
    <mergeCell ref="B142:C142"/>
    <mergeCell ref="D142:G142"/>
    <mergeCell ref="H142:R142"/>
    <mergeCell ref="B143:C143"/>
    <mergeCell ref="D146:G146"/>
    <mergeCell ref="H146:R146"/>
    <mergeCell ref="B144:C144"/>
    <mergeCell ref="D144:G144"/>
    <mergeCell ref="H144:R144"/>
    <mergeCell ref="B145:C145"/>
    <mergeCell ref="D145:G145"/>
    <mergeCell ref="H145:R145"/>
    <mergeCell ref="B146:C146"/>
    <mergeCell ref="D149:G149"/>
    <mergeCell ref="H149:R149"/>
    <mergeCell ref="B147:C147"/>
    <mergeCell ref="D147:G147"/>
    <mergeCell ref="H147:R147"/>
    <mergeCell ref="B148:C148"/>
    <mergeCell ref="D148:G148"/>
    <mergeCell ref="H148:R148"/>
    <mergeCell ref="B149:C149"/>
    <mergeCell ref="D152:G152"/>
    <mergeCell ref="H152:R152"/>
    <mergeCell ref="B150:C150"/>
    <mergeCell ref="D150:G150"/>
    <mergeCell ref="H150:R150"/>
    <mergeCell ref="B151:C151"/>
    <mergeCell ref="D151:G151"/>
    <mergeCell ref="H151:R151"/>
    <mergeCell ref="B152:C152"/>
    <mergeCell ref="D155:G155"/>
    <mergeCell ref="H155:R155"/>
    <mergeCell ref="B153:C153"/>
    <mergeCell ref="D153:G153"/>
    <mergeCell ref="H153:R153"/>
    <mergeCell ref="B154:C154"/>
    <mergeCell ref="D154:G154"/>
    <mergeCell ref="H154:R154"/>
    <mergeCell ref="B155:C155"/>
    <mergeCell ref="D158:G158"/>
    <mergeCell ref="H158:R158"/>
    <mergeCell ref="B156:C156"/>
    <mergeCell ref="D156:G156"/>
    <mergeCell ref="H156:R156"/>
    <mergeCell ref="B157:C157"/>
    <mergeCell ref="D157:G157"/>
    <mergeCell ref="H157:R157"/>
    <mergeCell ref="B158:C158"/>
    <mergeCell ref="D161:G161"/>
    <mergeCell ref="H161:R161"/>
    <mergeCell ref="B159:C159"/>
    <mergeCell ref="D159:G159"/>
    <mergeCell ref="H159:R159"/>
    <mergeCell ref="B160:C160"/>
    <mergeCell ref="D160:G160"/>
    <mergeCell ref="H160:R160"/>
    <mergeCell ref="B161:C161"/>
    <mergeCell ref="D164:G164"/>
    <mergeCell ref="H164:R164"/>
    <mergeCell ref="B162:C162"/>
    <mergeCell ref="D162:G162"/>
    <mergeCell ref="H162:R162"/>
    <mergeCell ref="B163:C163"/>
    <mergeCell ref="D163:G163"/>
    <mergeCell ref="H163:R163"/>
    <mergeCell ref="B164:C164"/>
    <mergeCell ref="D167:G167"/>
    <mergeCell ref="H167:R167"/>
    <mergeCell ref="B165:C165"/>
    <mergeCell ref="D165:G165"/>
    <mergeCell ref="H165:R165"/>
    <mergeCell ref="B166:C166"/>
    <mergeCell ref="D166:G166"/>
    <mergeCell ref="H166:R166"/>
    <mergeCell ref="B167:C167"/>
    <mergeCell ref="D170:G170"/>
    <mergeCell ref="H170:R170"/>
    <mergeCell ref="B168:C168"/>
    <mergeCell ref="D168:G168"/>
    <mergeCell ref="H168:R168"/>
    <mergeCell ref="B169:C169"/>
    <mergeCell ref="D169:G169"/>
    <mergeCell ref="H169:R169"/>
    <mergeCell ref="B170:C170"/>
    <mergeCell ref="D173:G173"/>
    <mergeCell ref="H173:R173"/>
    <mergeCell ref="B171:C171"/>
    <mergeCell ref="D171:G171"/>
    <mergeCell ref="H171:R171"/>
    <mergeCell ref="B172:C172"/>
    <mergeCell ref="D172:G172"/>
    <mergeCell ref="H172:R172"/>
    <mergeCell ref="B173:C173"/>
    <mergeCell ref="D176:G176"/>
    <mergeCell ref="H176:R176"/>
    <mergeCell ref="B174:C174"/>
    <mergeCell ref="D174:G174"/>
    <mergeCell ref="H174:R174"/>
    <mergeCell ref="B175:C175"/>
    <mergeCell ref="D175:G175"/>
    <mergeCell ref="H175:R175"/>
    <mergeCell ref="B176:C176"/>
    <mergeCell ref="D179:G179"/>
    <mergeCell ref="H179:R179"/>
    <mergeCell ref="B177:C177"/>
    <mergeCell ref="D177:G177"/>
    <mergeCell ref="H177:R177"/>
    <mergeCell ref="B178:C178"/>
    <mergeCell ref="D178:G178"/>
    <mergeCell ref="H178:R178"/>
    <mergeCell ref="B179:C179"/>
    <mergeCell ref="D182:G182"/>
    <mergeCell ref="H182:R182"/>
    <mergeCell ref="B180:C180"/>
    <mergeCell ref="D180:G180"/>
    <mergeCell ref="H180:R180"/>
    <mergeCell ref="B181:C181"/>
    <mergeCell ref="D181:G181"/>
    <mergeCell ref="H181:R181"/>
    <mergeCell ref="B182:C182"/>
    <mergeCell ref="D185:G185"/>
    <mergeCell ref="H185:R185"/>
    <mergeCell ref="B183:C183"/>
    <mergeCell ref="D183:G183"/>
    <mergeCell ref="H183:R183"/>
    <mergeCell ref="B184:C184"/>
    <mergeCell ref="D184:G184"/>
    <mergeCell ref="H184:R184"/>
    <mergeCell ref="B185:C185"/>
    <mergeCell ref="D188:G188"/>
    <mergeCell ref="H188:R188"/>
    <mergeCell ref="B186:C186"/>
    <mergeCell ref="D186:G186"/>
    <mergeCell ref="H186:R186"/>
    <mergeCell ref="B187:C187"/>
    <mergeCell ref="D187:G187"/>
    <mergeCell ref="H187:R187"/>
    <mergeCell ref="B188:C188"/>
  </mergeCells>
  <conditionalFormatting sqref="G35:G36">
    <cfRule type="cellIs" dxfId="0" priority="1" operator="lessThanOrEqual">
      <formula>1200</formula>
    </cfRule>
  </conditionalFormatting>
  <conditionalFormatting sqref="G35:G36">
    <cfRule type="cellIs" dxfId="1" priority="2" operator="greaterThan">
      <formula>1200</formula>
    </cfRule>
  </conditionalFormatting>
  <conditionalFormatting sqref="M35:M36">
    <cfRule type="cellIs" dxfId="0" priority="3" operator="lessThanOrEqual">
      <formula>125</formula>
    </cfRule>
  </conditionalFormatting>
  <conditionalFormatting sqref="M35:M36">
    <cfRule type="cellIs" dxfId="1" priority="4" operator="greaterThan">
      <formula>125</formula>
    </cfRule>
  </conditionalFormatting>
  <conditionalFormatting sqref="I32:M33">
    <cfRule type="expression" dxfId="2" priority="5">
      <formula>$J$5=TRUE</formula>
    </cfRule>
  </conditionalFormatting>
  <conditionalFormatting sqref="I41:M42">
    <cfRule type="expression" dxfId="2" priority="6">
      <formula>$J$11=TRUE</formula>
    </cfRule>
  </conditionalFormatting>
  <conditionalFormatting sqref="I38:M39">
    <cfRule type="expression" dxfId="2" priority="7">
      <formula>$J$9=TRUE</formula>
    </cfRule>
  </conditionalFormatting>
  <conditionalFormatting sqref="B18:M28">
    <cfRule type="expression" dxfId="3" priority="8">
      <formula>$D18</formula>
    </cfRule>
  </conditionalFormatting>
  <conditionalFormatting sqref="P32:R57">
    <cfRule type="expression" dxfId="3" priority="9">
      <formula>$Q32</formula>
    </cfRule>
  </conditionalFormatting>
  <conditionalFormatting sqref="P32:R57">
    <cfRule type="expression" dxfId="3" priority="10">
      <formula>$Q31</formula>
    </cfRule>
  </conditionalFormatting>
  <conditionalFormatting sqref="B32:G42">
    <cfRule type="expression" dxfId="3" priority="11">
      <formula>$D32</formula>
    </cfRule>
  </conditionalFormatting>
  <conditionalFormatting sqref="B44:M48">
    <cfRule type="expression" dxfId="3" priority="12">
      <formula>$D44</formula>
    </cfRule>
  </conditionalFormatting>
  <conditionalFormatting sqref="U32:W57">
    <cfRule type="expression" dxfId="3" priority="13">
      <formula>$V32</formula>
    </cfRule>
  </conditionalFormatting>
  <conditionalFormatting sqref="U32:W57">
    <cfRule type="expression" dxfId="3" priority="14">
      <formula>$V31</formula>
    </cfRule>
  </conditionalFormatting>
  <conditionalFormatting sqref="P19:R28">
    <cfRule type="expression" dxfId="3" priority="15">
      <formula>$Q19</formula>
    </cfRule>
  </conditionalFormatting>
  <conditionalFormatting sqref="U19:W23">
    <cfRule type="expression" dxfId="3" priority="16">
      <formula>$V19</formula>
    </cfRule>
  </conditionalFormatting>
  <hyperlinks>
    <hyperlink r:id="rId2" location="gid=0" ref="P5"/>
    <hyperlink r:id="rId3" ref="S5"/>
    <hyperlink r:id="rId4" ref="P6"/>
    <hyperlink r:id="rId5" ref="S6"/>
    <hyperlink r:id="rId6" ref="P7"/>
    <hyperlink r:id="rId7" ref="S7"/>
    <hyperlink r:id="rId8" ref="P8"/>
    <hyperlink r:id="rId9" ref="S8"/>
    <hyperlink r:id="rId10" ref="P11"/>
    <hyperlink r:id="rId11" ref="P12"/>
    <hyperlink r:id="rId12" ref="P13"/>
    <hyperlink r:id="rId13" ref="I62"/>
  </hyperlinks>
  <drawing r:id="rId14"/>
  <legacyDrawing r:id="rId15"/>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0000"/>
    <outlinePr summaryBelow="0" summaryRight="0"/>
  </sheetPr>
  <sheetViews>
    <sheetView workbookViewId="0"/>
  </sheetViews>
  <sheetFormatPr customHeight="1" defaultColWidth="12.63" defaultRowHeight="15.75"/>
  <cols>
    <col customWidth="1" min="1" max="1" width="5.13"/>
    <col customWidth="1" min="2" max="4" width="2.63"/>
    <col customWidth="1" min="5" max="5" width="10.13"/>
    <col customWidth="1" min="6" max="6" width="5.13"/>
    <col customWidth="1" min="7" max="7" width="12.63"/>
    <col customWidth="1" min="8" max="8" width="2.63"/>
    <col customWidth="1" min="9" max="9" width="5.13"/>
    <col customWidth="1" min="10" max="10" width="2.63"/>
    <col customWidth="1" min="11" max="11" width="10.13"/>
    <col customWidth="1" min="12" max="12" width="5.13"/>
    <col customWidth="1" min="13" max="13" width="12.63"/>
    <col customWidth="1" min="14" max="14" width="5.13"/>
    <col customWidth="1" hidden="1" min="15" max="15" width="11.13"/>
    <col customWidth="1" min="16" max="16" width="5.13"/>
    <col customWidth="1" min="17" max="17" width="2.63"/>
    <col customWidth="1" min="18" max="18" width="30.13"/>
    <col customWidth="1" min="19" max="19" width="2.63"/>
    <col customWidth="1" hidden="1" min="20" max="20" width="10.63"/>
    <col customWidth="1" min="21" max="21" width="5.13"/>
    <col customWidth="1" min="22" max="22" width="2.63"/>
    <col customWidth="1" min="23" max="23" width="30.13"/>
    <col customWidth="1" min="24" max="24" width="5.13"/>
  </cols>
  <sheetData>
    <row r="1">
      <c r="A1" s="1" t="str">
        <f>CONCATENATE(F2,if(L2," Co-op", "'s Solo")," Blaze and Caves Run")</f>
        <v>Player's Solo Blaze and Caves Run</v>
      </c>
    </row>
    <row r="2">
      <c r="A2" s="2"/>
      <c r="B2" s="3" t="s">
        <v>0</v>
      </c>
      <c r="C2" s="4"/>
      <c r="D2" s="4"/>
      <c r="E2" s="5"/>
      <c r="F2" s="6" t="s">
        <v>1</v>
      </c>
      <c r="G2" s="5"/>
      <c r="H2" s="3" t="s">
        <v>2</v>
      </c>
      <c r="I2" s="4"/>
      <c r="J2" s="4"/>
      <c r="K2" s="5"/>
      <c r="L2" s="7" t="b">
        <v>0</v>
      </c>
      <c r="M2" s="8"/>
      <c r="N2" s="9" t="s">
        <v>3</v>
      </c>
      <c r="O2" s="4"/>
      <c r="P2" s="4"/>
      <c r="Q2" s="5"/>
      <c r="R2" s="10">
        <v>1.21</v>
      </c>
      <c r="S2" s="9" t="s">
        <v>4</v>
      </c>
      <c r="T2" s="4"/>
      <c r="U2" s="4"/>
      <c r="V2" s="5"/>
      <c r="W2" s="10"/>
      <c r="X2" s="11"/>
    </row>
    <row r="4">
      <c r="B4" s="12" t="s">
        <v>5</v>
      </c>
      <c r="H4" s="13" t="str">
        <f>CONCATENATE(COUNTIF(Advancements!G2:G1285, True), "/", COUNTA(Advancements!O2:O1285))</f>
        <v>0/1142</v>
      </c>
      <c r="P4" s="14" t="s">
        <v>6</v>
      </c>
      <c r="Q4" s="15"/>
      <c r="R4" s="15"/>
      <c r="S4" s="15"/>
      <c r="T4" s="15"/>
      <c r="U4" s="15"/>
      <c r="V4" s="15"/>
      <c r="W4" s="16"/>
    </row>
    <row r="5">
      <c r="B5" s="17">
        <f>COUNTIF(Advancements!G2:G1285, True)/COUNTA(Advancements!O2:O1285)</f>
        <v>0</v>
      </c>
      <c r="H5" s="18" t="str">
        <f>IFERROR(__xludf.DUMMYFUNCTION("SPARKLINE(COUNTIF(Advancements!G2:G1285, True)/COUNTA(Advancements!O2:O1285),{""charttype"",""bar"";""max"",100%;""color1"",""green"";""empty"",""zero""})"),"")</f>
        <v/>
      </c>
      <c r="P5" s="19" t="s">
        <v>132</v>
      </c>
      <c r="S5" s="20" t="s">
        <v>8</v>
      </c>
    </row>
    <row r="6">
      <c r="B6" s="21"/>
      <c r="C6" s="21"/>
      <c r="D6" s="21"/>
      <c r="E6" s="21"/>
      <c r="F6" s="21"/>
      <c r="G6" s="21"/>
      <c r="H6" s="21"/>
      <c r="I6" s="21"/>
      <c r="J6" s="21"/>
      <c r="K6" s="21"/>
      <c r="L6" s="21"/>
      <c r="M6" s="21"/>
      <c r="P6" s="19" t="s">
        <v>133</v>
      </c>
      <c r="Q6" s="22"/>
      <c r="R6" s="22"/>
      <c r="S6" s="23" t="s">
        <v>10</v>
      </c>
    </row>
    <row r="7">
      <c r="B7" s="24" t="s">
        <v>11</v>
      </c>
      <c r="H7" s="25" t="str">
        <f>IFERROR(__xludf.DUMMYFUNCTION("CONCATENATE(COUNTIF(FILTER(Advancements!G:G, Advancements!B:B=""Unique""), True), ""/"", COUNTA(FILTER(Advancements!G:G, Advancements!B:B=""Unique"")))"),"0/247")</f>
        <v>0/247</v>
      </c>
      <c r="P7" s="23" t="s">
        <v>134</v>
      </c>
      <c r="S7" s="23" t="s">
        <v>13</v>
      </c>
    </row>
    <row r="8">
      <c r="B8" s="26">
        <f>IFERROR(__xludf.DUMMYFUNCTION("COUNTIF(FILTER(Advancements!G:G, Advancements!B:B=""Unique""), True)/COUNTA(FILTER(Advancements!G:G, Advancements!B:B=""Unique""))"),0.0)</f>
        <v>0</v>
      </c>
      <c r="H8" s="27" t="str">
        <f>IFERROR(__xludf.DUMMYFUNCTION("SPARKLINE(COUNTIF(FILTER(Advancements!G:G, Advancements!B:B=""Unique""), True)/COUNTA(FILTER(Advancements!G:G, Advancements!B:B=""Unique"")),{""charttype"",""bar"";""max"",100%;""color1"",""green"";""empty"",""zero""})"),"")</f>
        <v/>
      </c>
      <c r="P8" s="19" t="s">
        <v>135</v>
      </c>
      <c r="S8" s="28" t="s">
        <v>136</v>
      </c>
    </row>
    <row r="9">
      <c r="B9" s="21"/>
      <c r="C9" s="21"/>
      <c r="D9" s="21"/>
      <c r="E9" s="21"/>
      <c r="F9" s="21"/>
      <c r="G9" s="21"/>
      <c r="H9" s="21"/>
      <c r="I9" s="21"/>
      <c r="J9" s="21"/>
      <c r="K9" s="21"/>
      <c r="L9" s="21"/>
      <c r="M9" s="21"/>
    </row>
    <row r="10">
      <c r="B10" s="29" t="s">
        <v>16</v>
      </c>
      <c r="H10" s="30" t="str">
        <f>CONCATENATE(COUNTIF(ItemsBlocks!C2:C1285, True), "/", COUNTA(ItemsBlocks!G2:G1285))</f>
        <v>0/1221</v>
      </c>
      <c r="P10" s="14" t="s">
        <v>17</v>
      </c>
      <c r="Q10" s="15"/>
      <c r="R10" s="15"/>
      <c r="S10" s="15"/>
      <c r="T10" s="15"/>
      <c r="U10" s="15"/>
      <c r="V10" s="15"/>
      <c r="W10" s="16"/>
    </row>
    <row r="11">
      <c r="B11" s="31">
        <f>COUNTIF(ItemsBlocks!C2:C1285, True)/COUNTA(ItemsBlocks!G2:G1285)</f>
        <v>0</v>
      </c>
      <c r="H11" s="32" t="str">
        <f>IFERROR(__xludf.DUMMYFUNCTION("SPARKLINE(COUNTIF(ItemsBlocks!C2:C1285, True)/COUNTA(ItemsBlocks!G2:G1285),{""charttype"",""bar"";""max"",100%;""color1"",""green"";""empty"",""zero""})"),"")</f>
        <v/>
      </c>
      <c r="P11" s="33" t="s">
        <v>18</v>
      </c>
      <c r="S11" s="34" t="s">
        <v>19</v>
      </c>
      <c r="T11" s="35"/>
    </row>
    <row r="12">
      <c r="B12" s="21"/>
      <c r="C12" s="21"/>
      <c r="D12" s="21"/>
      <c r="E12" s="21"/>
      <c r="F12" s="21"/>
      <c r="G12" s="21"/>
      <c r="H12" s="21"/>
      <c r="I12" s="21"/>
      <c r="J12" s="21"/>
      <c r="K12" s="21"/>
      <c r="L12" s="21"/>
      <c r="M12" s="21"/>
      <c r="P12" s="33" t="s">
        <v>20</v>
      </c>
      <c r="S12" s="34" t="s">
        <v>21</v>
      </c>
      <c r="T12" s="35"/>
    </row>
    <row r="13">
      <c r="B13" s="36" t="s">
        <v>22</v>
      </c>
      <c r="H13" s="37" t="str">
        <f>concatenate(countif(Mobs!$AM$6:$AAB1285,"TRUE"), "/", countif(Mobs!$AM$6:$AAB1285,"TRUE")+countif(Mobs!$AM$6:$AAB1285,"FALSE"))</f>
        <v>0/646</v>
      </c>
      <c r="P13" s="33" t="s">
        <v>23</v>
      </c>
      <c r="S13" s="34" t="s">
        <v>24</v>
      </c>
      <c r="T13" s="35"/>
    </row>
    <row r="14">
      <c r="B14" s="38">
        <f>COUNTIF(Mobs!$AM$6:$AAB1285,"TRUE")/(countif(Mobs!$AM$6:$AAB1285,"TRUE") + countif(Mobs!$AM$6:$AAB1285,"FALSE"))</f>
        <v>0</v>
      </c>
      <c r="H14" s="39" t="str">
        <f>IFERROR(__xludf.DUMMYFUNCTION("SPARKLINE(COUNTIF(Mobs!$AM$6:$AAB1285, True)/646,{""charttype"",""bar"";""max"",100%;""color1"",""green"";""empty"",""zero""})"),"")</f>
        <v/>
      </c>
      <c r="P14" s="40" t="s">
        <v>137</v>
      </c>
      <c r="S14" s="40"/>
    </row>
    <row r="16">
      <c r="B16" s="14" t="s">
        <v>27</v>
      </c>
      <c r="C16" s="15"/>
      <c r="D16" s="15"/>
      <c r="E16" s="15"/>
      <c r="F16" s="15"/>
      <c r="G16" s="15"/>
      <c r="H16" s="15"/>
      <c r="I16" s="15"/>
      <c r="J16" s="15"/>
      <c r="K16" s="15"/>
      <c r="L16" s="15"/>
      <c r="M16" s="15"/>
      <c r="P16" s="14" t="s">
        <v>28</v>
      </c>
      <c r="Q16" s="15"/>
      <c r="R16" s="15"/>
      <c r="S16" s="15"/>
      <c r="T16" s="15"/>
      <c r="U16" s="15"/>
      <c r="V16" s="15"/>
      <c r="W16" s="16"/>
    </row>
    <row r="18">
      <c r="B18" s="41" t="str">
        <f t="shared" ref="B18:B28" si="1">GET_ADV_ICON(E18)</f>
        <v/>
      </c>
      <c r="C18" s="42"/>
      <c r="D18" s="43" t="b">
        <f t="array" ref="D18">XLOOKUP(E18,Advancements!$I$2:$I1285,Advancements!$G$2:$G1285)</f>
        <v>0</v>
      </c>
      <c r="E18" s="177" t="s">
        <v>29</v>
      </c>
      <c r="F18" s="42"/>
      <c r="G18" s="42"/>
      <c r="H18" s="178" t="s">
        <v>30</v>
      </c>
      <c r="I18" s="42"/>
      <c r="J18" s="42"/>
      <c r="K18" s="42"/>
      <c r="L18" s="42"/>
      <c r="M18" s="46"/>
      <c r="P18" s="47"/>
      <c r="Q18" s="48" t="b">
        <f>IFALLTRUE(Q19:Q28)</f>
        <v>0</v>
      </c>
      <c r="R18" s="49" t="s">
        <v>31</v>
      </c>
      <c r="U18" s="47"/>
      <c r="V18" s="48" t="b">
        <f>IFALLTRUE(V19:V23)</f>
        <v>0</v>
      </c>
      <c r="W18" s="49" t="s">
        <v>32</v>
      </c>
    </row>
    <row r="19">
      <c r="B19" s="50" t="str">
        <f t="shared" si="1"/>
        <v/>
      </c>
      <c r="D19" s="51" t="b">
        <f t="array" ref="D19">XLOOKUP(E19,Advancements!$I$2:$I1285,Advancements!$G$2:$G1285)</f>
        <v>0</v>
      </c>
      <c r="E19" s="179" t="s">
        <v>33</v>
      </c>
      <c r="H19" s="180" t="s">
        <v>34</v>
      </c>
      <c r="M19" s="54"/>
      <c r="P19" s="58"/>
      <c r="Q19" s="181" t="b">
        <f>Mobs!D17</f>
        <v>0</v>
      </c>
      <c r="R19" s="60" t="s">
        <v>35</v>
      </c>
      <c r="U19" s="58"/>
      <c r="V19" s="59" t="b">
        <f>Mobs!D6</f>
        <v>0</v>
      </c>
      <c r="W19" s="60" t="s">
        <v>32</v>
      </c>
    </row>
    <row r="20">
      <c r="B20" s="50" t="str">
        <f t="shared" si="1"/>
        <v/>
      </c>
      <c r="D20" s="51" t="b">
        <f t="array" ref="D20">XLOOKUP(E20,Advancements!$I$2:$I1285,Advancements!$G$2:$G1285)</f>
        <v>0</v>
      </c>
      <c r="E20" s="179" t="s">
        <v>36</v>
      </c>
      <c r="H20" s="180" t="s">
        <v>37</v>
      </c>
      <c r="M20" s="54"/>
      <c r="P20" s="182"/>
      <c r="Q20" s="66" t="b">
        <f t="array" ref="Q20">XLOOKUP(R20,Advancements!$I$2:$I1285,Advancements!$G$2:$G1285)</f>
        <v>0</v>
      </c>
      <c r="R20" s="67" t="s">
        <v>38</v>
      </c>
      <c r="U20" s="58"/>
      <c r="V20" s="59" t="b">
        <f>Mobs!I6</f>
        <v>0</v>
      </c>
      <c r="W20" s="60" t="s">
        <v>39</v>
      </c>
    </row>
    <row r="21">
      <c r="B21" s="50" t="str">
        <f t="shared" si="1"/>
        <v/>
      </c>
      <c r="D21" s="51" t="b">
        <f t="array" ref="D21">XLOOKUP(E21,Advancements!$I$2:$I1285,Advancements!$G$2:$G1285)</f>
        <v>0</v>
      </c>
      <c r="E21" s="179" t="s">
        <v>40</v>
      </c>
      <c r="H21" s="180" t="s">
        <v>41</v>
      </c>
      <c r="M21" s="54"/>
      <c r="P21" s="65"/>
      <c r="Q21" s="66" t="b">
        <f t="array" ref="Q21">XLOOKUP(R21,Advancements!$I$2:$I1285,Advancements!$G$2:$G1285)</f>
        <v>0</v>
      </c>
      <c r="R21" s="67" t="s">
        <v>42</v>
      </c>
      <c r="U21" s="65"/>
      <c r="V21" s="66" t="b">
        <f t="array" ref="V21">XLOOKUP(W21,Advancements!$I$2:$I1285,Advancements!$G$2:$G1285)</f>
        <v>0</v>
      </c>
      <c r="W21" s="70" t="s">
        <v>43</v>
      </c>
    </row>
    <row r="22">
      <c r="B22" s="50" t="str">
        <f t="shared" si="1"/>
        <v/>
      </c>
      <c r="D22" s="51" t="b">
        <f t="array" ref="D22">XLOOKUP(E22,Advancements!$I$2:$I1285,Advancements!$G$2:$G1285)</f>
        <v>0</v>
      </c>
      <c r="E22" s="179" t="s">
        <v>44</v>
      </c>
      <c r="H22" s="180" t="s">
        <v>45</v>
      </c>
      <c r="M22" s="54"/>
      <c r="P22" s="65"/>
      <c r="Q22" s="66" t="b">
        <f t="array" ref="Q22">XLOOKUP(R22,Advancements!$I$2:$I1285,Advancements!$G$2:$G1285)</f>
        <v>0</v>
      </c>
      <c r="R22" s="67" t="s">
        <v>46</v>
      </c>
      <c r="U22" s="65"/>
      <c r="V22" s="66" t="b">
        <f t="array" ref="V22">XLOOKUP(W22,Advancements!$I$2:$I1285,Advancements!$G$2:$G1285)</f>
        <v>0</v>
      </c>
      <c r="W22" s="70" t="s">
        <v>47</v>
      </c>
    </row>
    <row r="23">
      <c r="B23" s="50" t="str">
        <f t="shared" si="1"/>
        <v/>
      </c>
      <c r="D23" s="51" t="b">
        <f t="array" ref="D23">XLOOKUP(E23,Advancements!$I$2:$I1285,Advancements!$G$2:$G1285)</f>
        <v>0</v>
      </c>
      <c r="E23" s="179" t="s">
        <v>48</v>
      </c>
      <c r="H23" s="180" t="s">
        <v>49</v>
      </c>
      <c r="M23" s="54"/>
      <c r="P23" s="65"/>
      <c r="Q23" s="66" t="b">
        <f t="array" ref="Q23">XLOOKUP(R23,Advancements!$I$2:$I1285,Advancements!$G$2:$G1285)</f>
        <v>0</v>
      </c>
      <c r="R23" s="67" t="s">
        <v>50</v>
      </c>
      <c r="U23" s="65"/>
      <c r="V23" s="66" t="b">
        <f t="array" ref="V23">XLOOKUP(W23,Advancements!$I$2:$I1285,Advancements!$G$2:$G1285)</f>
        <v>0</v>
      </c>
      <c r="W23" s="71" t="s">
        <v>51</v>
      </c>
    </row>
    <row r="24">
      <c r="B24" s="50" t="str">
        <f t="shared" si="1"/>
        <v/>
      </c>
      <c r="D24" s="51" t="b">
        <f t="array" ref="D24">XLOOKUP(E24,Advancements!$I$2:$I1285,Advancements!$G$2:$G1285)</f>
        <v>0</v>
      </c>
      <c r="E24" s="179" t="s">
        <v>52</v>
      </c>
      <c r="H24" s="180" t="s">
        <v>53</v>
      </c>
      <c r="M24" s="54"/>
      <c r="P24" s="65"/>
      <c r="Q24" s="66" t="b">
        <f t="array" ref="Q24">XLOOKUP(R24,Advancements!$I$2:$I1285,Advancements!$G$2:$G1285)</f>
        <v>0</v>
      </c>
      <c r="R24" s="67" t="s">
        <v>54</v>
      </c>
      <c r="U24" s="75"/>
      <c r="V24" s="76"/>
      <c r="W24" s="77"/>
    </row>
    <row r="25">
      <c r="B25" s="50" t="str">
        <f t="shared" si="1"/>
        <v/>
      </c>
      <c r="D25" s="51" t="b">
        <f t="array" ref="D25">XLOOKUP(E25,Advancements!$I$2:$I1285,Advancements!$G$2:$G1285)</f>
        <v>0</v>
      </c>
      <c r="E25" s="179" t="s">
        <v>55</v>
      </c>
      <c r="H25" s="180" t="s">
        <v>56</v>
      </c>
      <c r="M25" s="54"/>
      <c r="P25" s="50"/>
      <c r="Q25" s="51" t="b">
        <f t="array" ref="Q25">XLOOKUP(R25,ItemsBlocks!$E$2:$E1285,ItemsBlocks!$C$2:$C1285)</f>
        <v>0</v>
      </c>
      <c r="R25" s="82" t="s">
        <v>57</v>
      </c>
      <c r="U25" s="81" t="s">
        <v>58</v>
      </c>
      <c r="V25" s="42"/>
      <c r="W25" s="46"/>
    </row>
    <row r="26">
      <c r="B26" s="50" t="str">
        <f t="shared" si="1"/>
        <v/>
      </c>
      <c r="D26" s="51" t="b">
        <f t="array" ref="D26">XLOOKUP(E26,Advancements!$I$2:$I1285,Advancements!$G$2:$G1285)</f>
        <v>0</v>
      </c>
      <c r="E26" s="179" t="s">
        <v>59</v>
      </c>
      <c r="H26" s="180" t="s">
        <v>60</v>
      </c>
      <c r="M26" s="54"/>
      <c r="P26" s="50"/>
      <c r="Q26" s="51" t="b">
        <f t="array" ref="Q26">XLOOKUP(R26,ItemsBlocks!$E$2:$E1285,ItemsBlocks!$C$2:$C1285)</f>
        <v>0</v>
      </c>
      <c r="R26" s="82" t="s">
        <v>61</v>
      </c>
      <c r="U26" s="183" t="s">
        <v>62</v>
      </c>
      <c r="W26" s="54"/>
    </row>
    <row r="27">
      <c r="B27" s="50" t="str">
        <f t="shared" si="1"/>
        <v/>
      </c>
      <c r="D27" s="51" t="b">
        <f t="array" ref="D27">XLOOKUP(E27,Advancements!$I$2:$I1285,Advancements!$G$2:$G1285)</f>
        <v>0</v>
      </c>
      <c r="E27" s="179" t="s">
        <v>63</v>
      </c>
      <c r="H27" s="180" t="s">
        <v>64</v>
      </c>
      <c r="M27" s="54"/>
      <c r="P27" s="50"/>
      <c r="Q27" s="51" t="b">
        <f t="array" ref="Q27">XLOOKUP(R27,ItemsBlocks!$E$2:$E1285,ItemsBlocks!$C$2:$C1285)</f>
        <v>0</v>
      </c>
      <c r="R27" s="82" t="s">
        <v>65</v>
      </c>
      <c r="U27" s="184" t="s">
        <v>66</v>
      </c>
      <c r="W27" s="54"/>
    </row>
    <row r="28">
      <c r="B28" s="89" t="str">
        <f t="shared" si="1"/>
        <v/>
      </c>
      <c r="C28" s="4"/>
      <c r="D28" s="90" t="b">
        <f t="array" ref="D28">XLOOKUP(E28,Advancements!$I$2:$I1285,Advancements!$G$2:$G1285)</f>
        <v>0</v>
      </c>
      <c r="E28" s="185" t="s">
        <v>67</v>
      </c>
      <c r="F28" s="4"/>
      <c r="G28" s="4"/>
      <c r="H28" s="186" t="s">
        <v>68</v>
      </c>
      <c r="I28" s="4"/>
      <c r="J28" s="4"/>
      <c r="K28" s="4"/>
      <c r="L28" s="4"/>
      <c r="M28" s="93"/>
      <c r="P28" s="89"/>
      <c r="Q28" s="90" t="b">
        <f t="array" ref="Q28">XLOOKUP(R28,ItemsBlocks!$E$2:$E1285,ItemsBlocks!$C$2:$C1285)</f>
        <v>0</v>
      </c>
      <c r="R28" s="94" t="s">
        <v>69</v>
      </c>
      <c r="U28" s="187" t="s">
        <v>70</v>
      </c>
      <c r="V28" s="188"/>
      <c r="W28" s="189"/>
    </row>
    <row r="30">
      <c r="B30" s="98" t="s">
        <v>71</v>
      </c>
      <c r="C30" s="15"/>
      <c r="D30" s="15"/>
      <c r="E30" s="15"/>
      <c r="F30" s="15"/>
      <c r="G30" s="15"/>
      <c r="H30" s="15"/>
      <c r="I30" s="15"/>
      <c r="J30" s="15"/>
      <c r="K30" s="15"/>
      <c r="L30" s="15"/>
      <c r="M30" s="16"/>
      <c r="P30" s="98" t="s">
        <v>72</v>
      </c>
      <c r="Q30" s="15"/>
      <c r="R30" s="15"/>
      <c r="S30" s="15"/>
      <c r="T30" s="15"/>
      <c r="U30" s="15"/>
      <c r="V30" s="15"/>
      <c r="W30" s="15"/>
      <c r="X30" s="99"/>
    </row>
    <row r="32">
      <c r="B32" s="41"/>
      <c r="C32" s="42"/>
      <c r="D32" s="100" t="b">
        <f t="array" ref="D32">XLOOKUP("Axolotl of them",Advancements!$I$2:$I1285,Advancements!$G$2:$G1285)</f>
        <v>0</v>
      </c>
      <c r="E32" s="101" t="s">
        <v>73</v>
      </c>
      <c r="F32" s="42"/>
      <c r="G32" s="46"/>
      <c r="I32" s="41"/>
      <c r="J32" s="100" t="b">
        <f t="array" ref="J32">XLOOKUP("Heavy duty caravan",Advancements!$I$2:$I1285,Advancements!$G$2:$G1285)</f>
        <v>0</v>
      </c>
      <c r="K32" s="101" t="s">
        <v>74</v>
      </c>
      <c r="L32" s="42"/>
      <c r="M32" s="46"/>
      <c r="O32" s="102" t="s">
        <v>75</v>
      </c>
      <c r="P32" s="103" t="str">
        <f t="array" ref="P32">XLOOKUP(R32,Advancements!$I$2:$I1285,Advancements!$H$2:$H1285)</f>
        <v/>
      </c>
      <c r="Q32" s="104" t="b">
        <f t="array" ref="Q32">XLOOKUP(R32,Advancements!$I$2:$I1285,Advancements!$G$2:$G1285)</f>
        <v>0</v>
      </c>
      <c r="R32" s="190" t="s">
        <v>76</v>
      </c>
      <c r="S32" s="106"/>
      <c r="T32" s="51" t="s">
        <v>77</v>
      </c>
      <c r="U32" s="191" t="str">
        <f t="array" ref="U32">XLOOKUP(W32,Advancements!$I$2:$I1285,Advancements!$H$2:$H1285)</f>
        <v/>
      </c>
      <c r="V32" s="192" t="b">
        <f t="array" ref="V32">XLOOKUP(W32,Advancements!$I$2:$I1285,Advancements!$G$2:$G1285)</f>
        <v>0</v>
      </c>
      <c r="W32" s="193" t="s">
        <v>78</v>
      </c>
      <c r="X32" s="21"/>
    </row>
    <row r="33">
      <c r="B33" s="108"/>
      <c r="G33" s="54"/>
      <c r="I33" s="108"/>
      <c r="M33" s="54"/>
      <c r="P33" s="109"/>
      <c r="Q33" s="4"/>
      <c r="R33" s="194" t="str">
        <f t="array" ref="R33">CONCATENATE(floor(XLOOKUP(O32,Stats!$A$2:$A1285,Stats!$D$2:$D1285)/10000,1)/10,"km / ",floor(XLOOKUP(O32,Stats!$A$2:$A1285,Stats!$B$2:$B1285)/10000,1)/10,"km by Elytra")</f>
        <v>0km / 1000km by Elytra</v>
      </c>
      <c r="S33" s="106"/>
      <c r="U33" s="148"/>
      <c r="V33" s="146"/>
      <c r="W33" s="195" t="str">
        <f t="array" ref="W33">CONCATENATE(floor(XLOOKUP(T32,Stats!$A$2:$A1285,Stats!$D$2:$D1285)/10000,1)/10,"km / ",floor(XLOOKUP(T32,Stats!$A$2:$A1285,Stats!$B$2:$B1285)/10000,1)/10,"km walked") </f>
        <v>0km / 250km walked</v>
      </c>
      <c r="X33" s="21"/>
    </row>
    <row r="34">
      <c r="B34" s="111" t="s">
        <v>79</v>
      </c>
      <c r="F34" s="112"/>
      <c r="G34" s="113">
        <v>1200.0</v>
      </c>
      <c r="I34" s="111" t="s">
        <v>79</v>
      </c>
      <c r="L34" s="112"/>
      <c r="M34" s="113">
        <v>125.0</v>
      </c>
    </row>
    <row r="35">
      <c r="B35" s="114" t="s">
        <v>80</v>
      </c>
      <c r="G35" s="115">
        <f t="array" ref="G35">XLOOKUP("stats_axolotls_bred",Stats!$A$2:$A1285,Stats!$D$2:$D1285 )</f>
        <v>0</v>
      </c>
      <c r="I35" s="114" t="s">
        <v>81</v>
      </c>
      <c r="M35" s="115">
        <f t="array" ref="M35">XLOOKUP("stats_llamas_tamed",Stats!$A$2:$A1285,Stats!$D$2:$D1285 )</f>
        <v>0</v>
      </c>
      <c r="O35" s="51" t="s">
        <v>82</v>
      </c>
      <c r="P35" s="191" t="str">
        <f t="array" ref="P35">XLOOKUP(R35,Advancements!$I$2:$I1285,Advancements!$H$2:$H1285)</f>
        <v/>
      </c>
      <c r="Q35" s="192" t="b">
        <f t="array" ref="Q35">XLOOKUP(R35,Advancements!$I$2:$I1285,Advancements!$G$2:$G1285)</f>
        <v>0</v>
      </c>
      <c r="R35" s="196" t="s">
        <v>83</v>
      </c>
      <c r="S35" s="106"/>
      <c r="T35" s="51" t="s">
        <v>84</v>
      </c>
      <c r="U35" s="191" t="str">
        <f t="array" ref="U35">XLOOKUP(W35,Advancements!$I$2:$I1285,Advancements!$H$2:$H1285)</f>
        <v/>
      </c>
      <c r="V35" s="192" t="b">
        <f t="array" ref="V35">XLOOKUP(W35,Advancements!$I$2:$I1285,Advancements!$G$2:$G1285)</f>
        <v>0</v>
      </c>
      <c r="W35" s="193" t="s">
        <v>85</v>
      </c>
    </row>
    <row r="36">
      <c r="B36" s="109"/>
      <c r="C36" s="4"/>
      <c r="D36" s="4"/>
      <c r="E36" s="4"/>
      <c r="F36" s="4"/>
      <c r="G36" s="93"/>
      <c r="I36" s="109"/>
      <c r="J36" s="4"/>
      <c r="K36" s="4"/>
      <c r="L36" s="4"/>
      <c r="M36" s="93"/>
      <c r="P36" s="148"/>
      <c r="Q36" s="146"/>
      <c r="R36" s="195" t="str">
        <f t="array" ref="R36">CONCATENATE(floor(XLOOKUP(O35,Stats!$A$2:$A1285,Stats!$D$2:$D1285)/10000,1)/10,"km / ",floor(XLOOKUP(O35,Stats!$A$2:$A1285,Stats!$B$2:$B1285)/10000,1)/10,"km sprinted")</f>
        <v>0km / 250km sprinted</v>
      </c>
      <c r="S36" s="106"/>
      <c r="U36" s="148"/>
      <c r="V36" s="146"/>
      <c r="W36" s="195" t="str">
        <f t="array" ref="W36">CONCATENATE(XLOOKUP(T35,Stats!$A$2:$A1285,Stats!$D$2:$D1285)," / ", floor(XLOOKUP(T35,Stats!$A$2:$A1285,Stats!$B$2:$B1285)/100,1)/10,"k Jumps")</f>
        <v>0 / 100k Jumps</v>
      </c>
    </row>
    <row r="38">
      <c r="B38" s="41"/>
      <c r="C38" s="197"/>
      <c r="D38" s="198" t="str">
        <f>Challenges!V6</f>
        <v>#REF!</v>
      </c>
      <c r="E38" s="199" t="s">
        <v>86</v>
      </c>
      <c r="F38" s="42"/>
      <c r="G38" s="46"/>
      <c r="I38" s="200"/>
      <c r="J38" s="201" t="b">
        <f t="array" ref="J38">XLOOKUP("qinling",Advancements!$I$2:$I1285,Advancements!$G$2:$G1285)</f>
        <v>0</v>
      </c>
      <c r="K38" s="199" t="s">
        <v>87</v>
      </c>
      <c r="L38" s="42"/>
      <c r="M38" s="46"/>
      <c r="O38" s="117" t="s">
        <v>88</v>
      </c>
      <c r="P38" s="191" t="str">
        <f t="array" ref="P38">XLOOKUP(R38,Advancements!$I$2:$I1285,Advancements!$H$2:$H1285)</f>
        <v/>
      </c>
      <c r="Q38" s="192" t="b">
        <f t="array" ref="Q38">XLOOKUP(R38,Advancements!$I$2:$I1285,Advancements!$G$2:$G1285)</f>
        <v>0</v>
      </c>
      <c r="R38" s="196" t="s">
        <v>89</v>
      </c>
      <c r="S38" s="106"/>
      <c r="T38" s="51" t="s">
        <v>90</v>
      </c>
      <c r="U38" s="191" t="str">
        <f t="array" ref="U38">XLOOKUP(W38,Advancements!$I$2:$I1285,Advancements!$H$2:$H1285)</f>
        <v/>
      </c>
      <c r="V38" s="192" t="b">
        <f t="array" ref="V38">XLOOKUP(W38,Advancements!$I$2:$I1285,Advancements!$G$2:$G1285)</f>
        <v>0</v>
      </c>
      <c r="W38" s="202" t="s">
        <v>91</v>
      </c>
    </row>
    <row r="39">
      <c r="B39" s="109"/>
      <c r="C39" s="144"/>
      <c r="D39" s="146"/>
      <c r="E39" s="145"/>
      <c r="F39" s="4"/>
      <c r="G39" s="93"/>
      <c r="I39" s="148"/>
      <c r="J39" s="146"/>
      <c r="K39" s="145"/>
      <c r="L39" s="4"/>
      <c r="M39" s="93"/>
      <c r="P39" s="148"/>
      <c r="Q39" s="146"/>
      <c r="R39" s="195" t="str">
        <f t="array" ref="R39">CONCATENATE(floor(XLOOKUP(O38,Stats!$A$2:$A1285,Stats!$D$2:$D1285)/10000,1)/10,"km / ",floor(XLOOKUP(O38,Stats!$A$2:$A1285,Stats!$B$2:$B1285)/10000,1)/10,"km sneaking")</f>
        <v>0km / 10km sneaking</v>
      </c>
      <c r="S39" s="106"/>
      <c r="U39" s="148"/>
      <c r="V39" s="146"/>
      <c r="W39" s="195" t="str">
        <f t="array" ref="W39">CONCATENATE(floor(XLOOKUP(T38,Stats!$A$2:$A1285,Stats!$D$2:$D1285)/10000,1)/10,"km / ",floor(XLOOKUP(T38,Stats!$A$2:$A1285,Stats!$B$2:$B1285)/10000,1)/10,"km")</f>
        <v>0km / 50km</v>
      </c>
    </row>
    <row r="40">
      <c r="D40" s="21"/>
    </row>
    <row r="41">
      <c r="B41" s="41"/>
      <c r="C41" s="197"/>
      <c r="D41" s="198" t="str">
        <f>Challenges!W6</f>
        <v>#REF!</v>
      </c>
      <c r="E41" s="199" t="s">
        <v>92</v>
      </c>
      <c r="F41" s="42"/>
      <c r="G41" s="46"/>
      <c r="I41" s="200"/>
      <c r="J41" s="201" t="b">
        <f t="array" ref="J41">XLOOKUP("screaming milk",Advancements!$I$2:$I1285,Advancements!$G$2:$G1285)</f>
        <v>0</v>
      </c>
      <c r="K41" s="199" t="s">
        <v>93</v>
      </c>
      <c r="L41" s="42"/>
      <c r="M41" s="46"/>
      <c r="O41" s="51" t="s">
        <v>94</v>
      </c>
      <c r="P41" s="191" t="str">
        <f t="array" ref="P41">XLOOKUP(R41,Advancements!$I$2:$I1285,Advancements!$H$2:$H1285)</f>
        <v/>
      </c>
      <c r="Q41" s="192" t="b">
        <f t="array" ref="Q41">XLOOKUP(R41,Advancements!$I$2:$I1285,Advancements!$G$2:$G1285)</f>
        <v>0</v>
      </c>
      <c r="R41" s="196" t="s">
        <v>95</v>
      </c>
      <c r="S41" s="106"/>
      <c r="T41" s="51" t="s">
        <v>96</v>
      </c>
      <c r="U41" s="191" t="str">
        <f t="array" ref="U41">XLOOKUP(W41,Advancements!$I$2:$I1285,Advancements!$H$2:$H1285)</f>
        <v/>
      </c>
      <c r="V41" s="192" t="b">
        <f t="array" ref="V41">XLOOKUP(W41,Advancements!$I$2:$I1285,Advancements!$G$2:$G1285)</f>
        <v>0</v>
      </c>
      <c r="W41" s="202" t="s">
        <v>97</v>
      </c>
    </row>
    <row r="42">
      <c r="B42" s="109"/>
      <c r="C42" s="144"/>
      <c r="D42" s="146"/>
      <c r="E42" s="145"/>
      <c r="F42" s="4"/>
      <c r="G42" s="93"/>
      <c r="I42" s="148"/>
      <c r="J42" s="146"/>
      <c r="K42" s="145"/>
      <c r="L42" s="4"/>
      <c r="M42" s="93"/>
      <c r="P42" s="148"/>
      <c r="Q42" s="146"/>
      <c r="R42" s="195" t="str">
        <f t="array" ref="R42">CONCATENATE(floor(XLOOKUP(O41,Stats!$A$2:$A1285,Stats!$D$2:$D1285)/10000,1)/10,"km / ",floor(XLOOKUP(O41,Stats!$A$2:$A1285,Stats!$B$2:$B1285)/10000,1)/10,"km by Minecart")</f>
        <v>0km / 50km by Minecart</v>
      </c>
      <c r="S42" s="106"/>
      <c r="U42" s="148"/>
      <c r="V42" s="146"/>
      <c r="W42" s="195" t="str">
        <f t="array" ref="W42">CONCATENATE(floor(XLOOKUP(T41,Stats!$A$2:$A1285,Stats!$D$2:$D1285)/10000,1)/10,"km / ",floor(XLOOKUP(T41,Stats!$A$2:$A1285,Stats!$B$2:$B1285)/10000,1)/10,"km by Pig")</f>
        <v>0km / 10km by Pig</v>
      </c>
    </row>
    <row r="44">
      <c r="B44" s="119"/>
      <c r="C44" s="197"/>
      <c r="D44" s="201" t="b">
        <f t="array" ref="D44">XLOOKUP("deepslate emerald ore", ItemsBlocks!$E$2:$E1285, ItemsBlocks!$C$2:$C1285)</f>
        <v>0</v>
      </c>
      <c r="E44" s="199" t="s">
        <v>98</v>
      </c>
      <c r="F44" s="42"/>
      <c r="G44" s="42"/>
      <c r="H44" s="42"/>
      <c r="I44" s="197"/>
      <c r="J44" s="203" t="s">
        <v>138</v>
      </c>
      <c r="K44" s="42"/>
      <c r="L44" s="42"/>
      <c r="M44" s="46"/>
      <c r="O44" s="51" t="s">
        <v>100</v>
      </c>
      <c r="P44" s="191" t="str">
        <f t="array" ref="P44">XLOOKUP(R44,Advancements!$I$2:$I1285,Advancements!$H$2:$H1285)</f>
        <v/>
      </c>
      <c r="Q44" s="192" t="b">
        <f t="array" ref="Q44">XLOOKUP(R44,Advancements!$I$2:$I1285,Advancements!$G$2:$G1285)</f>
        <v>0</v>
      </c>
      <c r="R44" s="196" t="s">
        <v>101</v>
      </c>
      <c r="S44" s="106"/>
      <c r="T44" s="51" t="s">
        <v>102</v>
      </c>
      <c r="U44" s="191" t="str">
        <f t="array" ref="U44">XLOOKUP(W44,Advancements!$I$2:$I1285,Advancements!$H$2:$H1285)</f>
        <v/>
      </c>
      <c r="V44" s="192" t="b">
        <f t="array" ref="V44">XLOOKUP(W44,Advancements!$I$2:$I1285,Advancements!$G$2:$G1285)</f>
        <v>0</v>
      </c>
      <c r="W44" s="202" t="s">
        <v>103</v>
      </c>
    </row>
    <row r="45">
      <c r="B45" s="109"/>
      <c r="C45" s="144"/>
      <c r="D45" s="146"/>
      <c r="E45" s="145"/>
      <c r="F45" s="4"/>
      <c r="G45" s="4"/>
      <c r="H45" s="4"/>
      <c r="I45" s="144"/>
      <c r="J45" s="145"/>
      <c r="K45" s="4"/>
      <c r="L45" s="4"/>
      <c r="M45" s="93"/>
      <c r="P45" s="148"/>
      <c r="Q45" s="146"/>
      <c r="R45" s="195" t="str">
        <f t="array" ref="R45">CONCATENATE(floor(XLOOKUP(O44,Stats!$A$2:$A1285,Stats!$D$2:$D1285)/10000,1)/10,"km / ",floor(XLOOKUP(O44,Stats!$A$2:$A1285,Stats!$B$2:$B1285)/10000,1)/10,"km by Horse")</f>
        <v>0km / 50km by Horse</v>
      </c>
      <c r="S45" s="106"/>
      <c r="U45" s="148"/>
      <c r="V45" s="146"/>
      <c r="W45" s="195" t="str">
        <f t="array" ref="W45">CONCATENATE(floor(XLOOKUP(T44,Stats!$A$2:$A1285,Stats!$D$2:$D1285)/10000,1)/10,"km / ",floor(XLOOKUP(T44,Stats!$A$2:$A1285,Stats!$B$2:$B1285)/10000,1)/10,"km by Boat")</f>
        <v>0km / 50km by Boat</v>
      </c>
    </row>
    <row r="46">
      <c r="P46" s="121"/>
      <c r="Q46" s="121"/>
      <c r="R46" s="121"/>
      <c r="S46" s="121"/>
      <c r="T46" s="121"/>
      <c r="U46" s="121"/>
      <c r="V46" s="121"/>
      <c r="W46" s="121"/>
      <c r="X46" s="121"/>
    </row>
    <row r="47">
      <c r="B47" s="119"/>
      <c r="C47" s="197"/>
      <c r="D47" s="198" t="str">
        <f>Challenges!J21</f>
        <v>#REF!</v>
      </c>
      <c r="E47" s="199" t="s">
        <v>104</v>
      </c>
      <c r="F47" s="42"/>
      <c r="G47" s="42"/>
      <c r="H47" s="42"/>
      <c r="I47" s="197"/>
      <c r="J47" s="203" t="s">
        <v>105</v>
      </c>
      <c r="K47" s="42"/>
      <c r="L47" s="42"/>
      <c r="M47" s="46"/>
      <c r="O47" s="51" t="s">
        <v>106</v>
      </c>
      <c r="P47" s="191" t="str">
        <f t="array" ref="P47">XLOOKUP(R47,Advancements!$I$2:$I1285,Advancements!$H$2:$H1285)</f>
        <v/>
      </c>
      <c r="Q47" s="192" t="b">
        <f t="array" ref="Q47">XLOOKUP(R47,Advancements!$I$2:$I1285,Advancements!$G$2:$G1285)</f>
        <v>0</v>
      </c>
      <c r="R47" s="196" t="s">
        <v>107</v>
      </c>
      <c r="S47" s="106"/>
      <c r="T47" s="51" t="s">
        <v>108</v>
      </c>
      <c r="U47" s="191" t="str">
        <f t="array" ref="U47">XLOOKUP(W47,Advancements!$I$2:$I1285,Advancements!$H$2:$H1285)</f>
        <v/>
      </c>
      <c r="V47" s="192" t="b">
        <f t="array" ref="V47">XLOOKUP(W47,Advancements!$I$2:$I1285,Advancements!$G$2:$G1285)</f>
        <v>0</v>
      </c>
      <c r="W47" s="202" t="s">
        <v>109</v>
      </c>
      <c r="X47" s="121"/>
    </row>
    <row r="48">
      <c r="B48" s="109"/>
      <c r="C48" s="144"/>
      <c r="D48" s="146"/>
      <c r="E48" s="145"/>
      <c r="F48" s="4"/>
      <c r="G48" s="4"/>
      <c r="H48" s="4"/>
      <c r="I48" s="144"/>
      <c r="J48" s="145"/>
      <c r="K48" s="4"/>
      <c r="L48" s="4"/>
      <c r="M48" s="93"/>
      <c r="P48" s="148"/>
      <c r="Q48" s="146"/>
      <c r="R48" s="195" t="str">
        <f t="array" ref="R48">CONCATENATE(floor(XLOOKUP(O47,Stats!$A$2:$A1285,Stats!$D$2:$D1285)/10000,1)/10,"km / ",floor(XLOOKUP(O47,Stats!$A$2:$A1285,Stats!$B$2:$B1285)/10000,1)/10,"km by Strider")</f>
        <v>0km / 10km by Strider</v>
      </c>
      <c r="S48" s="106"/>
      <c r="T48" s="121"/>
      <c r="U48" s="148"/>
      <c r="V48" s="146"/>
      <c r="W48" s="195" t="str">
        <f t="array" ref="W48">CONCATENATE(XLOOKUP(T47,Stats!$A$2:$A1285,Stats!$D$2:$D1285)," / ", floor(XLOOKUP(T47,Stats!$A$2:$A1285,Stats!$B$2:$B1285)/100,1)/10,"k Mob Kills")</f>
        <v>0 / 25k Mob Kills</v>
      </c>
      <c r="X48" s="121"/>
    </row>
    <row r="49">
      <c r="P49" s="121"/>
      <c r="Q49" s="121"/>
      <c r="R49" s="121"/>
      <c r="S49" s="121"/>
      <c r="T49" s="121"/>
      <c r="U49" s="121"/>
      <c r="V49" s="121"/>
      <c r="W49" s="121"/>
      <c r="X49" s="121"/>
    </row>
    <row r="50">
      <c r="B50" s="124" t="s">
        <v>110</v>
      </c>
      <c r="C50" s="42"/>
      <c r="D50" s="42"/>
      <c r="E50" s="42"/>
      <c r="F50" s="42"/>
      <c r="G50" s="46"/>
      <c r="I50" s="124" t="s">
        <v>111</v>
      </c>
      <c r="J50" s="42"/>
      <c r="K50" s="42"/>
      <c r="L50" s="42"/>
      <c r="M50" s="46"/>
      <c r="O50" s="51" t="s">
        <v>112</v>
      </c>
      <c r="P50" s="191" t="str">
        <f t="array" ref="P50">XLOOKUP(R50,Advancements!$I$2:$I1285,Advancements!$H$2:$H1285)</f>
        <v/>
      </c>
      <c r="Q50" s="192" t="b">
        <f t="array" ref="Q50">XLOOKUP(R50,Advancements!$I$2:$I1285,Advancements!$G$2:$G1285)</f>
        <v>0</v>
      </c>
      <c r="R50" s="196" t="s">
        <v>113</v>
      </c>
      <c r="S50" s="106"/>
      <c r="T50" s="51" t="s">
        <v>114</v>
      </c>
      <c r="U50" s="191" t="str">
        <f t="array" ref="U50">XLOOKUP(W50,Advancements!$I$2:$I1285,Advancements!$H$2:$H1285)</f>
        <v/>
      </c>
      <c r="V50" s="192" t="b">
        <f t="array" ref="V50">XLOOKUP(W50,Advancements!$I$2:$I1285,Advancements!$G$2:$G1285)</f>
        <v>0</v>
      </c>
      <c r="W50" s="202" t="s">
        <v>115</v>
      </c>
      <c r="X50" s="121"/>
    </row>
    <row r="51">
      <c r="B51" s="125"/>
      <c r="C51" s="126"/>
      <c r="D51" s="126"/>
      <c r="E51" s="126"/>
      <c r="F51" s="126"/>
      <c r="G51" s="127"/>
      <c r="I51" s="125"/>
      <c r="J51" s="126"/>
      <c r="K51" s="126"/>
      <c r="L51" s="126"/>
      <c r="M51" s="127"/>
      <c r="P51" s="148"/>
      <c r="Q51" s="146"/>
      <c r="R51" s="195" t="str">
        <f t="array" ref="R51">CONCATENATE(XLOOKUP(O50,Stats!$A$2:$A1285,Stats!$D$2:$D1285)," / ", XLOOKUP(O50,Stats!$A$2:$A1285,Stats!$B$2:$B1285)," Animals Bred")</f>
        <v>0 / 2500 Animals Bred</v>
      </c>
      <c r="S51" s="106"/>
      <c r="U51" s="148"/>
      <c r="V51" s="146"/>
      <c r="W51" s="195" t="str">
        <f t="array" ref="W51">CONCATENATE(XLOOKUP(T50,Stats!$A$2:$A1285,Stats!$D$2:$D1285)," / ", XLOOKUP(T50,Stats!$A$2:$A1285,Stats!$B$2:$B1285)," Items Enchanted")</f>
        <v>0 / 250 Items Enchanted</v>
      </c>
      <c r="X51" s="121"/>
    </row>
    <row r="52">
      <c r="B52" s="128"/>
      <c r="C52" s="129"/>
      <c r="D52" s="130">
        <f>STAT_LOOKUP("used.firework_rocket")</f>
        <v>0</v>
      </c>
      <c r="E52" s="129"/>
      <c r="F52" s="131"/>
      <c r="G52" s="132">
        <f t="array" ref="G52">XLOOKUP("used.totem_of_undying",Stats!$A$3:$A1285,Stats!$D$3:$D1285 )</f>
        <v>0</v>
      </c>
      <c r="I52" s="133" t="s">
        <v>116</v>
      </c>
      <c r="J52" s="134"/>
      <c r="K52" s="129"/>
      <c r="L52" s="135" t="s">
        <v>117</v>
      </c>
      <c r="M52" s="136"/>
      <c r="P52" s="121"/>
      <c r="Q52" s="121"/>
      <c r="R52" s="121"/>
      <c r="S52" s="121"/>
      <c r="T52" s="121"/>
      <c r="U52" s="121"/>
      <c r="V52" s="121"/>
      <c r="W52" s="121"/>
      <c r="X52" s="121"/>
    </row>
    <row r="53">
      <c r="B53" s="125"/>
      <c r="C53" s="137"/>
      <c r="D53" s="138"/>
      <c r="E53" s="137"/>
      <c r="F53" s="139"/>
      <c r="G53" s="140"/>
      <c r="I53" s="125"/>
      <c r="J53" s="126"/>
      <c r="K53" s="137"/>
      <c r="L53" s="138"/>
      <c r="M53" s="127"/>
      <c r="O53" s="51" t="s">
        <v>118</v>
      </c>
      <c r="P53" s="191" t="str">
        <f t="array" ref="P53">XLOOKUP(R53,Advancements!$I$2:$I1285,Advancements!$H$2:$H1285)</f>
        <v/>
      </c>
      <c r="Q53" s="192" t="b">
        <f t="array" ref="Q53">XLOOKUP(R53,Advancements!$I$2:$I1285,Advancements!$G$2:$G1285)</f>
        <v>0</v>
      </c>
      <c r="R53" s="196" t="s">
        <v>119</v>
      </c>
      <c r="S53" s="106"/>
      <c r="T53" s="51" t="s">
        <v>120</v>
      </c>
      <c r="U53" s="191" t="str">
        <f t="array" ref="U53">XLOOKUP(W53,Advancements!$I$2:$I1285,Advancements!$H$2:$H1285)</f>
        <v/>
      </c>
      <c r="V53" s="192" t="b">
        <f t="array" ref="V53">XLOOKUP(W53,Advancements!$I$2:$I1285,Advancements!$G$2:$G1285)</f>
        <v>0</v>
      </c>
      <c r="W53" s="202" t="s">
        <v>121</v>
      </c>
      <c r="X53" s="121"/>
    </row>
    <row r="54">
      <c r="B54" s="141"/>
      <c r="C54" s="129"/>
      <c r="D54" s="130">
        <f t="array" ref="D54">XLOOKUP("used.spider_eye",Stats!$A$3:$A1285,Stats!$D$3:$D1285 )</f>
        <v>0</v>
      </c>
      <c r="E54" s="129"/>
      <c r="F54" s="131"/>
      <c r="G54" s="132">
        <f t="array" ref="G54">XLOOKUP("used.ominous_trial_key",Stats!$A$3:$A1285,Stats!$D$3:$D1285 )</f>
        <v>0</v>
      </c>
      <c r="I54" s="142"/>
      <c r="J54" s="130">
        <f>STAT_LOOKUP("stats_buried_treasures")</f>
        <v>0</v>
      </c>
      <c r="K54" s="129"/>
      <c r="L54" s="143"/>
      <c r="M54" s="132">
        <f>STAT_LOOKUP("stats_ancient_city_chests")</f>
        <v>0</v>
      </c>
      <c r="P54" s="148"/>
      <c r="Q54" s="146"/>
      <c r="R54" s="195" t="str">
        <f t="array" ref="R54">CONCATENATE(XLOOKUP(O53,Stats!$A$2:$A1285,Stats!$D$2:$D1285)," / ", XLOOKUP(O53,Stats!$A$2:$A1285,Stats!$B$2:$B1285)," Villager Trades")</f>
        <v>0 / 2500 Villager Trades</v>
      </c>
      <c r="S54" s="106"/>
      <c r="U54" s="148"/>
      <c r="V54" s="146"/>
      <c r="W54" s="195" t="str">
        <f t="array" ref="W54">CONCATENATE(XLOOKUP(T53,Stats!$A$2:$A1285,Stats!$D$2:$D1285)," / ", floor(XLOOKUP(T53,Stats!$A$2:$A1285,Stats!$B$2:$B1285)/100,1)/10,"k Food Eaten")</f>
        <v>0 / 5k Food Eaten</v>
      </c>
    </row>
    <row r="55">
      <c r="B55" s="109"/>
      <c r="C55" s="144"/>
      <c r="D55" s="145"/>
      <c r="E55" s="144"/>
      <c r="F55" s="146"/>
      <c r="G55" s="147"/>
      <c r="I55" s="148"/>
      <c r="J55" s="145"/>
      <c r="K55" s="144"/>
      <c r="L55" s="146"/>
      <c r="M55" s="147"/>
      <c r="P55" s="149"/>
    </row>
    <row r="56">
      <c r="O56" s="51" t="s">
        <v>122</v>
      </c>
      <c r="P56" s="191" t="str">
        <f t="array" ref="P56">XLOOKUP(R56,Advancements!$I$2:$I1285,Advancements!$H$2:$H1285)</f>
        <v/>
      </c>
      <c r="Q56" s="192" t="b">
        <f t="array" ref="Q56">XLOOKUP(R56,Advancements!$I$2:$I1285,Advancements!$G$2:$G1285)</f>
        <v>0</v>
      </c>
      <c r="R56" s="196" t="s">
        <v>123</v>
      </c>
      <c r="S56" s="106"/>
      <c r="T56" s="51" t="s">
        <v>124</v>
      </c>
      <c r="U56" s="191" t="str">
        <f t="array" ref="U56">XLOOKUP(W56,Advancements!$I$2:$I1285,Advancements!$H$2:$H1285)</f>
        <v/>
      </c>
      <c r="V56" s="192" t="b">
        <f t="array" ref="V56">XLOOKUP(W56,Advancements!$I$2:$I1285,Advancements!$G$2:$G1285)</f>
        <v>0</v>
      </c>
      <c r="W56" s="202" t="s">
        <v>125</v>
      </c>
    </row>
    <row r="57">
      <c r="B57" s="124" t="s">
        <v>139</v>
      </c>
      <c r="C57" s="42"/>
      <c r="D57" s="42"/>
      <c r="E57" s="42"/>
      <c r="F57" s="42"/>
      <c r="G57" s="46"/>
      <c r="I57" s="124" t="s">
        <v>127</v>
      </c>
      <c r="J57" s="42"/>
      <c r="K57" s="42"/>
      <c r="L57" s="42"/>
      <c r="M57" s="46"/>
      <c r="P57" s="148"/>
      <c r="Q57" s="146"/>
      <c r="R57" s="195" t="str">
        <f t="array" ref="R57">CONCATENATE(XLOOKUP(O56,Stats!$A$2:$A1285,Stats!$D$2:$D1285)," / ", XLOOKUP(O56,Stats!$A$2:$A1285,Stats!$B$2:$B1285)," Loot Chests Opened")</f>
        <v>0 / 500 Loot Chests Opened</v>
      </c>
      <c r="S57" s="106"/>
      <c r="U57" s="148"/>
      <c r="V57" s="146"/>
      <c r="W57" s="195" t="str">
        <f t="array" ref="W57">CONCATENATE(XLOOKUP(T56,Stats!$A$2:$A1285,Stats!$D$2:$D1285)," / ", XLOOKUP(T56,Stats!$A$2:$A1285,Stats!$B$2:$B1285)," Minecraft Days")</f>
        <v>0 / 365 Minecraft Days</v>
      </c>
      <c r="X57" s="121"/>
    </row>
    <row r="58">
      <c r="B58" s="125"/>
      <c r="C58" s="126"/>
      <c r="D58" s="126"/>
      <c r="E58" s="126"/>
      <c r="F58" s="126"/>
      <c r="G58" s="127"/>
      <c r="I58" s="125"/>
      <c r="J58" s="126"/>
      <c r="K58" s="126"/>
      <c r="L58" s="126"/>
      <c r="M58" s="127"/>
      <c r="P58" s="121"/>
      <c r="Q58" s="121"/>
      <c r="R58" s="121"/>
      <c r="S58" s="121"/>
      <c r="T58" s="121"/>
      <c r="U58" s="121"/>
      <c r="V58" s="121"/>
      <c r="W58" s="121"/>
      <c r="X58" s="121"/>
    </row>
    <row r="59">
      <c r="B59" s="150"/>
      <c r="C59" s="129"/>
      <c r="D59" s="130">
        <f>STAT_LOOKUP("mined.diamond_ore")</f>
        <v>0</v>
      </c>
      <c r="E59" s="129"/>
      <c r="F59" s="143"/>
      <c r="G59" s="132">
        <f>STAT_LOOKUP("mined.deepslate_coal_ore")</f>
        <v>0</v>
      </c>
      <c r="I59" s="151"/>
      <c r="J59" s="152"/>
      <c r="K59" s="153">
        <f>STAT_LOOKUP("mined.small_amethyst_bud")</f>
        <v>0</v>
      </c>
      <c r="L59" s="154"/>
      <c r="M59" s="155">
        <f>STAT_LOOKUP("mined.medium_amethyst_bud")</f>
        <v>0</v>
      </c>
      <c r="P59" s="121"/>
      <c r="Q59" s="121"/>
      <c r="R59" s="121"/>
      <c r="S59" s="121"/>
      <c r="T59" s="121"/>
      <c r="U59" s="121"/>
      <c r="V59" s="121"/>
      <c r="W59" s="121"/>
      <c r="X59" s="121"/>
    </row>
    <row r="60">
      <c r="B60" s="156"/>
      <c r="C60" s="157"/>
      <c r="D60" s="158">
        <f>STAT_LOOKUP("mined.emerald_ore")</f>
        <v>0</v>
      </c>
      <c r="E60" s="157"/>
      <c r="F60" s="159"/>
      <c r="G60" s="160">
        <f>STAT_LOOKUP("mined.bee_nest")</f>
        <v>0</v>
      </c>
      <c r="I60" s="156"/>
      <c r="J60" s="157"/>
      <c r="K60" s="158">
        <f>STAT_LOOKUP("mined.large_amethyst_bud")</f>
        <v>0</v>
      </c>
      <c r="L60" s="159"/>
      <c r="M60" s="160">
        <f>STAT_LOOKUP("mined.amethyst_cluster")</f>
        <v>0</v>
      </c>
      <c r="P60" s="121"/>
      <c r="Q60" s="121"/>
      <c r="R60" s="121"/>
      <c r="S60" s="121"/>
      <c r="T60" s="121"/>
      <c r="U60" s="121"/>
      <c r="V60" s="121"/>
      <c r="W60" s="121"/>
      <c r="X60" s="121"/>
    </row>
    <row r="61">
      <c r="B61" s="161"/>
      <c r="C61" s="161"/>
      <c r="D61" s="161"/>
      <c r="E61" s="161"/>
      <c r="F61" s="161"/>
      <c r="G61" s="161"/>
      <c r="P61" s="121"/>
      <c r="Q61" s="121"/>
      <c r="R61" s="121"/>
      <c r="S61" s="121"/>
      <c r="T61" s="121"/>
      <c r="U61" s="121"/>
      <c r="V61" s="121"/>
      <c r="W61" s="121"/>
      <c r="X61" s="121"/>
    </row>
    <row r="62">
      <c r="B62" s="162"/>
      <c r="C62" s="15"/>
      <c r="D62" s="163" t="s">
        <v>128</v>
      </c>
      <c r="E62" s="164"/>
      <c r="F62" s="165">
        <f t="array" ref="F62">XLOOKUP("custom.deaths",Stats!$A$2:$A1285,Stats!$D$2:$D1285 )</f>
        <v>0</v>
      </c>
      <c r="G62" s="16"/>
      <c r="I62" s="166" t="s">
        <v>140</v>
      </c>
      <c r="J62" s="15"/>
      <c r="K62" s="15"/>
      <c r="L62" s="15"/>
      <c r="M62" s="16"/>
      <c r="P62" s="121"/>
      <c r="Q62" s="121"/>
      <c r="R62" s="121"/>
      <c r="S62" s="121"/>
      <c r="T62" s="121"/>
      <c r="U62" s="121"/>
      <c r="V62" s="121"/>
      <c r="W62" s="121"/>
      <c r="X62" s="121"/>
    </row>
    <row r="63">
      <c r="F63" s="167"/>
      <c r="Q63" s="168"/>
      <c r="R63" s="168"/>
      <c r="S63" s="168"/>
      <c r="T63" s="168"/>
      <c r="U63" s="168"/>
      <c r="V63" s="168"/>
      <c r="W63" s="168"/>
    </row>
    <row r="64">
      <c r="B64" s="98" t="s">
        <v>130</v>
      </c>
      <c r="C64" s="15"/>
      <c r="D64" s="15"/>
      <c r="E64" s="15"/>
      <c r="F64" s="15"/>
      <c r="G64" s="15"/>
      <c r="H64" s="15"/>
      <c r="I64" s="15"/>
      <c r="J64" s="15"/>
      <c r="K64" s="15"/>
      <c r="L64" s="15"/>
      <c r="M64" s="15"/>
      <c r="N64" s="15"/>
      <c r="O64" s="15"/>
      <c r="P64" s="15"/>
      <c r="Q64" s="15"/>
      <c r="R64" s="16"/>
      <c r="S64" s="121"/>
      <c r="T64" s="121"/>
      <c r="U64" s="14" t="s">
        <v>131</v>
      </c>
      <c r="V64" s="15"/>
      <c r="W64" s="16"/>
      <c r="X64" s="121"/>
    </row>
    <row r="65">
      <c r="B65" s="169" t="str">
        <f>IFERROR(__xludf.DUMMYFUNCTION("FILTER({Advancements!$H:$H}, Advancements!$B:$B=""Unique"", Advancements!$G:$G=False)"),"")</f>
        <v/>
      </c>
      <c r="D65" s="170" t="str">
        <f>IFERROR(__xludf.DUMMYFUNCTION("FILTER({Advancements!$I:$I}, Advancements!$B:$B=""Unique"", Advancements!$G:$G=False)"),"Blind as a Bat")</f>
        <v>Blind as a Bat</v>
      </c>
      <c r="H65" s="171" t="str">
        <f>IFERROR(__xludf.DUMMYFUNCTION("FILTER({Advancements!$J:$J}, Advancements!$B:$B=""Unique"", Advancements!$G:$G=False)"),"Kill a Bat while under the blindness or darkness effect")</f>
        <v>Kill a Bat while under the blindness or darkness effect</v>
      </c>
      <c r="R65" s="54"/>
      <c r="S65" s="121"/>
      <c r="T65" s="121"/>
      <c r="U65" s="172" t="str">
        <f>IFERROR(__xludf.DUMMYFUNCTION("FILTER({ItemsBlocks!D:E}, ItemsBlocks!C:C=False)"),"")</f>
        <v/>
      </c>
      <c r="V65" s="173" t="str">
        <f>IFERROR(__xludf.DUMMYFUNCTION("""COMPUTED_VALUE"""),"Acacia Boat")</f>
        <v>Acacia Boat</v>
      </c>
      <c r="W65" s="174"/>
      <c r="X65" s="121"/>
    </row>
    <row r="66">
      <c r="B66" s="169" t="str">
        <f>IFERROR(__xludf.DUMMYFUNCTION("""COMPUTED_VALUE"""),"")</f>
        <v/>
      </c>
      <c r="D66" s="170" t="str">
        <f>IFERROR(__xludf.DUMMYFUNCTION("""COMPUTED_VALUE"""),"Pixel Perfect")</f>
        <v>Pixel Perfect</v>
      </c>
      <c r="H66" s="171" t="str">
        <f>IFERROR(__xludf.DUMMYFUNCTION("""COMPUTED_VALUE"""),"Use a Spyglass to stare at a bat from at least 50 blocks away")</f>
        <v>Use a Spyglass to stare at a bat from at least 50 blocks away</v>
      </c>
      <c r="R66" s="54"/>
      <c r="S66" s="121"/>
      <c r="T66" s="121"/>
      <c r="U66" s="172" t="str">
        <f>IFERROR(__xludf.DUMMYFUNCTION("""COMPUTED_VALUE"""),"")</f>
        <v/>
      </c>
      <c r="V66" s="173" t="str">
        <f>IFERROR(__xludf.DUMMYFUNCTION("""COMPUTED_VALUE"""),"Acacia Button")</f>
        <v>Acacia Button</v>
      </c>
      <c r="W66" s="174"/>
      <c r="X66" s="121"/>
    </row>
    <row r="67">
      <c r="B67" s="169" t="str">
        <f>IFERROR(__xludf.DUMMYFUNCTION("""COMPUTED_VALUE"""),"")</f>
        <v/>
      </c>
      <c r="D67" s="170" t="str">
        <f>IFERROR(__xludf.DUMMYFUNCTION("""COMPUTED_VALUE"""),"Dripstone Drop")</f>
        <v>Dripstone Drop</v>
      </c>
      <c r="H67" s="171" t="str">
        <f>IFERROR(__xludf.DUMMYFUNCTION("""COMPUTED_VALUE"""),"Survive a fall of at least 10 blocks onto some Pointed Dripstone (The pointed dripstone cannot be waterlogged)")</f>
        <v>Survive a fall of at least 10 blocks onto some Pointed Dripstone (The pointed dripstone cannot be waterlogged)</v>
      </c>
      <c r="R67" s="54"/>
      <c r="S67" s="121"/>
      <c r="T67" s="121"/>
      <c r="U67" s="172" t="str">
        <f>IFERROR(__xludf.DUMMYFUNCTION("""COMPUTED_VALUE"""),"")</f>
        <v/>
      </c>
      <c r="V67" s="173" t="str">
        <f>IFERROR(__xludf.DUMMYFUNCTION("""COMPUTED_VALUE"""),"Acacia Chest Boat")</f>
        <v>Acacia Chest Boat</v>
      </c>
      <c r="W67" s="174"/>
      <c r="X67" s="121"/>
    </row>
    <row r="68">
      <c r="B68" s="169" t="str">
        <f>IFERROR(__xludf.DUMMYFUNCTION("""COMPUTED_VALUE"""),"")</f>
        <v/>
      </c>
      <c r="D68" s="170" t="str">
        <f>IFERROR(__xludf.DUMMYFUNCTION("""COMPUTED_VALUE"""),"Lucky Break")</f>
        <v>Lucky Break</v>
      </c>
      <c r="H68" s="171" t="str">
        <f>IFERROR(__xludf.DUMMYFUNCTION("""COMPUTED_VALUE"""),"Survive a long fall with just a sliver of health remaining (Fall at least 15 blocks and have 1 or 2 health remaining upon landing)")</f>
        <v>Survive a long fall with just a sliver of health remaining (Fall at least 15 blocks and have 1 or 2 health remaining upon landing)</v>
      </c>
      <c r="R68" s="54"/>
      <c r="S68" s="121"/>
      <c r="T68" s="121"/>
      <c r="U68" s="172" t="str">
        <f>IFERROR(__xludf.DUMMYFUNCTION("""COMPUTED_VALUE"""),"")</f>
        <v/>
      </c>
      <c r="V68" s="173" t="str">
        <f>IFERROR(__xludf.DUMMYFUNCTION("""COMPUTED_VALUE"""),"Acacia Door")</f>
        <v>Acacia Door</v>
      </c>
      <c r="W68" s="174"/>
      <c r="X68" s="121"/>
    </row>
    <row r="69">
      <c r="B69" s="169" t="str">
        <f>IFERROR(__xludf.DUMMYFUNCTION("""COMPUTED_VALUE"""),"")</f>
        <v/>
      </c>
      <c r="D69" s="170" t="str">
        <f>IFERROR(__xludf.DUMMYFUNCTION("""COMPUTED_VALUE"""),"Caves &amp; Cliffs")</f>
        <v>Caves &amp; Cliffs</v>
      </c>
      <c r="H69" s="171" t="str">
        <f>IFERROR(__xludf.DUMMYFUNCTION("""COMPUTED_VALUE"""),"Free fall from the top of the world (build limit) to the bottom of the world and survive‌ (Drop from a point above y-level 319 and land below y-level -59)")</f>
        <v>Free fall from the top of the world (build limit) to the bottom of the world and survive‌ (Drop from a point above y-level 319 and land below y-level -59)</v>
      </c>
      <c r="R69" s="54"/>
      <c r="S69" s="121"/>
      <c r="T69" s="121"/>
      <c r="U69" s="172" t="str">
        <f>IFERROR(__xludf.DUMMYFUNCTION("""COMPUTED_VALUE"""),"")</f>
        <v/>
      </c>
      <c r="V69" s="173" t="str">
        <f>IFERROR(__xludf.DUMMYFUNCTION("""COMPUTED_VALUE"""),"Acacia Fence")</f>
        <v>Acacia Fence</v>
      </c>
      <c r="W69" s="174"/>
      <c r="X69" s="121"/>
    </row>
    <row r="70">
      <c r="B70" s="169" t="str">
        <f>IFERROR(__xludf.DUMMYFUNCTION("""COMPUTED_VALUE"""),"")</f>
        <v/>
      </c>
      <c r="D70" s="170" t="str">
        <f>IFERROR(__xludf.DUMMYFUNCTION("""COMPUTED_VALUE"""),"Chestful of Cobblestone")</f>
        <v>Chestful of Cobblestone</v>
      </c>
      <c r="H70" s="171" t="str">
        <f>IFERROR(__xludf.DUMMYFUNCTION("""COMPUTED_VALUE"""),"Mine 1728 cobblestone, place it in a chest, then stand on it in victory (27 stacks of 64 cobblestone in a single chest. You must stand on top of the chest)")</f>
        <v>Mine 1728 cobblestone, place it in a chest, then stand on it in victory (27 stacks of 64 cobblestone in a single chest. You must stand on top of the chest)</v>
      </c>
      <c r="R70" s="54"/>
      <c r="S70" s="121"/>
      <c r="T70" s="121"/>
      <c r="U70" s="172" t="str">
        <f>IFERROR(__xludf.DUMMYFUNCTION("""COMPUTED_VALUE"""),"")</f>
        <v/>
      </c>
      <c r="V70" s="173" t="str">
        <f>IFERROR(__xludf.DUMMYFUNCTION("""COMPUTED_VALUE"""),"Acacia Fence Gate")</f>
        <v>Acacia Fence Gate</v>
      </c>
      <c r="W70" s="174"/>
      <c r="X70" s="121"/>
    </row>
    <row r="71">
      <c r="B71" s="169" t="str">
        <f>IFERROR(__xludf.DUMMYFUNCTION("""COMPUTED_VALUE"""),"")</f>
        <v/>
      </c>
      <c r="D71" s="170" t="str">
        <f>IFERROR(__xludf.DUMMYFUNCTION("""COMPUTED_VALUE"""),"Bulldozer")</f>
        <v>Bulldozer</v>
      </c>
      <c r="H71" s="171" t="str">
        <f>IFERROR(__xludf.DUMMYFUNCTION("""COMPUTED_VALUE"""),"Destroy a total of 10,000 blocks of stone (Mine a total of 10,000 blocks of stone)")</f>
        <v>Destroy a total of 10,000 blocks of stone (Mine a total of 10,000 blocks of stone)</v>
      </c>
      <c r="R71" s="54"/>
      <c r="S71" s="121"/>
      <c r="T71" s="121"/>
      <c r="U71" s="172" t="str">
        <f>IFERROR(__xludf.DUMMYFUNCTION("""COMPUTED_VALUE"""),"")</f>
        <v/>
      </c>
      <c r="V71" s="173" t="str">
        <f>IFERROR(__xludf.DUMMYFUNCTION("""COMPUTED_VALUE"""),"Acacia Hanging Sign")</f>
        <v>Acacia Hanging Sign</v>
      </c>
      <c r="W71" s="174"/>
      <c r="X71" s="121"/>
    </row>
    <row r="72">
      <c r="B72" s="169" t="str">
        <f>IFERROR(__xludf.DUMMYFUNCTION("""COMPUTED_VALUE"""),"")</f>
        <v/>
      </c>
      <c r="D72" s="170" t="str">
        <f>IFERROR(__xludf.DUMMYFUNCTION("""COMPUTED_VALUE"""),"Surge Protector")</f>
        <v>Surge Protector</v>
      </c>
      <c r="H72" s="171" t="str">
        <f>IFERROR(__xludf.DUMMYFUNCTION("""COMPUTED_VALUE"""),"Protect a villager from an undesired shock without starting a fire (Have lightning strike a lightning rod with a villager standing at a safe distance away)")</f>
        <v>Protect a villager from an undesired shock without starting a fire (Have lightning strike a lightning rod with a villager standing at a safe distance away)</v>
      </c>
      <c r="R72" s="54"/>
      <c r="S72" s="121"/>
      <c r="T72" s="121"/>
      <c r="U72" s="172" t="str">
        <f>IFERROR(__xludf.DUMMYFUNCTION("""COMPUTED_VALUE"""),"")</f>
        <v/>
      </c>
      <c r="V72" s="173" t="str">
        <f>IFERROR(__xludf.DUMMYFUNCTION("""COMPUTED_VALUE"""),"Acacia Leaves")</f>
        <v>Acacia Leaves</v>
      </c>
      <c r="W72" s="174"/>
      <c r="X72" s="121"/>
    </row>
    <row r="73">
      <c r="B73" s="169" t="str">
        <f>IFERROR(__xludf.DUMMYFUNCTION("""COMPUTED_VALUE"""),"")</f>
        <v/>
      </c>
      <c r="D73" s="170" t="str">
        <f>IFERROR(__xludf.DUMMYFUNCTION("""COMPUTED_VALUE"""),"Called Shot")</f>
        <v>Called Shot</v>
      </c>
      <c r="H73" s="171" t="str">
        <f>IFERROR(__xludf.DUMMYFUNCTION("""COMPUTED_VALUE"""),"Get struck by lightning while standing on a Lightning Rod")</f>
        <v>Get struck by lightning while standing on a Lightning Rod</v>
      </c>
      <c r="R73" s="54"/>
      <c r="S73" s="121"/>
      <c r="T73" s="121"/>
      <c r="U73" s="172" t="str">
        <f>IFERROR(__xludf.DUMMYFUNCTION("""COMPUTED_VALUE"""),"")</f>
        <v/>
      </c>
      <c r="V73" s="173" t="str">
        <f>IFERROR(__xludf.DUMMYFUNCTION("""COMPUTED_VALUE"""),"Acacia Log")</f>
        <v>Acacia Log</v>
      </c>
      <c r="W73" s="174"/>
      <c r="X73" s="121"/>
    </row>
    <row r="74">
      <c r="B74" s="169" t="str">
        <f>IFERROR(__xludf.DUMMYFUNCTION("""COMPUTED_VALUE"""),"")</f>
        <v/>
      </c>
      <c r="D74" s="170" t="str">
        <f>IFERROR(__xludf.DUMMYFUNCTION("""COMPUTED_VALUE"""),"MOAR Broken Tools")</f>
        <v>MOAR Broken Tools</v>
      </c>
      <c r="H74" s="171" t="str">
        <f>IFERROR(__xludf.DUMMYFUNCTION("""COMPUTED_VALUE"""),"Break every single tool in the game (See requirement notes below)")</f>
        <v>Break every single tool in the game (See requirement notes below)</v>
      </c>
      <c r="R74" s="54"/>
      <c r="S74" s="121"/>
      <c r="T74" s="121"/>
      <c r="U74" s="172" t="str">
        <f>IFERROR(__xludf.DUMMYFUNCTION("""COMPUTED_VALUE"""),"")</f>
        <v/>
      </c>
      <c r="V74" s="173" t="str">
        <f>IFERROR(__xludf.DUMMYFUNCTION("""COMPUTED_VALUE"""),"Acacia Planks")</f>
        <v>Acacia Planks</v>
      </c>
      <c r="W74" s="174"/>
      <c r="X74" s="121"/>
    </row>
    <row r="75">
      <c r="B75" s="169" t="str">
        <f>IFERROR(__xludf.DUMMYFUNCTION("""COMPUTED_VALUE"""),"")</f>
        <v/>
      </c>
      <c r="D75" s="170" t="str">
        <f>IFERROR(__xludf.DUMMYFUNCTION("""COMPUTED_VALUE"""),"Where are all your clothes?")</f>
        <v>Where are all your clothes?</v>
      </c>
      <c r="H75" s="171" t="str">
        <f>IFERROR(__xludf.DUMMYFUNCTION("""COMPUTED_VALUE"""),"Break every type of armor piece in the game (See requirement notes below)")</f>
        <v>Break every type of armor piece in the game (See requirement notes below)</v>
      </c>
      <c r="R75" s="54"/>
      <c r="S75" s="121"/>
      <c r="T75" s="121"/>
      <c r="U75" s="172" t="str">
        <f>IFERROR(__xludf.DUMMYFUNCTION("""COMPUTED_VALUE"""),"")</f>
        <v/>
      </c>
      <c r="V75" s="173" t="str">
        <f>IFERROR(__xludf.DUMMYFUNCTION("""COMPUTED_VALUE"""),"Acacia Pressure Plate")</f>
        <v>Acacia Pressure Plate</v>
      </c>
      <c r="W75" s="174"/>
      <c r="X75" s="121"/>
    </row>
    <row r="76">
      <c r="B76" s="169" t="str">
        <f>IFERROR(__xludf.DUMMYFUNCTION("""COMPUTED_VALUE"""),"")</f>
        <v/>
      </c>
      <c r="D76" s="170" t="str">
        <f>IFERROR(__xludf.DUMMYFUNCTION("""COMPUTED_VALUE"""),"Delicious, Hot Schmoes!")</f>
        <v>Delicious, Hot Schmoes!</v>
      </c>
      <c r="H76" s="171" t="str">
        <f>IFERROR(__xludf.DUMMYFUNCTION("""COMPUTED_VALUE"""),"Place every type of cookable food on a campfire (See requirement notes below)")</f>
        <v>Place every type of cookable food on a campfire (See requirement notes below)</v>
      </c>
      <c r="R76" s="54"/>
      <c r="S76" s="121"/>
      <c r="T76" s="121"/>
      <c r="U76" s="172" t="str">
        <f>IFERROR(__xludf.DUMMYFUNCTION("""COMPUTED_VALUE"""),"")</f>
        <v/>
      </c>
      <c r="V76" s="173" t="str">
        <f>IFERROR(__xludf.DUMMYFUNCTION("""COMPUTED_VALUE"""),"Acacia Sapling")</f>
        <v>Acacia Sapling</v>
      </c>
      <c r="W76" s="174"/>
      <c r="X76" s="121"/>
    </row>
    <row r="77">
      <c r="B77" s="169" t="str">
        <f>IFERROR(__xludf.DUMMYFUNCTION("""COMPUTED_VALUE"""),"")</f>
        <v/>
      </c>
      <c r="D77" s="170" t="str">
        <f>IFERROR(__xludf.DUMMYFUNCTION("""COMPUTED_VALUE"""),"Spawn Camping")</f>
        <v>Spawn Camping</v>
      </c>
      <c r="H77" s="171" t="str">
        <f>IFERROR(__xludf.DUMMYFUNCTION("""COMPUTED_VALUE"""),"Travel close to 0,0 coordinates and place down a campfire (Place a campfire with x and z coordinates both being between -10 and 10)")</f>
        <v>Travel close to 0,0 coordinates and place down a campfire (Place a campfire with x and z coordinates both being between -10 and 10)</v>
      </c>
      <c r="R77" s="54"/>
      <c r="S77" s="121"/>
      <c r="T77" s="121"/>
      <c r="U77" s="172" t="str">
        <f>IFERROR(__xludf.DUMMYFUNCTION("""COMPUTED_VALUE"""),"")</f>
        <v/>
      </c>
      <c r="V77" s="173" t="str">
        <f>IFERROR(__xludf.DUMMYFUNCTION("""COMPUTED_VALUE"""),"Acacia Sign")</f>
        <v>Acacia Sign</v>
      </c>
      <c r="W77" s="174"/>
      <c r="X77" s="121"/>
    </row>
    <row r="78">
      <c r="B78" s="169" t="str">
        <f>IFERROR(__xludf.DUMMYFUNCTION("""COMPUTED_VALUE"""),"")</f>
        <v/>
      </c>
      <c r="D78" s="170" t="str">
        <f>IFERROR(__xludf.DUMMYFUNCTION("""COMPUTED_VALUE"""),"Living Dummy")</f>
        <v>Living Dummy</v>
      </c>
      <c r="H78" s="171" t="str">
        <f>IFERROR(__xludf.DUMMYFUNCTION("""COMPUTED_VALUE"""),"Get killed from hitting an Armor Stand (Get killed by thorns damage from an Armor Stand that is equipped with Thorns-enchanted armor)")</f>
        <v>Get killed from hitting an Armor Stand (Get killed by thorns damage from an Armor Stand that is equipped with Thorns-enchanted armor)</v>
      </c>
      <c r="R78" s="54"/>
      <c r="S78" s="121"/>
      <c r="T78" s="121"/>
      <c r="U78" s="172" t="str">
        <f>IFERROR(__xludf.DUMMYFUNCTION("""COMPUTED_VALUE"""),"")</f>
        <v/>
      </c>
      <c r="V78" s="173" t="str">
        <f>IFERROR(__xludf.DUMMYFUNCTION("""COMPUTED_VALUE"""),"Acacia Slab")</f>
        <v>Acacia Slab</v>
      </c>
      <c r="W78" s="174"/>
      <c r="X78" s="121"/>
    </row>
    <row r="79">
      <c r="B79" s="169" t="str">
        <f>IFERROR(__xludf.DUMMYFUNCTION("""COMPUTED_VALUE"""),"")</f>
        <v/>
      </c>
      <c r="D79" s="170" t="str">
        <f>IFERROR(__xludf.DUMMYFUNCTION("""COMPUTED_VALUE"""),"A Mangrove Grove")</f>
        <v>A Mangrove Grove</v>
      </c>
      <c r="H79" s="171" t="str">
        <f>IFERROR(__xludf.DUMMYFUNCTION("""COMPUTED_VALUE"""),"Plant a Mangrove Propagule in a Grove biome")</f>
        <v>Plant a Mangrove Propagule in a Grove biome</v>
      </c>
      <c r="R79" s="54"/>
      <c r="S79" s="121"/>
      <c r="T79" s="121"/>
      <c r="U79" s="172" t="str">
        <f>IFERROR(__xludf.DUMMYFUNCTION("""COMPUTED_VALUE"""),"")</f>
        <v/>
      </c>
      <c r="V79" s="173" t="str">
        <f>IFERROR(__xludf.DUMMYFUNCTION("""COMPUTED_VALUE"""),"Acacia Stairs")</f>
        <v>Acacia Stairs</v>
      </c>
      <c r="W79" s="174"/>
      <c r="X79" s="121"/>
    </row>
    <row r="80">
      <c r="B80" s="169" t="str">
        <f>IFERROR(__xludf.DUMMYFUNCTION("""COMPUTED_VALUE"""),"")</f>
        <v/>
      </c>
      <c r="D80" s="170" t="str">
        <f>IFERROR(__xludf.DUMMYFUNCTION("""COMPUTED_VALUE"""),"An Apple a Day")</f>
        <v>An Apple a Day</v>
      </c>
      <c r="H80" s="171" t="str">
        <f>IFERROR(__xludf.DUMMYFUNCTION("""COMPUTED_VALUE"""),"Eat an Apple every day for 30 in-game days (See requirement notes below)")</f>
        <v>Eat an Apple every day for 30 in-game days (See requirement notes below)</v>
      </c>
      <c r="R80" s="54"/>
      <c r="S80" s="121"/>
      <c r="T80" s="121"/>
      <c r="U80" s="172" t="str">
        <f>IFERROR(__xludf.DUMMYFUNCTION("""COMPUTED_VALUE"""),"")</f>
        <v/>
      </c>
      <c r="V80" s="173" t="str">
        <f>IFERROR(__xludf.DUMMYFUNCTION("""COMPUTED_VALUE"""),"Acacia Trapdoor")</f>
        <v>Acacia Trapdoor</v>
      </c>
      <c r="W80" s="174"/>
      <c r="X80" s="121"/>
    </row>
    <row r="81">
      <c r="B81" s="169" t="str">
        <f>IFERROR(__xludf.DUMMYFUNCTION("""COMPUTED_VALUE"""),"")</f>
        <v/>
      </c>
      <c r="D81" s="170" t="str">
        <f>IFERROR(__xludf.DUMMYFUNCTION("""COMPUTED_VALUE"""),"I'm gonna be sick!")</f>
        <v>I'm gonna be sick!</v>
      </c>
      <c r="H81" s="171" t="str">
        <f>IFERROR(__xludf.DUMMYFUNCTION("""COMPUTED_VALUE"""),"Slurp every type of suspicious stew (See requirement notes below)")</f>
        <v>Slurp every type of suspicious stew (See requirement notes below)</v>
      </c>
      <c r="R81" s="54"/>
      <c r="S81" s="121"/>
      <c r="T81" s="121"/>
      <c r="U81" s="172" t="str">
        <f>IFERROR(__xludf.DUMMYFUNCTION("""COMPUTED_VALUE"""),"")</f>
        <v/>
      </c>
      <c r="V81" s="173" t="str">
        <f>IFERROR(__xludf.DUMMYFUNCTION("""COMPUTED_VALUE"""),"Acacia Wood")</f>
        <v>Acacia Wood</v>
      </c>
      <c r="W81" s="174"/>
      <c r="X81" s="121"/>
    </row>
    <row r="82">
      <c r="B82" s="169" t="str">
        <f>IFERROR(__xludf.DUMMYFUNCTION("""COMPUTED_VALUE"""),"")</f>
        <v/>
      </c>
      <c r="D82" s="170" t="str">
        <f>IFERROR(__xludf.DUMMYFUNCTION("""COMPUTED_VALUE"""),"Castaway")</f>
        <v>Castaway</v>
      </c>
      <c r="H82" s="171" t="str">
        <f>IFERROR(__xludf.DUMMYFUNCTION("""COMPUTED_VALUE"""),"Eat nothing but dried kelp for three in-game days (Eat dried kelp once; in the following three in-game days, eat nothing but dried kelp.)")</f>
        <v>Eat nothing but dried kelp for three in-game days (Eat dried kelp once; in the following three in-game days, eat nothing but dried kelp.)</v>
      </c>
      <c r="R82" s="54"/>
      <c r="S82" s="121"/>
      <c r="T82" s="121"/>
      <c r="U82" s="172" t="str">
        <f>IFERROR(__xludf.DUMMYFUNCTION("""COMPUTED_VALUE"""),"")</f>
        <v/>
      </c>
      <c r="V82" s="173" t="str">
        <f>IFERROR(__xludf.DUMMYFUNCTION("""COMPUTED_VALUE"""),"Activator Rail")</f>
        <v>Activator Rail</v>
      </c>
      <c r="W82" s="174"/>
      <c r="X82" s="121"/>
    </row>
    <row r="83">
      <c r="B83" s="169" t="str">
        <f>IFERROR(__xludf.DUMMYFUNCTION("""COMPUTED_VALUE"""),"")</f>
        <v/>
      </c>
      <c r="D83" s="170" t="str">
        <f>IFERROR(__xludf.DUMMYFUNCTION("""COMPUTED_VALUE"""),"Must be your birthday")</f>
        <v>Must be your birthday</v>
      </c>
      <c r="H83" s="171" t="str">
        <f>IFERROR(__xludf.DUMMYFUNCTION("""COMPUTED_VALUE"""),"Eat 100 slices of cake")</f>
        <v>Eat 100 slices of cake</v>
      </c>
      <c r="R83" s="54"/>
      <c r="S83" s="121"/>
      <c r="T83" s="121"/>
      <c r="U83" s="172" t="str">
        <f>IFERROR(__xludf.DUMMYFUNCTION("""COMPUTED_VALUE"""),"")</f>
        <v/>
      </c>
      <c r="V83" s="173" t="str">
        <f>IFERROR(__xludf.DUMMYFUNCTION("""COMPUTED_VALUE"""),"Allium")</f>
        <v>Allium</v>
      </c>
      <c r="W83" s="174"/>
      <c r="X83" s="121"/>
    </row>
    <row r="84">
      <c r="B84" s="169" t="str">
        <f>IFERROR(__xludf.DUMMYFUNCTION("""COMPUTED_VALUE"""),"")</f>
        <v/>
      </c>
      <c r="D84" s="170" t="str">
        <f>IFERROR(__xludf.DUMMYFUNCTION("""COMPUTED_VALUE"""),"Combine Harvester")</f>
        <v>Combine Harvester</v>
      </c>
      <c r="H84" s="171" t="str">
        <f>IFERROR(__xludf.DUMMYFUNCTION("""COMPUTED_VALUE"""),"Use bone meal on everything that can be grown (See requirement notes below)")</f>
        <v>Use bone meal on everything that can be grown (See requirement notes below)</v>
      </c>
      <c r="R84" s="54"/>
      <c r="S84" s="121"/>
      <c r="T84" s="121"/>
      <c r="U84" s="172" t="str">
        <f>IFERROR(__xludf.DUMMYFUNCTION("""COMPUTED_VALUE"""),"")</f>
        <v/>
      </c>
      <c r="V84" s="173" t="str">
        <f>IFERROR(__xludf.DUMMYFUNCTION("""COMPUTED_VALUE"""),"Amethyst Block")</f>
        <v>Amethyst Block</v>
      </c>
      <c r="W84" s="174"/>
      <c r="X84" s="121"/>
    </row>
    <row r="85">
      <c r="B85" s="169" t="str">
        <f>IFERROR(__xludf.DUMMYFUNCTION("""COMPUTED_VALUE"""),"")</f>
        <v/>
      </c>
      <c r="D85" s="170" t="str">
        <f>IFERROR(__xludf.DUMMYFUNCTION("""COMPUTED_VALUE"""),"What's new with composting?")</f>
        <v>What's new with composting?</v>
      </c>
      <c r="H85" s="171" t="str">
        <f>IFERROR(__xludf.DUMMYFUNCTION("""COMPUTED_VALUE"""),"Compost every type of compostable item in a Composter (See requirement notes below)")</f>
        <v>Compost every type of compostable item in a Composter (See requirement notes below)</v>
      </c>
      <c r="R85" s="54"/>
      <c r="S85" s="121"/>
      <c r="T85" s="121"/>
      <c r="U85" s="172" t="str">
        <f>IFERROR(__xludf.DUMMYFUNCTION("""COMPUTED_VALUE"""),"")</f>
        <v/>
      </c>
      <c r="V85" s="173" t="str">
        <f>IFERROR(__xludf.DUMMYFUNCTION("""COMPUTED_VALUE"""),"Amethyst Cluster")</f>
        <v>Amethyst Cluster</v>
      </c>
      <c r="W85" s="174"/>
      <c r="X85" s="121"/>
    </row>
    <row r="86">
      <c r="B86" s="169" t="str">
        <f>IFERROR(__xludf.DUMMYFUNCTION("""COMPUTED_VALUE"""),"")</f>
        <v/>
      </c>
      <c r="D86" s="170" t="str">
        <f>IFERROR(__xludf.DUMMYFUNCTION("""COMPUTED_VALUE"""),"A Balanced Diet")</f>
        <v>A Balanced Diet</v>
      </c>
      <c r="H86" s="171" t="str">
        <f>IFERROR(__xludf.DUMMYFUNCTION("""COMPUTED_VALUE"""),"Eat everything that is edible, even if it's not good for you (Eat every food required for ""Vegetarian"" and ""Meat Lovers"")")</f>
        <v>Eat everything that is edible, even if it's not good for you (Eat every food required for "Vegetarian" and "Meat Lovers")</v>
      </c>
      <c r="R86" s="54"/>
      <c r="S86" s="121"/>
      <c r="T86" s="121"/>
      <c r="U86" s="172" t="str">
        <f>IFERROR(__xludf.DUMMYFUNCTION("""COMPUTED_VALUE"""),"")</f>
        <v/>
      </c>
      <c r="V86" s="173" t="str">
        <f>IFERROR(__xludf.DUMMYFUNCTION("""COMPUTED_VALUE"""),"Amethyst Shard")</f>
        <v>Amethyst Shard</v>
      </c>
      <c r="W86" s="174"/>
      <c r="X86" s="121"/>
    </row>
    <row r="87">
      <c r="B87" s="169" t="str">
        <f>IFERROR(__xludf.DUMMYFUNCTION("""COMPUTED_VALUE"""),"")</f>
        <v/>
      </c>
      <c r="D87" s="170" t="str">
        <f>IFERROR(__xludf.DUMMYFUNCTION("""COMPUTED_VALUE"""),"Bunny Lover")</f>
        <v>Bunny Lover</v>
      </c>
      <c r="H87" s="171" t="str">
        <f>IFERROR(__xludf.DUMMYFUNCTION("""COMPUTED_VALUE"""),"Breed a baby bunny of every variant (See requirement notes below)")</f>
        <v>Breed a baby bunny of every variant (See requirement notes below)</v>
      </c>
      <c r="R87" s="54"/>
      <c r="S87" s="121"/>
      <c r="T87" s="121"/>
      <c r="U87" s="172" t="str">
        <f>IFERROR(__xludf.DUMMYFUNCTION("""COMPUTED_VALUE"""),"")</f>
        <v/>
      </c>
      <c r="V87" s="173" t="str">
        <f>IFERROR(__xludf.DUMMYFUNCTION("""COMPUTED_VALUE"""),"Ancient Debris")</f>
        <v>Ancient Debris</v>
      </c>
      <c r="W87" s="174"/>
      <c r="X87" s="121"/>
    </row>
    <row r="88">
      <c r="B88" s="169" t="str">
        <f>IFERROR(__xludf.DUMMYFUNCTION("""COMPUTED_VALUE"""),"")</f>
        <v/>
      </c>
      <c r="D88" s="170" t="str">
        <f>IFERROR(__xludf.DUMMYFUNCTION("""COMPUTED_VALUE"""),"Going Down the Rabbit Hole")</f>
        <v>Going Down the Rabbit Hole</v>
      </c>
      <c r="H88" s="171" t="str">
        <f>IFERROR(__xludf.DUMMYFUNCTION("""COMPUTED_VALUE"""),"Bring a rabbit to the bottom of the world, then kill it (Kill a rabbit that is below y-level -59.5)")</f>
        <v>Bring a rabbit to the bottom of the world, then kill it (Kill a rabbit that is below y-level -59.5)</v>
      </c>
      <c r="R88" s="54"/>
      <c r="S88" s="121"/>
      <c r="T88" s="121"/>
      <c r="U88" s="172" t="str">
        <f>IFERROR(__xludf.DUMMYFUNCTION("""COMPUTED_VALUE"""),"")</f>
        <v/>
      </c>
      <c r="V88" s="173" t="str">
        <f>IFERROR(__xludf.DUMMYFUNCTION("""COMPUTED_VALUE"""),"Andesite")</f>
        <v>Andesite</v>
      </c>
      <c r="W88" s="174"/>
      <c r="X88" s="121"/>
    </row>
    <row r="89">
      <c r="B89" s="169" t="str">
        <f>IFERROR(__xludf.DUMMYFUNCTION("""COMPUTED_VALUE"""),"")</f>
        <v/>
      </c>
      <c r="D89" s="170" t="str">
        <f>IFERROR(__xludf.DUMMYFUNCTION("""COMPUTED_VALUE"""),"Just Keeps Going")</f>
        <v>Just Keeps Going</v>
      </c>
      <c r="H89" s="171" t="str">
        <f>IFERROR(__xludf.DUMMYFUNCTION("""COMPUTED_VALUE"""),"Eat Rabbit Stew, then avoid eating for the next 3 in-game days (Eat Rabbit Stew once; in the following 3 days, eat nothing else)")</f>
        <v>Eat Rabbit Stew, then avoid eating for the next 3 in-game days (Eat Rabbit Stew once; in the following 3 days, eat nothing else)</v>
      </c>
      <c r="R89" s="54"/>
      <c r="S89" s="121"/>
      <c r="T89" s="121"/>
      <c r="U89" s="172" t="str">
        <f>IFERROR(__xludf.DUMMYFUNCTION("""COMPUTED_VALUE"""),"")</f>
        <v/>
      </c>
      <c r="V89" s="173" t="str">
        <f>IFERROR(__xludf.DUMMYFUNCTION("""COMPUTED_VALUE"""),"Andesite Slab")</f>
        <v>Andesite Slab</v>
      </c>
      <c r="W89" s="174"/>
      <c r="X89" s="121"/>
    </row>
    <row r="90">
      <c r="B90" s="169" t="str">
        <f>IFERROR(__xludf.DUMMYFUNCTION("""COMPUTED_VALUE"""),"")</f>
        <v/>
      </c>
      <c r="D90" s="170" t="str">
        <f>IFERROR(__xludf.DUMMYFUNCTION("""COMPUTED_VALUE"""),"Milkshroom")</f>
        <v>Milkshroom</v>
      </c>
      <c r="H90" s="171" t="str">
        <f>IFERROR(__xludf.DUMMYFUNCTION("""COMPUTED_VALUE"""),"Milk a mooshroom with a bowl to get mushroom stew")</f>
        <v>Milk a mooshroom with a bowl to get mushroom stew</v>
      </c>
      <c r="R90" s="54"/>
      <c r="S90" s="121"/>
      <c r="T90" s="121"/>
      <c r="U90" s="172" t="str">
        <f>IFERROR(__xludf.DUMMYFUNCTION("""COMPUTED_VALUE"""),"")</f>
        <v/>
      </c>
      <c r="V90" s="173" t="str">
        <f>IFERROR(__xludf.DUMMYFUNCTION("""COMPUTED_VALUE"""),"Andesite Stairs")</f>
        <v>Andesite Stairs</v>
      </c>
      <c r="W90" s="174"/>
      <c r="X90" s="121"/>
    </row>
    <row r="91">
      <c r="B91" s="169" t="str">
        <f>IFERROR(__xludf.DUMMYFUNCTION("""COMPUTED_VALUE"""),"")</f>
        <v/>
      </c>
      <c r="D91" s="170" t="str">
        <f>IFERROR(__xludf.DUMMYFUNCTION("""COMPUTED_VALUE"""),"Overpopulation")</f>
        <v>Overpopulation</v>
      </c>
      <c r="H91" s="171" t="str">
        <f>IFERROR(__xludf.DUMMYFUNCTION("""COMPUTED_VALUE"""),"Breed every type of animal (See requirement notes below)")</f>
        <v>Breed every type of animal (See requirement notes below)</v>
      </c>
      <c r="R91" s="54"/>
      <c r="S91" s="121"/>
      <c r="T91" s="121"/>
      <c r="U91" s="172" t="str">
        <f>IFERROR(__xludf.DUMMYFUNCTION("""COMPUTED_VALUE"""),"")</f>
        <v/>
      </c>
      <c r="V91" s="173" t="str">
        <f>IFERROR(__xludf.DUMMYFUNCTION("""COMPUTED_VALUE"""),"Andesite Wall")</f>
        <v>Andesite Wall</v>
      </c>
      <c r="W91" s="174"/>
      <c r="X91" s="121"/>
    </row>
    <row r="92">
      <c r="B92" s="169" t="str">
        <f>IFERROR(__xludf.DUMMYFUNCTION("""COMPUTED_VALUE"""),"")</f>
        <v/>
      </c>
      <c r="D92" s="170" t="str">
        <f>IFERROR(__xludf.DUMMYFUNCTION("""COMPUTED_VALUE"""),"Animal Kingdom")</f>
        <v>Animal Kingdom</v>
      </c>
      <c r="H92" s="171" t="str">
        <f>IFERROR(__xludf.DUMMYFUNCTION("""COMPUTED_VALUE"""),"Bring one of every type of animal to one place (have them all within 32 blocks of you) (See requirement notes below)")</f>
        <v>Bring one of every type of animal to one place (have them all within 32 blocks of you) (See requirement notes below)</v>
      </c>
      <c r="R92" s="54"/>
      <c r="S92" s="121"/>
      <c r="T92" s="121"/>
      <c r="U92" s="172" t="str">
        <f>IFERROR(__xludf.DUMMYFUNCTION("""COMPUTED_VALUE"""),"")</f>
        <v/>
      </c>
      <c r="V92" s="173" t="str">
        <f>IFERROR(__xludf.DUMMYFUNCTION("""COMPUTED_VALUE"""),"Angler Pottery Sherd")</f>
        <v>Angler Pottery Sherd</v>
      </c>
      <c r="W92" s="174"/>
      <c r="X92" s="121"/>
    </row>
    <row r="93">
      <c r="B93" s="169" t="str">
        <f>IFERROR(__xludf.DUMMYFUNCTION("""COMPUTED_VALUE"""),"")</f>
        <v/>
      </c>
      <c r="D93" s="170" t="str">
        <f>IFERROR(__xludf.DUMMYFUNCTION("""COMPUTED_VALUE"""),"Birdkeeper")</f>
        <v>Birdkeeper</v>
      </c>
      <c r="H93" s="171" t="str">
        <f>IFERROR(__xludf.DUMMYFUNCTION("""COMPUTED_VALUE"""),"Tame all parrot variants (You have to tame: Red, Blue, Cyan, Green and Gray parrots)")</f>
        <v>Tame all parrot variants (You have to tame: Red, Blue, Cyan, Green and Gray parrots)</v>
      </c>
      <c r="R93" s="54"/>
      <c r="S93" s="121"/>
      <c r="T93" s="121"/>
      <c r="U93" s="172" t="str">
        <f>IFERROR(__xludf.DUMMYFUNCTION("""COMPUTED_VALUE"""),"")</f>
        <v/>
      </c>
      <c r="V93" s="173" t="str">
        <f>IFERROR(__xludf.DUMMYFUNCTION("""COMPUTED_VALUE"""),"Anvil")</f>
        <v>Anvil</v>
      </c>
      <c r="W93" s="174"/>
      <c r="X93" s="121"/>
    </row>
    <row r="94">
      <c r="B94" s="169" t="str">
        <f>IFERROR(__xludf.DUMMYFUNCTION("""COMPUTED_VALUE"""),"")</f>
        <v/>
      </c>
      <c r="D94" s="170" t="str">
        <f>IFERROR(__xludf.DUMMYFUNCTION("""COMPUTED_VALUE"""),"Whatever Floats Your Goat!")</f>
        <v>Whatever Floats Your Goat!</v>
      </c>
      <c r="H94" s="171" t="str">
        <f>IFERROR(__xludf.DUMMYFUNCTION("""COMPUTED_VALUE"""),"Get in a Boat and float with a Goat (Ride a boat that has a goat in it as well)")</f>
        <v>Get in a Boat and float with a Goat (Ride a boat that has a goat in it as well)</v>
      </c>
      <c r="R94" s="54"/>
      <c r="U94" s="172" t="str">
        <f>IFERROR(__xludf.DUMMYFUNCTION("""COMPUTED_VALUE"""),"")</f>
        <v/>
      </c>
      <c r="V94" s="173" t="str">
        <f>IFERROR(__xludf.DUMMYFUNCTION("""COMPUTED_VALUE"""),"Apple")</f>
        <v>Apple</v>
      </c>
      <c r="W94" s="174"/>
    </row>
    <row r="95">
      <c r="B95" s="169" t="str">
        <f>IFERROR(__xludf.DUMMYFUNCTION("""COMPUTED_VALUE"""),"")</f>
        <v/>
      </c>
      <c r="D95" s="170" t="str">
        <f>IFERROR(__xludf.DUMMYFUNCTION("""COMPUTED_VALUE"""),"Screaming Milk")</f>
        <v>Screaming Milk</v>
      </c>
      <c r="H95" s="171" t="str">
        <f>IFERROR(__xludf.DUMMYFUNCTION("""COMPUTED_VALUE"""),"Milk a screaming Goat")</f>
        <v>Milk a screaming Goat</v>
      </c>
      <c r="R95" s="54"/>
      <c r="U95" s="172" t="str">
        <f>IFERROR(__xludf.DUMMYFUNCTION("""COMPUTED_VALUE"""),"")</f>
        <v/>
      </c>
      <c r="V95" s="173" t="str">
        <f>IFERROR(__xludf.DUMMYFUNCTION("""COMPUTED_VALUE"""),"Archer Pottery Sherd")</f>
        <v>Archer Pottery Sherd</v>
      </c>
      <c r="W95" s="174"/>
    </row>
    <row r="96">
      <c r="B96" s="169" t="str">
        <f>IFERROR(__xludf.DUMMYFUNCTION("""COMPUTED_VALUE"""),"")</f>
        <v/>
      </c>
      <c r="D96" s="170" t="str">
        <f>IFERROR(__xludf.DUMMYFUNCTION("""COMPUTED_VALUE"""),"Loud and Proud")</f>
        <v>Loud and Proud</v>
      </c>
      <c r="H96" s="171" t="str">
        <f>IFERROR(__xludf.DUMMYFUNCTION("""COMPUTED_VALUE"""),"Play a Goat Horn in the Deep Dark (Play a Goat Horn in the Deep Dark or an Ancient City)")</f>
        <v>Play a Goat Horn in the Deep Dark (Play a Goat Horn in the Deep Dark or an Ancient City)</v>
      </c>
      <c r="R96" s="54"/>
      <c r="U96" s="172" t="str">
        <f>IFERROR(__xludf.DUMMYFUNCTION("""COMPUTED_VALUE"""),"")</f>
        <v/>
      </c>
      <c r="V96" s="173" t="str">
        <f>IFERROR(__xludf.DUMMYFUNCTION("""COMPUTED_VALUE"""),"Armadillo Scute")</f>
        <v>Armadillo Scute</v>
      </c>
      <c r="W96" s="174"/>
    </row>
    <row r="97">
      <c r="B97" s="169" t="str">
        <f>IFERROR(__xludf.DUMMYFUNCTION("""COMPUTED_VALUE"""),"")</f>
        <v/>
      </c>
      <c r="D97" s="170" t="str">
        <f>IFERROR(__xludf.DUMMYFUNCTION("""COMPUTED_VALUE"""),"Silence of the Lambs")</f>
        <v>Silence of the Lambs</v>
      </c>
      <c r="H97" s="171" t="str">
        <f>IFERROR(__xludf.DUMMYFUNCTION("""COMPUTED_VALUE"""),"Bring a Sheep into an Ancient City and silence it (Kill a Sheep in an Ancient City)")</f>
        <v>Bring a Sheep into an Ancient City and silence it (Kill a Sheep in an Ancient City)</v>
      </c>
      <c r="R97" s="54"/>
      <c r="U97" s="172" t="str">
        <f>IFERROR(__xludf.DUMMYFUNCTION("""COMPUTED_VALUE"""),"")</f>
        <v/>
      </c>
      <c r="V97" s="173" t="str">
        <f>IFERROR(__xludf.DUMMYFUNCTION("""COMPUTED_VALUE"""),"Armor Stand")</f>
        <v>Armor Stand</v>
      </c>
      <c r="W97" s="174"/>
    </row>
    <row r="98">
      <c r="B98" s="169" t="str">
        <f>IFERROR(__xludf.DUMMYFUNCTION("""COMPUTED_VALUE"""),"")</f>
        <v/>
      </c>
      <c r="D98" s="170" t="str">
        <f>IFERROR(__xludf.DUMMYFUNCTION("""COMPUTED_VALUE"""),"Battle of the Bands")</f>
        <v>Battle of the Bands</v>
      </c>
      <c r="H98" s="171" t="str">
        <f>IFERROR(__xludf.DUMMYFUNCTION("""COMPUTED_VALUE"""),"Blow into a Goat Horn during a raid (Play a Goat Horn while a raid mob is within 50 mobs)")</f>
        <v>Blow into a Goat Horn during a raid (Play a Goat Horn while a raid mob is within 50 mobs)</v>
      </c>
      <c r="R98" s="54"/>
      <c r="U98" s="172" t="str">
        <f>IFERROR(__xludf.DUMMYFUNCTION("""COMPUTED_VALUE"""),"")</f>
        <v/>
      </c>
      <c r="V98" s="173" t="str">
        <f>IFERROR(__xludf.DUMMYFUNCTION("""COMPUTED_VALUE"""),"Arms Up Pottery Sherd")</f>
        <v>Arms Up Pottery Sherd</v>
      </c>
      <c r="W98" s="174"/>
    </row>
    <row r="99">
      <c r="B99" s="169" t="str">
        <f>IFERROR(__xludf.DUMMYFUNCTION("""COMPUTED_VALUE"""),"")</f>
        <v/>
      </c>
      <c r="D99" s="170" t="str">
        <f>IFERROR(__xludf.DUMMYFUNCTION("""COMPUTED_VALUE"""),"WHERE'S THE HONEY LEBOWSKI")</f>
        <v>WHERE'S THE HONEY LEBOWSKI</v>
      </c>
      <c r="H99" s="171" t="str">
        <f>IFERROR(__xludf.DUMMYFUNCTION("""COMPUTED_VALUE"""),"Drink 100 bottles of honey")</f>
        <v>Drink 100 bottles of honey</v>
      </c>
      <c r="R99" s="54"/>
      <c r="U99" s="172" t="str">
        <f>IFERROR(__xludf.DUMMYFUNCTION("""COMPUTED_VALUE"""),"")</f>
        <v/>
      </c>
      <c r="V99" s="173" t="str">
        <f>IFERROR(__xludf.DUMMYFUNCTION("""COMPUTED_VALUE"""),"Arrow")</f>
        <v>Arrow</v>
      </c>
      <c r="W99" s="174"/>
    </row>
    <row r="100">
      <c r="B100" s="169" t="str">
        <f>IFERROR(__xludf.DUMMYFUNCTION("""COMPUTED_VALUE"""),"")</f>
        <v/>
      </c>
      <c r="D100" s="170" t="str">
        <f>IFERROR(__xludf.DUMMYFUNCTION("""COMPUTED_VALUE"""),"It's High Noon")</f>
        <v>It's High Noon</v>
      </c>
      <c r="H100" s="171" t="str">
        <f>IFERROR(__xludf.DUMMYFUNCTION("""COMPUTED_VALUE"""),"Snipe a Husk from 50 blocks away while riding a Horse (Kill a Husk with a projectile from at least 50 blocks away while you are riding a Horse)")</f>
        <v>Snipe a Husk from 50 blocks away while riding a Horse (Kill a Husk with a projectile from at least 50 blocks away while you are riding a Horse)</v>
      </c>
      <c r="R100" s="54"/>
      <c r="U100" s="172" t="str">
        <f>IFERROR(__xludf.DUMMYFUNCTION("""COMPUTED_VALUE"""),"")</f>
        <v/>
      </c>
      <c r="V100" s="173" t="str">
        <f>IFERROR(__xludf.DUMMYFUNCTION("""COMPUTED_VALUE"""),"Axolotl Bucket")</f>
        <v>Axolotl Bucket</v>
      </c>
      <c r="W100" s="174"/>
    </row>
    <row r="101">
      <c r="B101" s="169" t="str">
        <f>IFERROR(__xludf.DUMMYFUNCTION("""COMPUTED_VALUE"""),"")</f>
        <v/>
      </c>
      <c r="D101" s="170" t="str">
        <f>IFERROR(__xludf.DUMMYFUNCTION("""COMPUTED_VALUE"""),"Master Farrier")</f>
        <v>Master Farrier</v>
      </c>
      <c r="H101" s="171" t="str">
        <f>IFERROR(__xludf.DUMMYFUNCTION("""COMPUTED_VALUE"""),"Tame all horse variants (See requirement notes below)")</f>
        <v>Tame all horse variants (See requirement notes below)</v>
      </c>
      <c r="R101" s="54"/>
      <c r="U101" s="172" t="str">
        <f>IFERROR(__xludf.DUMMYFUNCTION("""COMPUTED_VALUE"""),"")</f>
        <v/>
      </c>
      <c r="V101" s="173" t="str">
        <f>IFERROR(__xludf.DUMMYFUNCTION("""COMPUTED_VALUE"""),"Azalea")</f>
        <v>Azalea</v>
      </c>
      <c r="W101" s="174"/>
    </row>
    <row r="102">
      <c r="B102" s="169" t="str">
        <f>IFERROR(__xludf.DUMMYFUNCTION("""COMPUTED_VALUE"""),"")</f>
        <v/>
      </c>
      <c r="D102" s="170" t="str">
        <f>IFERROR(__xludf.DUMMYFUNCTION("""COMPUTED_VALUE"""),"The High Road")</f>
        <v>The High Road</v>
      </c>
      <c r="H102" s="171" t="str">
        <f>IFERROR(__xludf.DUMMYFUNCTION("""COMPUTED_VALUE"""),"Kill a hostile monster with a melee attack while riding a Camel (The same mobs as what triggers ""Monster Hunter"" can be killed for this advancement)")</f>
        <v>Kill a hostile monster with a melee attack while riding a Camel (The same mobs as what triggers "Monster Hunter" can be killed for this advancement)</v>
      </c>
      <c r="R102" s="54"/>
      <c r="U102" s="172" t="str">
        <f>IFERROR(__xludf.DUMMYFUNCTION("""COMPUTED_VALUE"""),"")</f>
        <v/>
      </c>
      <c r="V102" s="173" t="str">
        <f>IFERROR(__xludf.DUMMYFUNCTION("""COMPUTED_VALUE"""),"Azalea Leaves")</f>
        <v>Azalea Leaves</v>
      </c>
      <c r="W102" s="174"/>
    </row>
    <row r="103">
      <c r="B103" s="169" t="str">
        <f>IFERROR(__xludf.DUMMYFUNCTION("""COMPUTED_VALUE"""),"")</f>
        <v/>
      </c>
      <c r="D103" s="170" t="str">
        <f>IFERROR(__xludf.DUMMYFUNCTION("""COMPUTED_VALUE"""),"Llama Llama Duck King")</f>
        <v>Llama Llama Duck King</v>
      </c>
      <c r="H103" s="171" t="str">
        <f>IFERROR(__xludf.DUMMYFUNCTION("""COMPUTED_VALUE"""),"Tame all llama variants (You have to tame: Creamy, White, Brown and Gray Llamas OR Trader Llamas)")</f>
        <v>Tame all llama variants (You have to tame: Creamy, White, Brown and Gray Llamas OR Trader Llamas)</v>
      </c>
      <c r="R103" s="54"/>
      <c r="U103" s="172" t="str">
        <f>IFERROR(__xludf.DUMMYFUNCTION("""COMPUTED_VALUE"""),"")</f>
        <v/>
      </c>
      <c r="V103" s="173" t="str">
        <f>IFERROR(__xludf.DUMMYFUNCTION("""COMPUTED_VALUE"""),"Azure Bluet")</f>
        <v>Azure Bluet</v>
      </c>
      <c r="W103" s="174"/>
    </row>
    <row r="104">
      <c r="B104" s="169" t="str">
        <f>IFERROR(__xludf.DUMMYFUNCTION("""COMPUTED_VALUE"""),"")</f>
        <v/>
      </c>
      <c r="D104" s="170" t="str">
        <f>IFERROR(__xludf.DUMMYFUNCTION("""COMPUTED_VALUE"""),"Llama Festival")</f>
        <v>Llama Festival</v>
      </c>
      <c r="H104" s="171" t="str">
        <f>IFERROR(__xludf.DUMMYFUNCTION("""COMPUTED_VALUE"""),"Sit on Llamas with all 16 colors of carpet. Getting off will reset your progress (This works with either Llamas or Trader Llamas)")</f>
        <v>Sit on Llamas with all 16 colors of carpet. Getting off will reset your progress (This works with either Llamas or Trader Llamas)</v>
      </c>
      <c r="R104" s="54"/>
      <c r="U104" s="172" t="str">
        <f>IFERROR(__xludf.DUMMYFUNCTION("""COMPUTED_VALUE"""),"")</f>
        <v/>
      </c>
      <c r="V104" s="173" t="str">
        <f>IFERROR(__xludf.DUMMYFUNCTION("""COMPUTED_VALUE"""),"Baked Potato")</f>
        <v>Baked Potato</v>
      </c>
      <c r="W104" s="174"/>
    </row>
    <row r="105">
      <c r="B105" s="169" t="str">
        <f>IFERROR(__xludf.DUMMYFUNCTION("""COMPUTED_VALUE"""),"")</f>
        <v/>
      </c>
      <c r="D105" s="170" t="str">
        <f>IFERROR(__xludf.DUMMYFUNCTION("""COMPUTED_VALUE"""),"Heavy Duty Caravan")</f>
        <v>Heavy Duty Caravan</v>
      </c>
      <c r="H105" s="171" t="str">
        <f>IFERROR(__xludf.DUMMYFUNCTION("""COMPUTED_VALUE"""),"Tame a llama with a strength of 5 (Tame a Llama or Trader Llama with a strength of 5)")</f>
        <v>Tame a llama with a strength of 5 (Tame a Llama or Trader Llama with a strength of 5)</v>
      </c>
      <c r="R105" s="54"/>
      <c r="U105" s="172" t="str">
        <f>IFERROR(__xludf.DUMMYFUNCTION("""COMPUTED_VALUE"""),"")</f>
        <v/>
      </c>
      <c r="V105" s="173" t="str">
        <f>IFERROR(__xludf.DUMMYFUNCTION("""COMPUTED_VALUE"""),"Bamboo")</f>
        <v>Bamboo</v>
      </c>
      <c r="W105" s="174"/>
    </row>
    <row r="106">
      <c r="B106" s="169" t="str">
        <f>IFERROR(__xludf.DUMMYFUNCTION("""COMPUTED_VALUE"""),"")</f>
        <v/>
      </c>
      <c r="D106" s="170" t="str">
        <f>IFERROR(__xludf.DUMMYFUNCTION("""COMPUTED_VALUE"""),"Follow the Leader")</f>
        <v>Follow the Leader</v>
      </c>
      <c r="H106" s="171" t="str">
        <f>IFERROR(__xludf.DUMMYFUNCTION("""COMPUTED_VALUE"""),"Attach a lead to every mob that can be leashed (See requirement notes below)")</f>
        <v>Attach a lead to every mob that can be leashed (See requirement notes below)</v>
      </c>
      <c r="R106" s="54"/>
      <c r="U106" s="172" t="str">
        <f>IFERROR(__xludf.DUMMYFUNCTION("""COMPUTED_VALUE"""),"")</f>
        <v/>
      </c>
      <c r="V106" s="173" t="str">
        <f>IFERROR(__xludf.DUMMYFUNCTION("""COMPUTED_VALUE"""),"Bamboo Block")</f>
        <v>Bamboo Block</v>
      </c>
      <c r="W106" s="174"/>
    </row>
    <row r="107">
      <c r="B107" s="169" t="str">
        <f>IFERROR(__xludf.DUMMYFUNCTION("""COMPUTED_VALUE"""),"")</f>
        <v/>
      </c>
      <c r="D107" s="170" t="str">
        <f>IFERROR(__xludf.DUMMYFUNCTION("""COMPUTED_VALUE"""),"Good as New")</f>
        <v>Good as New</v>
      </c>
      <c r="H107" s="171" t="str">
        <f>IFERROR(__xludf.DUMMYFUNCTION("""COMPUTED_VALUE"""),"Repair damaged Wolf Armor using Armadillo Scutes")</f>
        <v>Repair damaged Wolf Armor using Armadillo Scutes</v>
      </c>
      <c r="R107" s="54"/>
      <c r="U107" s="172" t="str">
        <f>IFERROR(__xludf.DUMMYFUNCTION("""COMPUTED_VALUE"""),"")</f>
        <v/>
      </c>
      <c r="V107" s="173" t="str">
        <f>IFERROR(__xludf.DUMMYFUNCTION("""COMPUTED_VALUE"""),"Bamboo Button")</f>
        <v>Bamboo Button</v>
      </c>
      <c r="W107" s="174"/>
    </row>
    <row r="108">
      <c r="B108" s="169" t="str">
        <f>IFERROR(__xludf.DUMMYFUNCTION("""COMPUTED_VALUE"""),"")</f>
        <v/>
      </c>
      <c r="D108" s="170" t="str">
        <f>IFERROR(__xludf.DUMMYFUNCTION("""COMPUTED_VALUE"""),"Shear Brilliance")</f>
        <v>Shear Brilliance</v>
      </c>
      <c r="H108" s="171" t="str">
        <f>IFERROR(__xludf.DUMMYFUNCTION("""COMPUTED_VALUE"""),"Remove Wolf Armor from a Wolf using Shears")</f>
        <v>Remove Wolf Armor from a Wolf using Shears</v>
      </c>
      <c r="R108" s="54"/>
      <c r="U108" s="172" t="str">
        <f>IFERROR(__xludf.DUMMYFUNCTION("""COMPUTED_VALUE"""),"")</f>
        <v/>
      </c>
      <c r="V108" s="173" t="str">
        <f>IFERROR(__xludf.DUMMYFUNCTION("""COMPUTED_VALUE"""),"Bamboo Chest Raft")</f>
        <v>Bamboo Chest Raft</v>
      </c>
      <c r="W108" s="174"/>
    </row>
    <row r="109">
      <c r="B109" s="169" t="str">
        <f>IFERROR(__xludf.DUMMYFUNCTION("""COMPUTED_VALUE"""),"")</f>
        <v/>
      </c>
      <c r="D109" s="170" t="str">
        <f>IFERROR(__xludf.DUMMYFUNCTION("""COMPUTED_VALUE"""),"Paw Patrol")</f>
        <v>Paw Patrol</v>
      </c>
      <c r="H109" s="171" t="str">
        <f>IFERROR(__xludf.DUMMYFUNCTION("""COMPUTED_VALUE"""),"Equip Wolves with Wolf Armor dyed blue, red, yellow, lime, pink and orange (Place Wolf Armor of each colour on wolves)")</f>
        <v>Equip Wolves with Wolf Armor dyed blue, red, yellow, lime, pink and orange (Place Wolf Armor of each colour on wolves)</v>
      </c>
      <c r="R109" s="54"/>
      <c r="U109" s="172" t="str">
        <f>IFERROR(__xludf.DUMMYFUNCTION("""COMPUTED_VALUE"""),"")</f>
        <v/>
      </c>
      <c r="V109" s="173" t="str">
        <f>IFERROR(__xludf.DUMMYFUNCTION("""COMPUTED_VALUE"""),"Bamboo Door")</f>
        <v>Bamboo Door</v>
      </c>
      <c r="W109" s="174"/>
    </row>
    <row r="110">
      <c r="B110" s="169" t="str">
        <f>IFERROR(__xludf.DUMMYFUNCTION("""COMPUTED_VALUE"""),"")</f>
        <v/>
      </c>
      <c r="D110" s="170" t="str">
        <f>IFERROR(__xludf.DUMMYFUNCTION("""COMPUTED_VALUE"""),"The Whole Pack")</f>
        <v>The Whole Pack</v>
      </c>
      <c r="H110" s="171" t="str">
        <f>IFERROR(__xludf.DUMMYFUNCTION("""COMPUTED_VALUE"""),"Tame one of each Wolf variant (Tame the wolf variants: Ashen, Black, Chestnut, Pale, Rusty, Snowy, Spotted, Striped and Woods)")</f>
        <v>Tame one of each Wolf variant (Tame the wolf variants: Ashen, Black, Chestnut, Pale, Rusty, Snowy, Spotted, Striped and Woods)</v>
      </c>
      <c r="R110" s="54"/>
      <c r="U110" s="172" t="str">
        <f>IFERROR(__xludf.DUMMYFUNCTION("""COMPUTED_VALUE"""),"")</f>
        <v/>
      </c>
      <c r="V110" s="173" t="str">
        <f>IFERROR(__xludf.DUMMYFUNCTION("""COMPUTED_VALUE"""),"Bamboo Fence")</f>
        <v>Bamboo Fence</v>
      </c>
      <c r="W110" s="174"/>
    </row>
    <row r="111">
      <c r="B111" s="169" t="str">
        <f>IFERROR(__xludf.DUMMYFUNCTION("""COMPUTED_VALUE"""),"")</f>
        <v/>
      </c>
      <c r="D111" s="170" t="str">
        <f>IFERROR(__xludf.DUMMYFUNCTION("""COMPUTED_VALUE"""),"Snow Fox 64")</f>
        <v>Snow Fox 64</v>
      </c>
      <c r="H111" s="171" t="str">
        <f>IFERROR(__xludf.DUMMYFUNCTION("""COMPUTED_VALUE"""),"Breed two snow foxes with sweet berries")</f>
        <v>Breed two snow foxes with sweet berries</v>
      </c>
      <c r="R111" s="54"/>
      <c r="U111" s="172" t="str">
        <f>IFERROR(__xludf.DUMMYFUNCTION("""COMPUTED_VALUE"""),"")</f>
        <v/>
      </c>
      <c r="V111" s="173" t="str">
        <f>IFERROR(__xludf.DUMMYFUNCTION("""COMPUTED_VALUE"""),"Bamboo Fence Gate")</f>
        <v>Bamboo Fence Gate</v>
      </c>
      <c r="W111" s="174"/>
    </row>
    <row r="112">
      <c r="B112" s="169" t="str">
        <f>IFERROR(__xludf.DUMMYFUNCTION("""COMPUTED_VALUE"""),"")</f>
        <v/>
      </c>
      <c r="D112" s="170" t="str">
        <f>IFERROR(__xludf.DUMMYFUNCTION("""COMPUTED_VALUE"""),"Blackberry Market")</f>
        <v>Blackberry Market</v>
      </c>
      <c r="H112" s="171" t="str">
        <f>IFERROR(__xludf.DUMMYFUNCTION("""COMPUTED_VALUE"""),"Trade some sweet berries to a Fox with an emerald in their mouth (Have a fox with an Emerald in its mouth pick up Sweet Berries that you dropped)")</f>
        <v>Trade some sweet berries to a Fox with an emerald in their mouth (Have a fox with an Emerald in its mouth pick up Sweet Berries that you dropped)</v>
      </c>
      <c r="R112" s="54"/>
      <c r="U112" s="172" t="str">
        <f>IFERROR(__xludf.DUMMYFUNCTION("""COMPUTED_VALUE"""),"")</f>
        <v/>
      </c>
      <c r="V112" s="173" t="str">
        <f>IFERROR(__xludf.DUMMYFUNCTION("""COMPUTED_VALUE"""),"Bamboo Hanging Sign")</f>
        <v>Bamboo Hanging Sign</v>
      </c>
      <c r="W112" s="174"/>
    </row>
    <row r="113">
      <c r="B113" s="169" t="str">
        <f>IFERROR(__xludf.DUMMYFUNCTION("""COMPUTED_VALUE"""),"")</f>
        <v/>
      </c>
      <c r="D113" s="170" t="str">
        <f>IFERROR(__xludf.DUMMYFUNCTION("""COMPUTED_VALUE"""),"Foxy Thievery")</f>
        <v>Foxy Thievery</v>
      </c>
      <c r="H113" s="171" t="str">
        <f>IFERROR(__xludf.DUMMYFUNCTION("""COMPUTED_VALUE"""),"Give a fox a Totem of Undying (Have a fox pick up a Totem of Undying that you dropped)")</f>
        <v>Give a fox a Totem of Undying (Have a fox pick up a Totem of Undying that you dropped)</v>
      </c>
      <c r="R113" s="54"/>
      <c r="U113" s="172" t="str">
        <f>IFERROR(__xludf.DUMMYFUNCTION("""COMPUTED_VALUE"""),"")</f>
        <v/>
      </c>
      <c r="V113" s="173" t="str">
        <f>IFERROR(__xludf.DUMMYFUNCTION("""COMPUTED_VALUE"""),"Bamboo Mosaic")</f>
        <v>Bamboo Mosaic</v>
      </c>
      <c r="W113" s="174"/>
    </row>
    <row r="114">
      <c r="B114" s="169" t="str">
        <f>IFERROR(__xludf.DUMMYFUNCTION("""COMPUTED_VALUE"""),"")</f>
        <v/>
      </c>
      <c r="D114" s="170" t="str">
        <f>IFERROR(__xludf.DUMMYFUNCTION("""COMPUTED_VALUE"""),"Iceologer Should've Won")</f>
        <v>Iceologer Should've Won</v>
      </c>
      <c r="H114" s="171" t="str">
        <f>IFERROR(__xludf.DUMMYFUNCTION("""COMPUTED_VALUE"""),"Kill 100 Glow Squids")</f>
        <v>Kill 100 Glow Squids</v>
      </c>
      <c r="R114" s="54"/>
      <c r="U114" s="172" t="str">
        <f>IFERROR(__xludf.DUMMYFUNCTION("""COMPUTED_VALUE"""),"")</f>
        <v/>
      </c>
      <c r="V114" s="173" t="str">
        <f>IFERROR(__xludf.DUMMYFUNCTION("""COMPUTED_VALUE"""),"Bamboo Mosaic Slab")</f>
        <v>Bamboo Mosaic Slab</v>
      </c>
      <c r="W114" s="174"/>
    </row>
    <row r="115">
      <c r="B115" s="169" t="str">
        <f>IFERROR(__xludf.DUMMYFUNCTION("""COMPUTED_VALUE"""),"")</f>
        <v/>
      </c>
      <c r="D115" s="170" t="str">
        <f>IFERROR(__xludf.DUMMYFUNCTION("""COMPUTED_VALUE"""),"Aquarium")</f>
        <v>Aquarium</v>
      </c>
      <c r="H115" s="171" t="str">
        <f>IFERROR(__xludf.DUMMYFUNCTION("""COMPUTED_VALUE"""),"Catch all four types of fish and set them free in an aquarium (Place a cod, salmon, pufferfish and tropical fish bucket)")</f>
        <v>Catch all four types of fish and set them free in an aquarium (Place a cod, salmon, pufferfish and tropical fish bucket)</v>
      </c>
      <c r="R115" s="54"/>
      <c r="U115" s="172" t="str">
        <f>IFERROR(__xludf.DUMMYFUNCTION("""COMPUTED_VALUE"""),"")</f>
        <v/>
      </c>
      <c r="V115" s="173" t="str">
        <f>IFERROR(__xludf.DUMMYFUNCTION("""COMPUTED_VALUE"""),"Bamboo Mosaic Stairs")</f>
        <v>Bamboo Mosaic Stairs</v>
      </c>
      <c r="W115" s="174"/>
    </row>
    <row r="116">
      <c r="B116" s="169" t="str">
        <f>IFERROR(__xludf.DUMMYFUNCTION("""COMPUTED_VALUE"""),"")</f>
        <v/>
      </c>
      <c r="D116" s="170" t="str">
        <f>IFERROR(__xludf.DUMMYFUNCTION("""COMPUTED_VALUE"""),"Tropical Collection")</f>
        <v>Tropical Collection</v>
      </c>
      <c r="H116" s="171" t="str">
        <f>IFERROR(__xludf.DUMMYFUNCTION("""COMPUTED_VALUE"""),"Collect all 22 of the common types of tropical fish (See requirement notes below)")</f>
        <v>Collect all 22 of the common types of tropical fish (See requirement notes below)</v>
      </c>
      <c r="R116" s="54"/>
      <c r="U116" s="172" t="str">
        <f>IFERROR(__xludf.DUMMYFUNCTION("""COMPUTED_VALUE"""),"")</f>
        <v/>
      </c>
      <c r="V116" s="173" t="str">
        <f>IFERROR(__xludf.DUMMYFUNCTION("""COMPUTED_VALUE"""),"Bamboo Planks")</f>
        <v>Bamboo Planks</v>
      </c>
      <c r="W116" s="174"/>
    </row>
    <row r="117">
      <c r="B117" s="169" t="str">
        <f>IFERROR(__xludf.DUMMYFUNCTION("""COMPUTED_VALUE"""),"")</f>
        <v/>
      </c>
      <c r="D117" s="170" t="str">
        <f>IFERROR(__xludf.DUMMYFUNCTION("""COMPUTED_VALUE"""),"Thanks a lotl")</f>
        <v>Thanks a lotl</v>
      </c>
      <c r="H117" s="171" t="str">
        <f>IFERROR(__xludf.DUMMYFUNCTION("""COMPUTED_VALUE"""),"Feed an Axolotl within an Ocean Monument and watch it go on a Guardian killing spree (Same as The Healing Power of Friendship but both you and the Axolotl must be inside an Ocean Monument)")</f>
        <v>Feed an Axolotl within an Ocean Monument and watch it go on a Guardian killing spree (Same as The Healing Power of Friendship but both you and the Axolotl must be inside an Ocean Monument)</v>
      </c>
      <c r="R117" s="54"/>
      <c r="U117" s="172" t="str">
        <f>IFERROR(__xludf.DUMMYFUNCTION("""COMPUTED_VALUE"""),"")</f>
        <v/>
      </c>
      <c r="V117" s="173" t="str">
        <f>IFERROR(__xludf.DUMMYFUNCTION("""COMPUTED_VALUE"""),"Bamboo Pressure Plate")</f>
        <v>Bamboo Pressure Plate</v>
      </c>
      <c r="W117" s="174"/>
    </row>
    <row r="118">
      <c r="B118" s="169" t="str">
        <f>IFERROR(__xludf.DUMMYFUNCTION("""COMPUTED_VALUE"""),"")</f>
        <v/>
      </c>
      <c r="D118" s="170" t="str">
        <f>IFERROR(__xludf.DUMMYFUNCTION("""COMPUTED_VALUE"""),"Axolotl of them")</f>
        <v>Axolotl of them</v>
      </c>
      <c r="H118" s="171" t="str">
        <f>IFERROR(__xludf.DUMMYFUNCTION("""COMPUTED_VALUE"""),"Catch all variants of Axolotls inside a Bucket (Catch a Leucistic, Wild, Gold, Cyan and Blue Axolotl)")</f>
        <v>Catch all variants of Axolotls inside a Bucket (Catch a Leucistic, Wild, Gold, Cyan and Blue Axolotl)</v>
      </c>
      <c r="R118" s="54"/>
      <c r="U118" s="172" t="str">
        <f>IFERROR(__xludf.DUMMYFUNCTION("""COMPUTED_VALUE"""),"")</f>
        <v/>
      </c>
      <c r="V118" s="173" t="str">
        <f>IFERROR(__xludf.DUMMYFUNCTION("""COMPUTED_VALUE"""),"Bamboo Raft")</f>
        <v>Bamboo Raft</v>
      </c>
      <c r="W118" s="174"/>
    </row>
    <row r="119">
      <c r="B119" s="169" t="str">
        <f>IFERROR(__xludf.DUMMYFUNCTION("""COMPUTED_VALUE"""),"")</f>
        <v/>
      </c>
      <c r="D119" s="170" t="str">
        <f>IFERROR(__xludf.DUMMYFUNCTION("""COMPUTED_VALUE"""),"Totally not an AFK fisher!")</f>
        <v>Totally not an AFK fisher!</v>
      </c>
      <c r="H119" s="171" t="str">
        <f>IFERROR(__xludf.DUMMYFUNCTION("""COMPUTED_VALUE"""),"Fish out all types of items (See requirement notes below)")</f>
        <v>Fish out all types of items (See requirement notes below)</v>
      </c>
      <c r="R119" s="54"/>
      <c r="U119" s="172" t="str">
        <f>IFERROR(__xludf.DUMMYFUNCTION("""COMPUTED_VALUE"""),"")</f>
        <v/>
      </c>
      <c r="V119" s="173" t="str">
        <f>IFERROR(__xludf.DUMMYFUNCTION("""COMPUTED_VALUE"""),"Bamboo Sign")</f>
        <v>Bamboo Sign</v>
      </c>
      <c r="W119" s="174"/>
    </row>
    <row r="120">
      <c r="B120" s="169" t="str">
        <f>IFERROR(__xludf.DUMMYFUNCTION("""COMPUTED_VALUE"""),"")</f>
        <v/>
      </c>
      <c r="D120" s="170" t="str">
        <f>IFERROR(__xludf.DUMMYFUNCTION("""COMPUTED_VALUE"""),"Dead Really Don’t Die")</f>
        <v>Dead Really Don’t Die</v>
      </c>
      <c r="H120" s="171" t="str">
        <f>IFERROR(__xludf.DUMMYFUNCTION("""COMPUTED_VALUE"""),"Give a zombie a Totem... so that you have to kill it twice (Have a zombie pick up a Totem of Undying that you dropped)")</f>
        <v>Give a zombie a Totem... so that you have to kill it twice (Have a zombie pick up a Totem of Undying that you dropped)</v>
      </c>
      <c r="R120" s="54"/>
      <c r="U120" s="172" t="str">
        <f>IFERROR(__xludf.DUMMYFUNCTION("""COMPUTED_VALUE"""),"")</f>
        <v/>
      </c>
      <c r="V120" s="173" t="str">
        <f>IFERROR(__xludf.DUMMYFUNCTION("""COMPUTED_VALUE"""),"Bamboo Slab")</f>
        <v>Bamboo Slab</v>
      </c>
      <c r="W120" s="174"/>
    </row>
    <row r="121">
      <c r="B121" s="169" t="str">
        <f>IFERROR(__xludf.DUMMYFUNCTION("""COMPUTED_VALUE"""),"")</f>
        <v/>
      </c>
      <c r="D121" s="170" t="str">
        <f>IFERROR(__xludf.DUMMYFUNCTION("""COMPUTED_VALUE"""),"Freezing")</f>
        <v>Freezing</v>
      </c>
      <c r="H121" s="171" t="str">
        <f>IFERROR(__xludf.DUMMYFUNCTION("""COMPUTED_VALUE"""),"Bring a husk to a tundra biome and then kill it (Kill a husk in a snowy tundra or ice spikes biome above y-level 56)")</f>
        <v>Bring a husk to a tundra biome and then kill it (Kill a husk in a snowy tundra or ice spikes biome above y-level 56)</v>
      </c>
      <c r="R121" s="54"/>
      <c r="U121" s="172" t="str">
        <f>IFERROR(__xludf.DUMMYFUNCTION("""COMPUTED_VALUE"""),"")</f>
        <v/>
      </c>
      <c r="V121" s="173" t="str">
        <f>IFERROR(__xludf.DUMMYFUNCTION("""COMPUTED_VALUE"""),"Bamboo Stairs")</f>
        <v>Bamboo Stairs</v>
      </c>
      <c r="W121" s="174"/>
    </row>
    <row r="122">
      <c r="B122" s="169" t="str">
        <f>IFERROR(__xludf.DUMMYFUNCTION("""COMPUTED_VALUE"""),"")</f>
        <v/>
      </c>
      <c r="D122" s="170" t="str">
        <f>IFERROR(__xludf.DUMMYFUNCTION("""COMPUTED_VALUE"""),"Family Reunion")</f>
        <v>Family Reunion</v>
      </c>
      <c r="H122" s="171" t="str">
        <f>IFERROR(__xludf.DUMMYFUNCTION("""COMPUTED_VALUE"""),"Reunite all zombie variants (and their baby forms) in one place (See requirement notes below)")</f>
        <v>Reunite all zombie variants (and their baby forms) in one place (See requirement notes below)</v>
      </c>
      <c r="R122" s="54"/>
      <c r="U122" s="172" t="str">
        <f>IFERROR(__xludf.DUMMYFUNCTION("""COMPUTED_VALUE"""),"")</f>
        <v/>
      </c>
      <c r="V122" s="173" t="str">
        <f>IFERROR(__xludf.DUMMYFUNCTION("""COMPUTED_VALUE"""),"Bamboo Trapdoor")</f>
        <v>Bamboo Trapdoor</v>
      </c>
      <c r="W122" s="174"/>
    </row>
    <row r="123">
      <c r="B123" s="169" t="str">
        <f>IFERROR(__xludf.DUMMYFUNCTION("""COMPUTED_VALUE"""),"")</f>
        <v/>
      </c>
      <c r="D123" s="170" t="str">
        <f>IFERROR(__xludf.DUMMYFUNCTION("""COMPUTED_VALUE"""),"Custom Boss Fight!")</f>
        <v>Custom Boss Fight!</v>
      </c>
      <c r="H123" s="171" t="str">
        <f>IFERROR(__xludf.DUMMYFUNCTION("""COMPUTED_VALUE"""),"Give a zombie full diamond armor and a diamond sword... then kill it")</f>
        <v>Give a zombie full diamond armor and a diamond sword... then kill it</v>
      </c>
      <c r="R123" s="54"/>
      <c r="U123" s="172" t="str">
        <f>IFERROR(__xludf.DUMMYFUNCTION("""COMPUTED_VALUE"""),"")</f>
        <v/>
      </c>
      <c r="V123" s="173" t="str">
        <f>IFERROR(__xludf.DUMMYFUNCTION("""COMPUTED_VALUE"""),"Barrel")</f>
        <v>Barrel</v>
      </c>
      <c r="W123" s="174"/>
    </row>
    <row r="124">
      <c r="B124" s="169" t="str">
        <f>IFERROR(__xludf.DUMMYFUNCTION("""COMPUTED_VALUE"""),"")</f>
        <v/>
      </c>
      <c r="D124" s="170" t="str">
        <f>IFERROR(__xludf.DUMMYFUNCTION("""COMPUTED_VALUE"""),"Trick or Treat!")</f>
        <v>Trick or Treat!</v>
      </c>
      <c r="H124" s="171" t="str">
        <f>IFERROR(__xludf.DUMMYFUNCTION("""COMPUTED_VALUE"""),"Defeat a mob wearing a pumpkin")</f>
        <v>Defeat a mob wearing a pumpkin</v>
      </c>
      <c r="R124" s="54"/>
      <c r="U124" s="172" t="str">
        <f>IFERROR(__xludf.DUMMYFUNCTION("""COMPUTED_VALUE"""),"")</f>
        <v/>
      </c>
      <c r="V124" s="173" t="str">
        <f>IFERROR(__xludf.DUMMYFUNCTION("""COMPUTED_VALUE"""),"Basalt")</f>
        <v>Basalt</v>
      </c>
      <c r="W124" s="174"/>
    </row>
    <row r="125">
      <c r="B125" s="169" t="str">
        <f>IFERROR(__xludf.DUMMYFUNCTION("""COMPUTED_VALUE"""),"")</f>
        <v/>
      </c>
      <c r="D125" s="170" t="str">
        <f>IFERROR(__xludf.DUMMYFUNCTION("""COMPUTED_VALUE"""),"Melting")</f>
        <v>Melting</v>
      </c>
      <c r="H125" s="171" t="str">
        <f>IFERROR(__xludf.DUMMYFUNCTION("""COMPUTED_VALUE"""),"Bring a stray to a desert biome and then kill it (Kill a stray in a desert biome above y-level 56)")</f>
        <v>Bring a stray to a desert biome and then kill it (Kill a stray in a desert biome above y-level 56)</v>
      </c>
      <c r="R125" s="54"/>
      <c r="U125" s="172" t="str">
        <f>IFERROR(__xludf.DUMMYFUNCTION("""COMPUTED_VALUE"""),"")</f>
        <v/>
      </c>
      <c r="V125" s="173" t="str">
        <f>IFERROR(__xludf.DUMMYFUNCTION("""COMPUTED_VALUE"""),"Beacon")</f>
        <v>Beacon</v>
      </c>
      <c r="W125" s="174"/>
    </row>
    <row r="126">
      <c r="B126" s="169" t="str">
        <f>IFERROR(__xludf.DUMMYFUNCTION("""COMPUTED_VALUE"""),"")</f>
        <v/>
      </c>
      <c r="D126" s="170" t="str">
        <f>IFERROR(__xludf.DUMMYFUNCTION("""COMPUTED_VALUE"""),"Bone-to-party")</f>
        <v>Bone-to-party</v>
      </c>
      <c r="H126" s="171" t="str">
        <f>IFERROR(__xludf.DUMMYFUNCTION("""COMPUTED_VALUE"""),"Reunite all skeleton variants and their three-headed overlord in one place (See requirement notes below)")</f>
        <v>Reunite all skeleton variants and their three-headed overlord in one place (See requirement notes below)</v>
      </c>
      <c r="R126" s="54"/>
      <c r="U126" s="172" t="str">
        <f>IFERROR(__xludf.DUMMYFUNCTION("""COMPUTED_VALUE"""),"")</f>
        <v/>
      </c>
      <c r="V126" s="173" t="str">
        <f>IFERROR(__xludf.DUMMYFUNCTION("""COMPUTED_VALUE"""),"Bee Nest")</f>
        <v>Bee Nest</v>
      </c>
      <c r="W126" s="174"/>
    </row>
    <row r="127">
      <c r="B127" s="169" t="str">
        <f>IFERROR(__xludf.DUMMYFUNCTION("""COMPUTED_VALUE"""),"")</f>
        <v/>
      </c>
      <c r="D127" s="170" t="str">
        <f>IFERROR(__xludf.DUMMYFUNCTION("""COMPUTED_VALUE"""),"The Ghastly Eyes")</f>
        <v>The Ghastly Eyes</v>
      </c>
      <c r="H127" s="171" t="str">
        <f>IFERROR(__xludf.DUMMYFUNCTION("""COMPUTED_VALUE"""),"Kill an invisible spider (Kill an invisible spider or cave spider)")</f>
        <v>Kill an invisible spider (Kill an invisible spider or cave spider)</v>
      </c>
      <c r="R127" s="54"/>
      <c r="U127" s="172" t="str">
        <f>IFERROR(__xludf.DUMMYFUNCTION("""COMPUTED_VALUE"""),"")</f>
        <v/>
      </c>
      <c r="V127" s="173" t="str">
        <f>IFERROR(__xludf.DUMMYFUNCTION("""COMPUTED_VALUE"""),"Beef")</f>
        <v>Beef</v>
      </c>
      <c r="W127" s="174"/>
    </row>
    <row r="128">
      <c r="B128" s="169" t="str">
        <f>IFERROR(__xludf.DUMMYFUNCTION("""COMPUTED_VALUE"""),"")</f>
        <v/>
      </c>
      <c r="D128" s="170" t="str">
        <f>IFERROR(__xludf.DUMMYFUNCTION("""COMPUTED_VALUE"""),"Pupil Poppers")</f>
        <v>Pupil Poppers</v>
      </c>
      <c r="H128" s="171" t="str">
        <f>IFERROR(__xludf.DUMMYFUNCTION("""COMPUTED_VALUE"""),"Eat 1000 Spider Eyes")</f>
        <v>Eat 1000 Spider Eyes</v>
      </c>
      <c r="R128" s="54"/>
      <c r="U128" s="172" t="str">
        <f>IFERROR(__xludf.DUMMYFUNCTION("""COMPUTED_VALUE"""),"")</f>
        <v/>
      </c>
      <c r="V128" s="173" t="str">
        <f>IFERROR(__xludf.DUMMYFUNCTION("""COMPUTED_VALUE"""),"Beehive")</f>
        <v>Beehive</v>
      </c>
      <c r="W128" s="174"/>
    </row>
    <row r="129">
      <c r="B129" s="169" t="str">
        <f>IFERROR(__xludf.DUMMYFUNCTION("""COMPUTED_VALUE"""),"")</f>
        <v/>
      </c>
      <c r="D129" s="170" t="str">
        <f>IFERROR(__xludf.DUMMYFUNCTION("""COMPUTED_VALUE"""),"Camouflage")</f>
        <v>Camouflage</v>
      </c>
      <c r="H129" s="171" t="str">
        <f>IFERROR(__xludf.DUMMYFUNCTION("""COMPUTED_VALUE"""),"Kill a mob while wearing the same type of mob head (This works for: Creepers, Zombies, Skeletons, Wither Skeletons and Piglins)")</f>
        <v>Kill a mob while wearing the same type of mob head (This works for: Creepers, Zombies, Skeletons, Wither Skeletons and Piglins)</v>
      </c>
      <c r="R129" s="54"/>
      <c r="U129" s="172" t="str">
        <f>IFERROR(__xludf.DUMMYFUNCTION("""COMPUTED_VALUE"""),"")</f>
        <v/>
      </c>
      <c r="V129" s="173" t="str">
        <f>IFERROR(__xludf.DUMMYFUNCTION("""COMPUTED_VALUE"""),"Beetroot")</f>
        <v>Beetroot</v>
      </c>
      <c r="W129" s="174"/>
    </row>
    <row r="130">
      <c r="B130" s="169" t="str">
        <f>IFERROR(__xludf.DUMMYFUNCTION("""COMPUTED_VALUE"""),"")</f>
        <v/>
      </c>
      <c r="D130" s="170" t="str">
        <f>IFERROR(__xludf.DUMMYFUNCTION("""COMPUTED_VALUE"""),"Plane Walker")</f>
        <v>Plane Walker</v>
      </c>
      <c r="H130" s="171" t="str">
        <f>IFERROR(__xludf.DUMMYFUNCTION("""COMPUTED_VALUE"""),"Find and kill an enderman in all three dimensions")</f>
        <v>Find and kill an enderman in all three dimensions</v>
      </c>
      <c r="R130" s="54"/>
      <c r="U130" s="172" t="str">
        <f>IFERROR(__xludf.DUMMYFUNCTION("""COMPUTED_VALUE"""),"")</f>
        <v/>
      </c>
      <c r="V130" s="173" t="str">
        <f>IFERROR(__xludf.DUMMYFUNCTION("""COMPUTED_VALUE"""),"Beetroot Seeds")</f>
        <v>Beetroot Seeds</v>
      </c>
      <c r="W130" s="174"/>
    </row>
    <row r="131">
      <c r="B131" s="169" t="str">
        <f>IFERROR(__xludf.DUMMYFUNCTION("""COMPUTED_VALUE"""),"")</f>
        <v/>
      </c>
      <c r="D131" s="170" t="str">
        <f>IFERROR(__xludf.DUMMYFUNCTION("""COMPUTED_VALUE"""),"Basketblock Championship")</f>
        <v>Basketblock Championship</v>
      </c>
      <c r="H131" s="171" t="str">
        <f>IFERROR(__xludf.DUMMYFUNCTION("""COMPUTED_VALUE"""),"Kill Endermen that are holding every block that they can hold (See requirement notes below)")</f>
        <v>Kill Endermen that are holding every block that they can hold (See requirement notes below)</v>
      </c>
      <c r="R131" s="54"/>
      <c r="U131" s="172" t="str">
        <f>IFERROR(__xludf.DUMMYFUNCTION("""COMPUTED_VALUE"""),"")</f>
        <v/>
      </c>
      <c r="V131" s="173" t="str">
        <f>IFERROR(__xludf.DUMMYFUNCTION("""COMPUTED_VALUE"""),"Beetroot Soup")</f>
        <v>Beetroot Soup</v>
      </c>
      <c r="W131" s="174"/>
    </row>
    <row r="132">
      <c r="B132" s="169" t="str">
        <f>IFERROR(__xludf.DUMMYFUNCTION("""COMPUTED_VALUE"""),"")</f>
        <v/>
      </c>
      <c r="D132" s="170" t="str">
        <f>IFERROR(__xludf.DUMMYFUNCTION("""COMPUTED_VALUE"""),"Miracle Drink")</f>
        <v>Miracle Drink</v>
      </c>
      <c r="H132" s="171" t="str">
        <f>IFERROR(__xludf.DUMMYFUNCTION("""COMPUTED_VALUE"""),"Drink milk or honey to cure poison when on half a heart (Drink milk or honey when poisoned AND on half a heart of health)")</f>
        <v>Drink milk or honey to cure poison when on half a heart (Drink milk or honey when poisoned AND on half a heart of health)</v>
      </c>
      <c r="R132" s="54"/>
      <c r="U132" s="172" t="str">
        <f>IFERROR(__xludf.DUMMYFUNCTION("""COMPUTED_VALUE"""),"")</f>
        <v/>
      </c>
      <c r="V132" s="173" t="str">
        <f>IFERROR(__xludf.DUMMYFUNCTION("""COMPUTED_VALUE"""),"Bell")</f>
        <v>Bell</v>
      </c>
      <c r="W132" s="174"/>
    </row>
    <row r="133">
      <c r="B133" s="169" t="str">
        <f>IFERROR(__xludf.DUMMYFUNCTION("""COMPUTED_VALUE"""),"")</f>
        <v/>
      </c>
      <c r="D133" s="170" t="str">
        <f>IFERROR(__xludf.DUMMYFUNCTION("""COMPUTED_VALUE"""),"Trampoline")</f>
        <v>Trampoline</v>
      </c>
      <c r="H133" s="171" t="str">
        <f>IFERROR(__xludf.DUMMYFUNCTION("""COMPUTED_VALUE"""),"Bounce onto a slime block from at least 30 blocks high (Land on a slime block after falling at least 30 blocks)")</f>
        <v>Bounce onto a slime block from at least 30 blocks high (Land on a slime block after falling at least 30 blocks)</v>
      </c>
      <c r="R133" s="54"/>
      <c r="U133" s="172" t="str">
        <f>IFERROR(__xludf.DUMMYFUNCTION("""COMPUTED_VALUE"""),"")</f>
        <v/>
      </c>
      <c r="V133" s="173" t="str">
        <f>IFERROR(__xludf.DUMMYFUNCTION("""COMPUTED_VALUE"""),"Big Dripleaf")</f>
        <v>Big Dripleaf</v>
      </c>
      <c r="W133" s="174"/>
    </row>
    <row r="134">
      <c r="B134" s="169" t="str">
        <f>IFERROR(__xludf.DUMMYFUNCTION("""COMPUTED_VALUE"""),"")</f>
        <v/>
      </c>
      <c r="D134" s="170" t="str">
        <f>IFERROR(__xludf.DUMMYFUNCTION("""COMPUTED_VALUE"""),"Anti-Air")</f>
        <v>Anti-Air</v>
      </c>
      <c r="H134" s="171" t="str">
        <f>IFERROR(__xludf.DUMMYFUNCTION("""COMPUTED_VALUE"""),"Shoot down a phantom with a bow from 30 blocks away (Kill a Phantom from at least 30 blocks away)")</f>
        <v>Shoot down a phantom with a bow from 30 blocks away (Kill a Phantom from at least 30 blocks away)</v>
      </c>
      <c r="R134" s="54"/>
      <c r="U134" s="172" t="str">
        <f>IFERROR(__xludf.DUMMYFUNCTION("""COMPUTED_VALUE"""),"")</f>
        <v/>
      </c>
      <c r="V134" s="173" t="str">
        <f>IFERROR(__xludf.DUMMYFUNCTION("""COMPUTED_VALUE"""),"Birch Boat")</f>
        <v>Birch Boat</v>
      </c>
      <c r="W134" s="174"/>
    </row>
    <row r="135">
      <c r="B135" s="169" t="str">
        <f>IFERROR(__xludf.DUMMYFUNCTION("""COMPUTED_VALUE"""),"")</f>
        <v/>
      </c>
      <c r="D135" s="170" t="str">
        <f>IFERROR(__xludf.DUMMYFUNCTION("""COMPUTED_VALUE"""),"Two Birds, One Arrow")</f>
        <v>Two Birds, One Arrow</v>
      </c>
      <c r="H135" s="171" t="str">
        <f>IFERROR(__xludf.DUMMYFUNCTION("""COMPUTED_VALUE"""),"Kill two Phantoms with a piercing arrow (Kill two Phantoms with the same piercing arrow from a crossbow)")</f>
        <v>Kill two Phantoms with a piercing arrow (Kill two Phantoms with the same piercing arrow from a crossbow)</v>
      </c>
      <c r="R135" s="54"/>
      <c r="U135" s="172" t="str">
        <f>IFERROR(__xludf.DUMMYFUNCTION("""COMPUTED_VALUE"""),"")</f>
        <v/>
      </c>
      <c r="V135" s="173" t="str">
        <f>IFERROR(__xludf.DUMMYFUNCTION("""COMPUTED_VALUE"""),"Birch Button")</f>
        <v>Birch Button</v>
      </c>
      <c r="W135" s="174"/>
    </row>
    <row r="136">
      <c r="B136" s="169" t="str">
        <f>IFERROR(__xludf.DUMMYFUNCTION("""COMPUTED_VALUE"""),"")</f>
        <v/>
      </c>
      <c r="D136" s="170" t="str">
        <f>IFERROR(__xludf.DUMMYFUNCTION("""COMPUTED_VALUE"""),"Warden Frostbite")</f>
        <v>Warden Frostbite</v>
      </c>
      <c r="H136" s="171" t="str">
        <f>IFERROR(__xludf.DUMMYFUNCTION("""COMPUTED_VALUE"""),"Bring a Warden to the surface of a snowy plains biome and kill it (Kill a Warden in a Snowy Plains or Ice Spikes biome above y-level 64)")</f>
        <v>Bring a Warden to the surface of a snowy plains biome and kill it (Kill a Warden in a Snowy Plains or Ice Spikes biome above y-level 64)</v>
      </c>
      <c r="R136" s="54"/>
      <c r="U136" s="172" t="str">
        <f>IFERROR(__xludf.DUMMYFUNCTION("""COMPUTED_VALUE"""),"")</f>
        <v/>
      </c>
      <c r="V136" s="173" t="str">
        <f>IFERROR(__xludf.DUMMYFUNCTION("""COMPUTED_VALUE"""),"Birch Chest Boat")</f>
        <v>Birch Chest Boat</v>
      </c>
      <c r="W136" s="174"/>
    </row>
    <row r="137">
      <c r="B137" s="169" t="str">
        <f>IFERROR(__xludf.DUMMYFUNCTION("""COMPUTED_VALUE"""),"")</f>
        <v/>
      </c>
      <c r="D137" s="170" t="str">
        <f>IFERROR(__xludf.DUMMYFUNCTION("""COMPUTED_VALUE"""),"Maximum Resistance")</f>
        <v>Maximum Resistance</v>
      </c>
      <c r="H137" s="171" t="str">
        <f>IFERROR(__xludf.DUMMYFUNCTION("""COMPUTED_VALUE"""),"Take a hit from the Warden with the maximum possible protection (Take damage from a Warden while wearing full Netherite Armor enchanted with Protection IV and are under the Resistance IV effect (from a Turtle Master potion))")</f>
        <v>Take a hit from the Warden with the maximum possible protection (Take damage from a Warden while wearing full Netherite Armor enchanted with Protection IV and are under the Resistance IV effect (from a Turtle Master potion))</v>
      </c>
      <c r="R137" s="54"/>
      <c r="U137" s="172" t="str">
        <f>IFERROR(__xludf.DUMMYFUNCTION("""COMPUTED_VALUE"""),"")</f>
        <v/>
      </c>
      <c r="V137" s="173" t="str">
        <f>IFERROR(__xludf.DUMMYFUNCTION("""COMPUTED_VALUE"""),"Birch Door")</f>
        <v>Birch Door</v>
      </c>
      <c r="W137" s="174"/>
    </row>
    <row r="138">
      <c r="B138" s="169" t="str">
        <f>IFERROR(__xludf.DUMMYFUNCTION("""COMPUTED_VALUE"""),"")</f>
        <v/>
      </c>
      <c r="D138" s="170" t="str">
        <f>IFERROR(__xludf.DUMMYFUNCTION("""COMPUTED_VALUE"""),"Not Afraid of Heights")</f>
        <v>Not Afraid of Heights</v>
      </c>
      <c r="H138" s="171" t="str">
        <f>IFERROR(__xludf.DUMMYFUNCTION("""COMPUTED_VALUE"""),"Bring a Warden to world height. It can’t be afraid of heights if it can’t see (Have a Warden at y-level 319 or above within 10 blocks of you)")</f>
        <v>Bring a Warden to world height. It can’t be afraid of heights if it can’t see (Have a Warden at y-level 319 or above within 10 blocks of you)</v>
      </c>
      <c r="R138" s="54"/>
      <c r="U138" s="172" t="str">
        <f>IFERROR(__xludf.DUMMYFUNCTION("""COMPUTED_VALUE"""),"")</f>
        <v/>
      </c>
      <c r="V138" s="173" t="str">
        <f>IFERROR(__xludf.DUMMYFUNCTION("""COMPUTED_VALUE"""),"Birch Fence")</f>
        <v>Birch Fence</v>
      </c>
      <c r="W138" s="174"/>
    </row>
    <row r="139">
      <c r="B139" s="169" t="str">
        <f>IFERROR(__xludf.DUMMYFUNCTION("""COMPUTED_VALUE"""),"")</f>
        <v/>
      </c>
      <c r="D139" s="170" t="str">
        <f>IFERROR(__xludf.DUMMYFUNCTION("""COMPUTED_VALUE"""),"House of Freaks")</f>
        <v>House of Freaks</v>
      </c>
      <c r="H139" s="171" t="str">
        <f>IFERROR(__xludf.DUMMYFUNCTION("""COMPUTED_VALUE"""),"Summon five Wardens and have them all be within 16 blocks of the player")</f>
        <v>Summon five Wardens and have them all be within 16 blocks of the player</v>
      </c>
      <c r="R139" s="54"/>
      <c r="U139" s="172" t="str">
        <f>IFERROR(__xludf.DUMMYFUNCTION("""COMPUTED_VALUE"""),"")</f>
        <v/>
      </c>
      <c r="V139" s="173" t="str">
        <f>IFERROR(__xludf.DUMMYFUNCTION("""COMPUTED_VALUE"""),"Birch Fence Gate")</f>
        <v>Birch Fence Gate</v>
      </c>
      <c r="W139" s="174"/>
    </row>
    <row r="140">
      <c r="B140" s="169" t="str">
        <f>IFERROR(__xludf.DUMMYFUNCTION("""COMPUTED_VALUE"""),"")</f>
        <v/>
      </c>
      <c r="D140" s="170" t="str">
        <f>IFERROR(__xludf.DUMMYFUNCTION("""COMPUTED_VALUE"""),"Point Blank")</f>
        <v>Point Blank</v>
      </c>
      <c r="H140" s="171" t="str">
        <f>IFERROR(__xludf.DUMMYFUNCTION("""COMPUTED_VALUE"""),"Shoot a mob at point-blank range (Shoot a mob with an arrow from less than 2 blocks away)")</f>
        <v>Shoot a mob at point-blank range (Shoot a mob with an arrow from less than 2 blocks away)</v>
      </c>
      <c r="R140" s="54"/>
      <c r="U140" s="172" t="str">
        <f>IFERROR(__xludf.DUMMYFUNCTION("""COMPUTED_VALUE"""),"")</f>
        <v/>
      </c>
      <c r="V140" s="173" t="str">
        <f>IFERROR(__xludf.DUMMYFUNCTION("""COMPUTED_VALUE"""),"Birch Hanging Sign")</f>
        <v>Birch Hanging Sign</v>
      </c>
      <c r="W140" s="174"/>
    </row>
    <row r="141">
      <c r="B141" s="169" t="str">
        <f>IFERROR(__xludf.DUMMYFUNCTION("""COMPUTED_VALUE"""),"")</f>
        <v/>
      </c>
      <c r="D141" s="170" t="str">
        <f>IFERROR(__xludf.DUMMYFUNCTION("""COMPUTED_VALUE"""),"Bow Spammer")</f>
        <v>Bow Spammer</v>
      </c>
      <c r="H141" s="171" t="str">
        <f>IFERROR(__xludf.DUMMYFUNCTION("""COMPUTED_VALUE"""),"Take out a mob by bow-spamming (Deal less than 1 damage with an arrow)")</f>
        <v>Take out a mob by bow-spamming (Deal less than 1 damage with an arrow)</v>
      </c>
      <c r="R141" s="54"/>
      <c r="U141" s="172" t="str">
        <f>IFERROR(__xludf.DUMMYFUNCTION("""COMPUTED_VALUE"""),"")</f>
        <v/>
      </c>
      <c r="V141" s="173" t="str">
        <f>IFERROR(__xludf.DUMMYFUNCTION("""COMPUTED_VALUE"""),"Birch Leaves")</f>
        <v>Birch Leaves</v>
      </c>
      <c r="W141" s="174"/>
    </row>
    <row r="142">
      <c r="B142" s="169" t="str">
        <f>IFERROR(__xludf.DUMMYFUNCTION("""COMPUTED_VALUE"""),"")</f>
        <v/>
      </c>
      <c r="D142" s="170" t="str">
        <f>IFERROR(__xludf.DUMMYFUNCTION("""COMPUTED_VALUE"""),"Sniper Duel")</f>
        <v>Sniper Duel</v>
      </c>
      <c r="H142" s="171" t="str">
        <f>IFERROR(__xludf.DUMMYFUNCTION("""COMPUTED_VALUE"""),"Kill a skeleton with an arrow from more than 50 metres (Kill a skeleton or stray with an arrow from at least 50 metres)")</f>
        <v>Kill a skeleton with an arrow from more than 50 metres (Kill a skeleton or stray with an arrow from at least 50 metres)</v>
      </c>
      <c r="R142" s="54"/>
      <c r="U142" s="172" t="str">
        <f>IFERROR(__xludf.DUMMYFUNCTION("""COMPUTED_VALUE"""),"")</f>
        <v/>
      </c>
      <c r="V142" s="173" t="str">
        <f>IFERROR(__xludf.DUMMYFUNCTION("""COMPUTED_VALUE"""),"Birch Log")</f>
        <v>Birch Log</v>
      </c>
      <c r="W142" s="174"/>
    </row>
    <row r="143">
      <c r="B143" s="169" t="str">
        <f>IFERROR(__xludf.DUMMYFUNCTION("""COMPUTED_VALUE"""),"")</f>
        <v/>
      </c>
      <c r="D143" s="170" t="str">
        <f>IFERROR(__xludf.DUMMYFUNCTION("""COMPUTED_VALUE"""),"The Mighty Hunter")</f>
        <v>The Mighty Hunter</v>
      </c>
      <c r="H143" s="171" t="str">
        <f>IFERROR(__xludf.DUMMYFUNCTION("""COMPUTED_VALUE"""),"Hunt all types of land animals with your bow (See requirement notes below)")</f>
        <v>Hunt all types of land animals with your bow (See requirement notes below)</v>
      </c>
      <c r="R143" s="54"/>
      <c r="U143" s="172" t="str">
        <f>IFERROR(__xludf.DUMMYFUNCTION("""COMPUTED_VALUE"""),"")</f>
        <v/>
      </c>
      <c r="V143" s="173" t="str">
        <f>IFERROR(__xludf.DUMMYFUNCTION("""COMPUTED_VALUE"""),"Birch Planks")</f>
        <v>Birch Planks</v>
      </c>
      <c r="W143" s="174"/>
    </row>
    <row r="144">
      <c r="B144" s="169" t="str">
        <f>IFERROR(__xludf.DUMMYFUNCTION("""COMPUTED_VALUE"""),"")</f>
        <v/>
      </c>
      <c r="D144" s="170" t="str">
        <f>IFERROR(__xludf.DUMMYFUNCTION("""COMPUTED_VALUE"""),"There it goes…")</f>
        <v>There it goes…</v>
      </c>
      <c r="H144" s="171" t="str">
        <f>IFERROR(__xludf.DUMMYFUNCTION("""COMPUTED_VALUE"""),"Kill a mob at the bottom of the world from the build limit using any kind of projectile (Using any projectile, kill a mob at y-level -59.5 or lower while you are at y-level 319 or higher (in the Overworld) or y-level 255 or higher (in the Nether or End))")</f>
        <v>Kill a mob at the bottom of the world from the build limit using any kind of projectile (Using any projectile, kill a mob at y-level -59.5 or lower while you are at y-level 319 or higher (in the Overworld) or y-level 255 or higher (in the Nether or End))</v>
      </c>
      <c r="R144" s="54"/>
      <c r="U144" s="172" t="str">
        <f>IFERROR(__xludf.DUMMYFUNCTION("""COMPUTED_VALUE"""),"")</f>
        <v/>
      </c>
      <c r="V144" s="173" t="str">
        <f>IFERROR(__xludf.DUMMYFUNCTION("""COMPUTED_VALUE"""),"Birch Pressure Plate")</f>
        <v>Birch Pressure Plate</v>
      </c>
      <c r="W144" s="174"/>
    </row>
    <row r="145">
      <c r="B145" s="169" t="str">
        <f>IFERROR(__xludf.DUMMYFUNCTION("""COMPUTED_VALUE"""),"")</f>
        <v/>
      </c>
      <c r="D145" s="170" t="str">
        <f>IFERROR(__xludf.DUMMYFUNCTION("""COMPUTED_VALUE"""),"Artillery")</f>
        <v>Artillery</v>
      </c>
      <c r="H145" s="171" t="str">
        <f>IFERROR(__xludf.DUMMYFUNCTION("""COMPUTED_VALUE"""),"Have nine loaded crossbows in your hotbar. All set!")</f>
        <v>Have nine loaded crossbows in your hotbar. All set!</v>
      </c>
      <c r="R145" s="54"/>
      <c r="U145" s="172" t="str">
        <f>IFERROR(__xludf.DUMMYFUNCTION("""COMPUTED_VALUE"""),"")</f>
        <v/>
      </c>
      <c r="V145" s="173" t="str">
        <f>IFERROR(__xludf.DUMMYFUNCTION("""COMPUTED_VALUE"""),"Birch Sapling")</f>
        <v>Birch Sapling</v>
      </c>
      <c r="W145" s="174"/>
    </row>
    <row r="146">
      <c r="B146" s="169" t="str">
        <f>IFERROR(__xludf.DUMMYFUNCTION("""COMPUTED_VALUE"""),"")</f>
        <v/>
      </c>
      <c r="D146" s="170" t="str">
        <f>IFERROR(__xludf.DUMMYFUNCTION("""COMPUTED_VALUE"""),"Pyrotechnic")</f>
        <v>Pyrotechnic</v>
      </c>
      <c r="H146" s="171" t="str">
        <f>IFERROR(__xludf.DUMMYFUNCTION("""COMPUTED_VALUE"""),"Craft a firework of every shape and additional effect (See requirement notes below)")</f>
        <v>Craft a firework of every shape and additional effect (See requirement notes below)</v>
      </c>
      <c r="R146" s="54"/>
      <c r="U146" s="172" t="str">
        <f>IFERROR(__xludf.DUMMYFUNCTION("""COMPUTED_VALUE"""),"")</f>
        <v/>
      </c>
      <c r="V146" s="173" t="str">
        <f>IFERROR(__xludf.DUMMYFUNCTION("""COMPUTED_VALUE"""),"Birch Sign")</f>
        <v>Birch Sign</v>
      </c>
      <c r="W146" s="174"/>
    </row>
    <row r="147">
      <c r="B147" s="169" t="str">
        <f>IFERROR(__xludf.DUMMYFUNCTION("""COMPUTED_VALUE"""),"")</f>
        <v/>
      </c>
      <c r="D147" s="170" t="str">
        <f>IFERROR(__xludf.DUMMYFUNCTION("""COMPUTED_VALUE"""),"Master Shieldsman")</f>
        <v>Master Shieldsman</v>
      </c>
      <c r="H147" s="171" t="str">
        <f>IFERROR(__xludf.DUMMYFUNCTION("""COMPUTED_VALUE"""),"Deflect an attack from every hostile monster (See requirement notes below)")</f>
        <v>Deflect an attack from every hostile monster (See requirement notes below)</v>
      </c>
      <c r="R147" s="54"/>
      <c r="U147" s="172" t="str">
        <f>IFERROR(__xludf.DUMMYFUNCTION("""COMPUTED_VALUE"""),"")</f>
        <v/>
      </c>
      <c r="V147" s="173" t="str">
        <f>IFERROR(__xludf.DUMMYFUNCTION("""COMPUTED_VALUE"""),"Birch Slab")</f>
        <v>Birch Slab</v>
      </c>
      <c r="W147" s="174"/>
    </row>
    <row r="148">
      <c r="B148" s="169" t="str">
        <f>IFERROR(__xludf.DUMMYFUNCTION("""COMPUTED_VALUE"""),"")</f>
        <v/>
      </c>
      <c r="D148" s="170" t="str">
        <f>IFERROR(__xludf.DUMMYFUNCTION("""COMPUTED_VALUE"""),"Spleaf")</f>
        <v>Spleaf</v>
      </c>
      <c r="H148" s="171" t="str">
        <f>IFERROR(__xludf.DUMMYFUNCTION("""COMPUTED_VALUE"""),"Kill a mob using a shovel while both of you are standing on a Big Dripleaf")</f>
        <v>Kill a mob using a shovel while both of you are standing on a Big Dripleaf</v>
      </c>
      <c r="R148" s="54"/>
      <c r="U148" s="172" t="str">
        <f>IFERROR(__xludf.DUMMYFUNCTION("""COMPUTED_VALUE"""),"")</f>
        <v/>
      </c>
      <c r="V148" s="173" t="str">
        <f>IFERROR(__xludf.DUMMYFUNCTION("""COMPUTED_VALUE"""),"Birch Stairs")</f>
        <v>Birch Stairs</v>
      </c>
      <c r="W148" s="174"/>
    </row>
    <row r="149">
      <c r="B149" s="169" t="str">
        <f>IFERROR(__xludf.DUMMYFUNCTION("""COMPUTED_VALUE"""),"")</f>
        <v/>
      </c>
      <c r="D149" s="170" t="str">
        <f>IFERROR(__xludf.DUMMYFUNCTION("""COMPUTED_VALUE"""),"Multiclassed")</f>
        <v>Multiclassed</v>
      </c>
      <c r="H149" s="171" t="str">
        <f>IFERROR(__xludf.DUMMYFUNCTION("""COMPUTED_VALUE"""),"Hit a mob with every type of weapon (See requirement notes below)")</f>
        <v>Hit a mob with every type of weapon (See requirement notes below)</v>
      </c>
      <c r="R149" s="54"/>
      <c r="U149" s="172" t="str">
        <f>IFERROR(__xludf.DUMMYFUNCTION("""COMPUTED_VALUE"""),"")</f>
        <v/>
      </c>
      <c r="V149" s="173" t="str">
        <f>IFERROR(__xludf.DUMMYFUNCTION("""COMPUTED_VALUE"""),"Birch Trapdoor")</f>
        <v>Birch Trapdoor</v>
      </c>
      <c r="W149" s="174"/>
    </row>
    <row r="150">
      <c r="B150" s="169" t="str">
        <f>IFERROR(__xludf.DUMMYFUNCTION("""COMPUTED_VALUE"""),"")</f>
        <v/>
      </c>
      <c r="D150" s="170" t="str">
        <f>IFERROR(__xludf.DUMMYFUNCTION("""COMPUTED_VALUE"""),"King of the Sea")</f>
        <v>King of the Sea</v>
      </c>
      <c r="H150" s="171" t="str">
        <f>IFERROR(__xludf.DUMMYFUNCTION("""COMPUTED_VALUE"""),"Kill a Drowned using a trident from at least 30 metres")</f>
        <v>Kill a Drowned using a trident from at least 30 metres</v>
      </c>
      <c r="R150" s="54"/>
      <c r="U150" s="172" t="str">
        <f>IFERROR(__xludf.DUMMYFUNCTION("""COMPUTED_VALUE"""),"")</f>
        <v/>
      </c>
      <c r="V150" s="173" t="str">
        <f>IFERROR(__xludf.DUMMYFUNCTION("""COMPUTED_VALUE"""),"Birch Wood")</f>
        <v>Birch Wood</v>
      </c>
      <c r="W150" s="174"/>
    </row>
    <row r="151">
      <c r="B151" s="169" t="str">
        <f>IFERROR(__xludf.DUMMYFUNCTION("""COMPUTED_VALUE"""),"")</f>
        <v/>
      </c>
      <c r="D151" s="170" t="str">
        <f>IFERROR(__xludf.DUMMYFUNCTION("""COMPUTED_VALUE"""),"The Aquatic Hunter")</f>
        <v>The Aquatic Hunter</v>
      </c>
      <c r="H151" s="171" t="str">
        <f>IFERROR(__xludf.DUMMYFUNCTION("""COMPUTED_VALUE"""),"Hunt all types of aquatic creatures using your trident (See requirement notes below)")</f>
        <v>Hunt all types of aquatic creatures using your trident (See requirement notes below)</v>
      </c>
      <c r="R151" s="54"/>
      <c r="U151" s="172" t="str">
        <f>IFERROR(__xludf.DUMMYFUNCTION("""COMPUTED_VALUE"""),"")</f>
        <v/>
      </c>
      <c r="V151" s="173" t="str">
        <f>IFERROR(__xludf.DUMMYFUNCTION("""COMPUTED_VALUE"""),"Black Banner")</f>
        <v>Black Banner</v>
      </c>
      <c r="W151" s="174"/>
    </row>
    <row r="152">
      <c r="B152" s="169" t="str">
        <f>IFERROR(__xludf.DUMMYFUNCTION("""COMPUTED_VALUE"""),"")</f>
        <v/>
      </c>
      <c r="D152" s="170" t="str">
        <f>IFERROR(__xludf.DUMMYFUNCTION("""COMPUTED_VALUE"""),"Poseidon vs. Hades")</f>
        <v>Poseidon vs. Hades</v>
      </c>
      <c r="H152" s="171" t="str">
        <f>IFERROR(__xludf.DUMMYFUNCTION("""COMPUTED_VALUE"""),"Hunt all types of nether creatures using your trident (See requirement notes below)")</f>
        <v>Hunt all types of nether creatures using your trident (See requirement notes below)</v>
      </c>
      <c r="R152" s="54"/>
      <c r="U152" s="172" t="str">
        <f>IFERROR(__xludf.DUMMYFUNCTION("""COMPUTED_VALUE"""),"")</f>
        <v/>
      </c>
      <c r="V152" s="173" t="str">
        <f>IFERROR(__xludf.DUMMYFUNCTION("""COMPUTED_VALUE"""),"Black Bed")</f>
        <v>Black Bed</v>
      </c>
      <c r="W152" s="174"/>
    </row>
    <row r="153">
      <c r="B153" s="169" t="str">
        <f>IFERROR(__xludf.DUMMYFUNCTION("""COMPUTED_VALUE"""),"")</f>
        <v/>
      </c>
      <c r="D153" s="170" t="str">
        <f>IFERROR(__xludf.DUMMYFUNCTION("""COMPUTED_VALUE"""),"Warden Extinction")</f>
        <v>Warden Extinction</v>
      </c>
      <c r="H153" s="171" t="str">
        <f>IFERROR(__xludf.DUMMYFUNCTION("""COMPUTED_VALUE"""),"Deal 250 hearts of damage in a single hit using the Mace… to one-shot a Warden (At least 250 hearts of damage must be dealt to a Warden)")</f>
        <v>Deal 250 hearts of damage in a single hit using the Mace… to one-shot a Warden (At least 250 hearts of damage must be dealt to a Warden)</v>
      </c>
      <c r="R153" s="54"/>
      <c r="U153" s="172" t="str">
        <f>IFERROR(__xludf.DUMMYFUNCTION("""COMPUTED_VALUE"""),"")</f>
        <v/>
      </c>
      <c r="V153" s="173" t="str">
        <f>IFERROR(__xludf.DUMMYFUNCTION("""COMPUTED_VALUE"""),"Black Candle")</f>
        <v>Black Candle</v>
      </c>
      <c r="W153" s="174"/>
    </row>
    <row r="154">
      <c r="B154" s="169" t="str">
        <f>IFERROR(__xludf.DUMMYFUNCTION("""COMPUTED_VALUE"""),"")</f>
        <v/>
      </c>
      <c r="D154" s="170" t="str">
        <f>IFERROR(__xludf.DUMMYFUNCTION("""COMPUTED_VALUE"""),"Demolitions Expert")</f>
        <v>Demolitions Expert</v>
      </c>
      <c r="H154" s="171" t="str">
        <f>IFERROR(__xludf.DUMMYFUNCTION("""COMPUTED_VALUE"""),"Blow up every hostile mob with TNT (See requirement notes below)")</f>
        <v>Blow up every hostile mob with TNT (See requirement notes below)</v>
      </c>
      <c r="R154" s="54"/>
      <c r="U154" s="172" t="str">
        <f>IFERROR(__xludf.DUMMYFUNCTION("""COMPUTED_VALUE"""),"")</f>
        <v/>
      </c>
      <c r="V154" s="173" t="str">
        <f>IFERROR(__xludf.DUMMYFUNCTION("""COMPUTED_VALUE"""),"Black Carpet")</f>
        <v>Black Carpet</v>
      </c>
      <c r="W154" s="174"/>
    </row>
    <row r="155">
      <c r="B155" s="169" t="str">
        <f>IFERROR(__xludf.DUMMYFUNCTION("""COMPUTED_VALUE"""),"")</f>
        <v/>
      </c>
      <c r="D155" s="170" t="str">
        <f>IFERROR(__xludf.DUMMYFUNCTION("""COMPUTED_VALUE"""),"Indiana Jones")</f>
        <v>Indiana Jones</v>
      </c>
      <c r="H155" s="171" t="str">
        <f>IFERROR(__xludf.DUMMYFUNCTION("""COMPUTED_VALUE"""),"Pull a monster using a fishing rod (Works with the same mobs as ""Monster Hunter"")")</f>
        <v>Pull a monster using a fishing rod (Works with the same mobs as "Monster Hunter")</v>
      </c>
      <c r="R155" s="54"/>
      <c r="U155" s="172" t="str">
        <f>IFERROR(__xludf.DUMMYFUNCTION("""COMPUTED_VALUE"""),"")</f>
        <v/>
      </c>
      <c r="V155" s="173" t="str">
        <f>IFERROR(__xludf.DUMMYFUNCTION("""COMPUTED_VALUE"""),"Black Concrete")</f>
        <v>Black Concrete</v>
      </c>
      <c r="W155" s="174"/>
    </row>
    <row r="156">
      <c r="B156" s="169" t="str">
        <f>IFERROR(__xludf.DUMMYFUNCTION("""COMPUTED_VALUE"""),"")</f>
        <v/>
      </c>
      <c r="D156" s="170" t="str">
        <f>IFERROR(__xludf.DUMMYFUNCTION("""COMPUTED_VALUE"""),"When Pigs Finally Fly")</f>
        <v>When Pigs Finally Fly</v>
      </c>
      <c r="H156" s="171" t="str">
        <f>IFERROR(__xludf.DUMMYFUNCTION("""COMPUTED_VALUE"""),"Pull a pig from 25 blocks below you and watch it go (Pull a pig from at least 25 blocks away)")</f>
        <v>Pull a pig from 25 blocks below you and watch it go (Pull a pig from at least 25 blocks away)</v>
      </c>
      <c r="R156" s="54"/>
      <c r="U156" s="172" t="str">
        <f>IFERROR(__xludf.DUMMYFUNCTION("""COMPUTED_VALUE"""),"")</f>
        <v/>
      </c>
      <c r="V156" s="173" t="str">
        <f>IFERROR(__xludf.DUMMYFUNCTION("""COMPUTED_VALUE"""),"Black Concrete Powder")</f>
        <v>Black Concrete Powder</v>
      </c>
      <c r="W156" s="174"/>
    </row>
    <row r="157">
      <c r="B157" s="169" t="str">
        <f>IFERROR(__xludf.DUMMYFUNCTION("""COMPUTED_VALUE"""),"")</f>
        <v/>
      </c>
      <c r="D157" s="170" t="str">
        <f>IFERROR(__xludf.DUMMYFUNCTION("""COMPUTED_VALUE"""),"A snowball's chance in hell")</f>
        <v>A snowball's chance in hell</v>
      </c>
      <c r="H157" s="171" t="str">
        <f>IFERROR(__xludf.DUMMYFUNCTION("""COMPUTED_VALUE"""),"Defeat a Blaze using snowballs (Kill a blaze with a thrown snowball)")</f>
        <v>Defeat a Blaze using snowballs (Kill a blaze with a thrown snowball)</v>
      </c>
      <c r="R157" s="54"/>
      <c r="U157" s="172" t="str">
        <f>IFERROR(__xludf.DUMMYFUNCTION("""COMPUTED_VALUE"""),"")</f>
        <v/>
      </c>
      <c r="V157" s="173" t="str">
        <f>IFERROR(__xludf.DUMMYFUNCTION("""COMPUTED_VALUE"""),"Black Dye")</f>
        <v>Black Dye</v>
      </c>
      <c r="W157" s="174"/>
    </row>
    <row r="158">
      <c r="B158" s="169" t="str">
        <f>IFERROR(__xludf.DUMMYFUNCTION("""COMPUTED_VALUE"""),"")</f>
        <v/>
      </c>
      <c r="D158" s="170" t="str">
        <f>IFERROR(__xludf.DUMMYFUNCTION("""COMPUTED_VALUE"""),"Backfire")</f>
        <v>Backfire</v>
      </c>
      <c r="H158" s="171" t="str">
        <f>IFERROR(__xludf.DUMMYFUNCTION("""COMPUTED_VALUE"""),"Kill a Blaze using a Blaze Rod while both you and it are on fire")</f>
        <v>Kill a Blaze using a Blaze Rod while both you and it are on fire</v>
      </c>
      <c r="R158" s="54"/>
      <c r="U158" s="172" t="str">
        <f>IFERROR(__xludf.DUMMYFUNCTION("""COMPUTED_VALUE"""),"")</f>
        <v/>
      </c>
      <c r="V158" s="173" t="str">
        <f>IFERROR(__xludf.DUMMYFUNCTION("""COMPUTED_VALUE"""),"Black Glazed Terracotta")</f>
        <v>Black Glazed Terracotta</v>
      </c>
      <c r="W158" s="174"/>
    </row>
    <row r="159">
      <c r="B159" s="169" t="str">
        <f>IFERROR(__xludf.DUMMYFUNCTION("""COMPUTED_VALUE"""),"")</f>
        <v/>
      </c>
      <c r="D159" s="170" t="str">
        <f>IFERROR(__xludf.DUMMYFUNCTION("""COMPUTED_VALUE"""),"There's yolk on my head")</f>
        <v>There's yolk on my head</v>
      </c>
      <c r="H159" s="171" t="str">
        <f>IFERROR(__xludf.DUMMYFUNCTION("""COMPUTED_VALUE"""),"Catapult an egg onto a zombie's head (Hit a zombie with a thrown egg)")</f>
        <v>Catapult an egg onto a zombie's head (Hit a zombie with a thrown egg)</v>
      </c>
      <c r="R159" s="54"/>
      <c r="U159" s="172" t="str">
        <f>IFERROR(__xludf.DUMMYFUNCTION("""COMPUTED_VALUE"""),"")</f>
        <v/>
      </c>
      <c r="V159" s="173" t="str">
        <f>IFERROR(__xludf.DUMMYFUNCTION("""COMPUTED_VALUE"""),"Black Shulker Box")</f>
        <v>Black Shulker Box</v>
      </c>
      <c r="W159" s="174"/>
    </row>
    <row r="160">
      <c r="B160" s="169" t="str">
        <f>IFERROR(__xludf.DUMMYFUNCTION("""COMPUTED_VALUE"""),"")</f>
        <v/>
      </c>
      <c r="D160" s="170" t="str">
        <f>IFERROR(__xludf.DUMMYFUNCTION("""COMPUTED_VALUE"""),"Loser!")</f>
        <v>Loser!</v>
      </c>
      <c r="H160" s="171" t="str">
        <f>IFERROR(__xludf.DUMMYFUNCTION("""COMPUTED_VALUE"""),"Die twice within ten seconds (Die when the last time you died was less than 10 seconds ago)")</f>
        <v>Die twice within ten seconds (Die when the last time you died was less than 10 seconds ago)</v>
      </c>
      <c r="R160" s="54"/>
      <c r="U160" s="172" t="str">
        <f>IFERROR(__xludf.DUMMYFUNCTION("""COMPUTED_VALUE"""),"")</f>
        <v/>
      </c>
      <c r="V160" s="173" t="str">
        <f>IFERROR(__xludf.DUMMYFUNCTION("""COMPUTED_VALUE"""),"Black Stained Glass")</f>
        <v>Black Stained Glass</v>
      </c>
      <c r="W160" s="174"/>
    </row>
    <row r="161">
      <c r="B161" s="169" t="str">
        <f>IFERROR(__xludf.DUMMYFUNCTION("""COMPUTED_VALUE"""),"")</f>
        <v/>
      </c>
      <c r="D161" s="170" t="str">
        <f>IFERROR(__xludf.DUMMYFUNCTION("""COMPUTED_VALUE"""),"Half Heart Life")</f>
        <v>Half Heart Life</v>
      </c>
      <c r="H161" s="171" t="str">
        <f>IFERROR(__xludf.DUMMYFUNCTION("""COMPUTED_VALUE"""),"Be on half a heart of health for a minute")</f>
        <v>Be on half a heart of health for a minute</v>
      </c>
      <c r="R161" s="54"/>
      <c r="U161" s="172" t="str">
        <f>IFERROR(__xludf.DUMMYFUNCTION("""COMPUTED_VALUE"""),"")</f>
        <v/>
      </c>
      <c r="V161" s="173" t="str">
        <f>IFERROR(__xludf.DUMMYFUNCTION("""COMPUTED_VALUE"""),"Black Stained Glass Pane")</f>
        <v>Black Stained Glass Pane</v>
      </c>
      <c r="W161" s="174"/>
    </row>
    <row r="162">
      <c r="B162" s="169" t="str">
        <f>IFERROR(__xludf.DUMMYFUNCTION("""COMPUTED_VALUE"""),"")</f>
        <v/>
      </c>
      <c r="D162" s="170" t="str">
        <f>IFERROR(__xludf.DUMMYFUNCTION("""COMPUTED_VALUE"""),"The Sound of Music")</f>
        <v>The Sound of Music</v>
      </c>
      <c r="H162" s="171" t="str">
        <f>IFERROR(__xludf.DUMMYFUNCTION("""COMPUTED_VALUE"""),"Make the Meadows come alive with the sound of music from a jukebox‌ (Play any music disc in a jukebox while you are in a Meadows biome)")</f>
        <v>Make the Meadows come alive with the sound of music from a jukebox‌ (Play any music disc in a jukebox while you are in a Meadows biome)</v>
      </c>
      <c r="R162" s="54"/>
      <c r="U162" s="172" t="str">
        <f>IFERROR(__xludf.DUMMYFUNCTION("""COMPUTED_VALUE"""),"")</f>
        <v/>
      </c>
      <c r="V162" s="173" t="str">
        <f>IFERROR(__xludf.DUMMYFUNCTION("""COMPUTED_VALUE"""),"Black Terracotta")</f>
        <v>Black Terracotta</v>
      </c>
      <c r="W162" s="174"/>
    </row>
    <row r="163">
      <c r="B163" s="169" t="str">
        <f>IFERROR(__xludf.DUMMYFUNCTION("""COMPUTED_VALUE"""),"")</f>
        <v/>
      </c>
      <c r="D163" s="170" t="str">
        <f>IFERROR(__xludf.DUMMYFUNCTION("""COMPUTED_VALUE"""),"Disc Jockey")</f>
        <v>Disc Jockey</v>
      </c>
      <c r="H163" s="171" t="str">
        <f>IFERROR(__xludf.DUMMYFUNCTION("""COMPUTED_VALUE"""),"Listen to all the music discs (See requirement notes below)")</f>
        <v>Listen to all the music discs (See requirement notes below)</v>
      </c>
      <c r="R163" s="54"/>
      <c r="U163" s="172" t="str">
        <f>IFERROR(__xludf.DUMMYFUNCTION("""COMPUTED_VALUE"""),"")</f>
        <v/>
      </c>
      <c r="V163" s="173" t="str">
        <f>IFERROR(__xludf.DUMMYFUNCTION("""COMPUTED_VALUE"""),"Black Wool")</f>
        <v>Black Wool</v>
      </c>
      <c r="W163" s="174"/>
    </row>
    <row r="164">
      <c r="B164" s="169" t="str">
        <f>IFERROR(__xludf.DUMMYFUNCTION("""COMPUTED_VALUE"""),"")</f>
        <v/>
      </c>
      <c r="D164" s="170" t="str">
        <f>IFERROR(__xludf.DUMMYFUNCTION("""COMPUTED_VALUE"""),"Raidin' Master")</f>
        <v>Raidin' Master</v>
      </c>
      <c r="H164" s="171" t="str">
        <f>IFERROR(__xludf.DUMMYFUNCTION("""COMPUTED_VALUE"""),"Discover every structure type (See requirement notes below)")</f>
        <v>Discover every structure type (See requirement notes below)</v>
      </c>
      <c r="R164" s="54"/>
      <c r="U164" s="172" t="str">
        <f>IFERROR(__xludf.DUMMYFUNCTION("""COMPUTED_VALUE"""),"")</f>
        <v/>
      </c>
      <c r="V164" s="173" t="str">
        <f>IFERROR(__xludf.DUMMYFUNCTION("""COMPUTED_VALUE"""),"Blackstone")</f>
        <v>Blackstone</v>
      </c>
      <c r="W164" s="174"/>
    </row>
    <row r="165">
      <c r="B165" s="169" t="str">
        <f>IFERROR(__xludf.DUMMYFUNCTION("""COMPUTED_VALUE"""),"")</f>
        <v/>
      </c>
      <c r="D165" s="170" t="str">
        <f>IFERROR(__xludf.DUMMYFUNCTION("""COMPUTED_VALUE"""),"A Suspicious Advancement")</f>
        <v>A Suspicious Advancement</v>
      </c>
      <c r="H165" s="171" t="str">
        <f>IFERROR(__xludf.DUMMYFUNCTION("""COMPUTED_VALUE"""),"Obtain a block of Suspicious Sand or Gravel (This can be done by having a sus block fall into a line of cobwebs. After a minute the falling block entity will despawn and drop the sus block as an item)")</f>
        <v>Obtain a block of Suspicious Sand or Gravel (This can be done by having a sus block fall into a line of cobwebs. After a minute the falling block entity will despawn and drop the sus block as an item)</v>
      </c>
      <c r="R165" s="54"/>
      <c r="U165" s="172" t="str">
        <f>IFERROR(__xludf.DUMMYFUNCTION("""COMPUTED_VALUE"""),"")</f>
        <v/>
      </c>
      <c r="V165" s="173" t="str">
        <f>IFERROR(__xludf.DUMMYFUNCTION("""COMPUTED_VALUE"""),"Blackstone Slab")</f>
        <v>Blackstone Slab</v>
      </c>
      <c r="W165" s="174"/>
    </row>
    <row r="166">
      <c r="B166" s="169" t="str">
        <f>IFERROR(__xludf.DUMMYFUNCTION("""COMPUTED_VALUE"""),"")</f>
        <v/>
      </c>
      <c r="D166" s="170" t="str">
        <f>IFERROR(__xludf.DUMMYFUNCTION("""COMPUTED_VALUE"""),"Little Sniffs")</f>
        <v>Little Sniffs</v>
      </c>
      <c r="H166" s="171" t="str">
        <f>IFERROR(__xludf.DUMMYFUNCTION("""COMPUTED_VALUE"""),"Feed a Snifflet (Feed a baby Sniffer with Torchflower Seeds)")</f>
        <v>Feed a Snifflet (Feed a baby Sniffer with Torchflower Seeds)</v>
      </c>
      <c r="R166" s="54"/>
      <c r="U166" s="172" t="str">
        <f>IFERROR(__xludf.DUMMYFUNCTION("""COMPUTED_VALUE"""),"")</f>
        <v/>
      </c>
      <c r="V166" s="173" t="str">
        <f>IFERROR(__xludf.DUMMYFUNCTION("""COMPUTED_VALUE"""),"Blackstone Stairs")</f>
        <v>Blackstone Stairs</v>
      </c>
      <c r="W166" s="174"/>
    </row>
    <row r="167">
      <c r="B167" s="169" t="str">
        <f>IFERROR(__xludf.DUMMYFUNCTION("""COMPUTED_VALUE"""),"")</f>
        <v/>
      </c>
      <c r="D167" s="170" t="str">
        <f>IFERROR(__xludf.DUMMYFUNCTION("""COMPUTED_VALUE"""),"Coordinated Flair")</f>
        <v>Coordinated Flair</v>
      </c>
      <c r="H167" s="171" t="str">
        <f>IFERROR(__xludf.DUMMYFUNCTION("""COMPUTED_VALUE"""),"Wear a suit of armor with all four pieces trimmed with the same material")</f>
        <v>Wear a suit of armor with all four pieces trimmed with the same material</v>
      </c>
      <c r="R167" s="54"/>
      <c r="U167" s="172" t="str">
        <f>IFERROR(__xludf.DUMMYFUNCTION("""COMPUTED_VALUE"""),"")</f>
        <v/>
      </c>
      <c r="V167" s="173" t="str">
        <f>IFERROR(__xludf.DUMMYFUNCTION("""COMPUTED_VALUE"""),"Blackstone Wall")</f>
        <v>Blackstone Wall</v>
      </c>
      <c r="W167" s="174"/>
    </row>
    <row r="168">
      <c r="B168" s="169" t="str">
        <f>IFERROR(__xludf.DUMMYFUNCTION("""COMPUTED_VALUE"""),"")</f>
        <v/>
      </c>
      <c r="D168" s="170" t="str">
        <f>IFERROR(__xludf.DUMMYFUNCTION("""COMPUTED_VALUE"""),"Chromatic Armory")</f>
        <v>Chromatic Armory</v>
      </c>
      <c r="H168" s="171" t="str">
        <f>IFERROR(__xludf.DUMMYFUNCTION("""COMPUTED_VALUE"""),"Trim pieces of armor with all types of materials (See requirement notes below)")</f>
        <v>Trim pieces of armor with all types of materials (See requirement notes below)</v>
      </c>
      <c r="R168" s="54"/>
      <c r="U168" s="172" t="str">
        <f>IFERROR(__xludf.DUMMYFUNCTION("""COMPUTED_VALUE"""),"")</f>
        <v/>
      </c>
      <c r="V168" s="173" t="str">
        <f>IFERROR(__xludf.DUMMYFUNCTION("""COMPUTED_VALUE"""),"Blade Pottery Sherd")</f>
        <v>Blade Pottery Sherd</v>
      </c>
      <c r="W168" s="174"/>
    </row>
    <row r="169">
      <c r="B169" s="169" t="str">
        <f>IFERROR(__xludf.DUMMYFUNCTION("""COMPUTED_VALUE"""),"")</f>
        <v/>
      </c>
      <c r="D169" s="170" t="str">
        <f>IFERROR(__xludf.DUMMYFUNCTION("""COMPUTED_VALUE"""),"Redemption Arc")</f>
        <v>Redemption Arc</v>
      </c>
      <c r="H169" s="171" t="str">
        <f>IFERROR(__xludf.DUMMYFUNCTION("""COMPUTED_VALUE"""),"Befriend a Pillager that doesn’t have a crossbow (Be within 5 blocks of a Pillager that is not holding a crossbow)")</f>
        <v>Befriend a Pillager that doesn’t have a crossbow (Be within 5 blocks of a Pillager that is not holding a crossbow)</v>
      </c>
      <c r="R169" s="54"/>
      <c r="U169" s="172" t="str">
        <f>IFERROR(__xludf.DUMMYFUNCTION("""COMPUTED_VALUE"""),"")</f>
        <v/>
      </c>
      <c r="V169" s="173" t="str">
        <f>IFERROR(__xludf.DUMMYFUNCTION("""COMPUTED_VALUE"""),"Blast Furnace")</f>
        <v>Blast Furnace</v>
      </c>
      <c r="W169" s="174"/>
    </row>
    <row r="170">
      <c r="B170" s="169" t="str">
        <f>IFERROR(__xludf.DUMMYFUNCTION("""COMPUTED_VALUE"""),"")</f>
        <v/>
      </c>
      <c r="D170" s="170" t="str">
        <f>IFERROR(__xludf.DUMMYFUNCTION("""COMPUTED_VALUE"""),"Sound the Alarm!")</f>
        <v>Sound the Alarm!</v>
      </c>
      <c r="H170" s="171" t="str">
        <f>IFERROR(__xludf.DUMMYFUNCTION("""COMPUTED_VALUE"""),"Ring the bell with a hostile enemy in the village (Ring a bell while at least one illager that is part of a raid is within 32 blocks of you)")</f>
        <v>Ring the bell with a hostile enemy in the village (Ring a bell while at least one illager that is part of a raid is within 32 blocks of you)</v>
      </c>
      <c r="R170" s="54"/>
      <c r="U170" s="172" t="str">
        <f>IFERROR(__xludf.DUMMYFUNCTION("""COMPUTED_VALUE"""),"")</f>
        <v/>
      </c>
      <c r="V170" s="173" t="str">
        <f>IFERROR(__xludf.DUMMYFUNCTION("""COMPUTED_VALUE"""),"Blaze Powder")</f>
        <v>Blaze Powder</v>
      </c>
      <c r="W170" s="174"/>
    </row>
    <row r="171">
      <c r="B171" s="169" t="str">
        <f>IFERROR(__xludf.DUMMYFUNCTION("""COMPUTED_VALUE"""),"")</f>
        <v/>
      </c>
      <c r="D171" s="170" t="str">
        <f>IFERROR(__xludf.DUMMYFUNCTION("""COMPUTED_VALUE"""),"Justice")</f>
        <v>Justice</v>
      </c>
      <c r="H171" s="171" t="str">
        <f>IFERROR(__xludf.DUMMYFUNCTION("""COMPUTED_VALUE"""),"Kill each type of Illager with a single crossbow arrow (Kill a Pillager, Vindicator, Witch, Evoker and Ravager with a single crossbow arrow)")</f>
        <v>Kill each type of Illager with a single crossbow arrow (Kill a Pillager, Vindicator, Witch, Evoker and Ravager with a single crossbow arrow)</v>
      </c>
      <c r="R171" s="54"/>
      <c r="U171" s="172" t="str">
        <f>IFERROR(__xludf.DUMMYFUNCTION("""COMPUTED_VALUE"""),"")</f>
        <v/>
      </c>
      <c r="V171" s="173" t="str">
        <f>IFERROR(__xludf.DUMMYFUNCTION("""COMPUTED_VALUE"""),"Blaze Rod")</f>
        <v>Blaze Rod</v>
      </c>
      <c r="W171" s="174"/>
    </row>
    <row r="172">
      <c r="B172" s="169" t="str">
        <f>IFERROR(__xludf.DUMMYFUNCTION("""COMPUTED_VALUE"""),"")</f>
        <v/>
      </c>
      <c r="D172" s="170" t="str">
        <f>IFERROR(__xludf.DUMMYFUNCTION("""COMPUTED_VALUE"""),"Undying Fandom")</f>
        <v>Undying Fandom</v>
      </c>
      <c r="H172" s="171" t="str">
        <f>IFERROR(__xludf.DUMMYFUNCTION("""COMPUTED_VALUE"""),"Receive every type of gift from Villagers as a Hero of the Village (See requirement notes below)")</f>
        <v>Receive every type of gift from Villagers as a Hero of the Village (See requirement notes below)</v>
      </c>
      <c r="R172" s="54"/>
      <c r="U172" s="172" t="str">
        <f>IFERROR(__xludf.DUMMYFUNCTION("""COMPUTED_VALUE"""),"")</f>
        <v/>
      </c>
      <c r="V172" s="173" t="str">
        <f>IFERROR(__xludf.DUMMYFUNCTION("""COMPUTED_VALUE"""),"Blue Banner")</f>
        <v>Blue Banner</v>
      </c>
      <c r="W172" s="174"/>
    </row>
    <row r="173">
      <c r="B173" s="169" t="str">
        <f>IFERROR(__xludf.DUMMYFUNCTION("""COMPUTED_VALUE"""),"")</f>
        <v/>
      </c>
      <c r="D173" s="170" t="str">
        <f>IFERROR(__xludf.DUMMYFUNCTION("""COMPUTED_VALUE"""),"Evelyn Evergreen")</f>
        <v>Evelyn Evergreen</v>
      </c>
      <c r="H173" s="171" t="str">
        <f>IFERROR(__xludf.DUMMYFUNCTION("""COMPUTED_VALUE"""),"Have an Allay deliver Spruce Saplings to you while chopping down trees (Pick up Spruce Saplings that were dropped by an Allay)")</f>
        <v>Have an Allay deliver Spruce Saplings to you while chopping down trees (Pick up Spruce Saplings that were dropped by an Allay)</v>
      </c>
      <c r="R173" s="54"/>
      <c r="U173" s="172" t="str">
        <f>IFERROR(__xludf.DUMMYFUNCTION("""COMPUTED_VALUE"""),"")</f>
        <v/>
      </c>
      <c r="V173" s="173" t="str">
        <f>IFERROR(__xludf.DUMMYFUNCTION("""COMPUTED_VALUE"""),"Blue Bed")</f>
        <v>Blue Bed</v>
      </c>
      <c r="W173" s="174"/>
    </row>
    <row r="174">
      <c r="B174" s="169" t="str">
        <f>IFERROR(__xludf.DUMMYFUNCTION("""COMPUTED_VALUE"""),"")</f>
        <v/>
      </c>
      <c r="D174" s="170" t="str">
        <f>IFERROR(__xludf.DUMMYFUNCTION("""COMPUTED_VALUE"""),"Budget Vex")</f>
        <v>Budget Vex</v>
      </c>
      <c r="H174" s="171" t="str">
        <f>IFERROR(__xludf.DUMMYFUNCTION("""COMPUTED_VALUE"""),"Give an Allay an Iron Sword (Right-click an Allay with an Iron Sword)")</f>
        <v>Give an Allay an Iron Sword (Right-click an Allay with an Iron Sword)</v>
      </c>
      <c r="R174" s="54"/>
      <c r="U174" s="172" t="str">
        <f>IFERROR(__xludf.DUMMYFUNCTION("""COMPUTED_VALUE"""),"")</f>
        <v/>
      </c>
      <c r="V174" s="173" t="str">
        <f>IFERROR(__xludf.DUMMYFUNCTION("""COMPUTED_VALUE"""),"Blue Candle")</f>
        <v>Blue Candle</v>
      </c>
      <c r="W174" s="174"/>
    </row>
    <row r="175">
      <c r="B175" s="169" t="str">
        <f>IFERROR(__xludf.DUMMYFUNCTION("""COMPUTED_VALUE"""),"")</f>
        <v/>
      </c>
      <c r="D175" s="170" t="str">
        <f>IFERROR(__xludf.DUMMYFUNCTION("""COMPUTED_VALUE"""),"Diagon Allay")</f>
        <v>Diagon Allay</v>
      </c>
      <c r="H175" s="171" t="str">
        <f>IFERROR(__xludf.DUMMYFUNCTION("""COMPUTED_VALUE"""),"Have an Allay deliver a potion to you in the Deep Dark (Pick up a potion that was dropped by an Allay in the Deep Dark biome or an Ancient City)")</f>
        <v>Have an Allay deliver a potion to you in the Deep Dark (Pick up a potion that was dropped by an Allay in the Deep Dark biome or an Ancient City)</v>
      </c>
      <c r="R175" s="54"/>
      <c r="U175" s="172" t="str">
        <f>IFERROR(__xludf.DUMMYFUNCTION("""COMPUTED_VALUE"""),"")</f>
        <v/>
      </c>
      <c r="V175" s="173" t="str">
        <f>IFERROR(__xludf.DUMMYFUNCTION("""COMPUTED_VALUE"""),"Blue Carpet")</f>
        <v>Blue Carpet</v>
      </c>
      <c r="W175" s="174"/>
    </row>
    <row r="176">
      <c r="B176" s="169" t="str">
        <f>IFERROR(__xludf.DUMMYFUNCTION("""COMPUTED_VALUE"""),"")</f>
        <v/>
      </c>
      <c r="D176" s="170" t="str">
        <f>IFERROR(__xludf.DUMMYFUNCTION("""COMPUTED_VALUE"""),"And make it double!")</f>
        <v>And make it double!</v>
      </c>
      <c r="H176" s="171" t="str">
        <f>IFERROR(__xludf.DUMMYFUNCTION("""COMPUTED_VALUE"""),"Play a jukebox near some Allays, then give one an Amethyst Shard and see what happens! (Duplicate an Allay by giving one an Amethyst Shard while a jukebox is playing nearby)")</f>
        <v>Play a jukebox near some Allays, then give one an Amethyst Shard and see what happens! (Duplicate an Allay by giving one an Amethyst Shard while a jukebox is playing nearby)</v>
      </c>
      <c r="R176" s="54"/>
      <c r="U176" s="172" t="str">
        <f>IFERROR(__xludf.DUMMYFUNCTION("""COMPUTED_VALUE"""),"")</f>
        <v/>
      </c>
      <c r="V176" s="173" t="str">
        <f>IFERROR(__xludf.DUMMYFUNCTION("""COMPUTED_VALUE"""),"Blue Concrete")</f>
        <v>Blue Concrete</v>
      </c>
      <c r="W176" s="174"/>
    </row>
    <row r="177">
      <c r="B177" s="169" t="str">
        <f>IFERROR(__xludf.DUMMYFUNCTION("""COMPUTED_VALUE"""),"")</f>
        <v/>
      </c>
      <c r="D177" s="170" t="str">
        <f>IFERROR(__xludf.DUMMYFUNCTION("""COMPUTED_VALUE"""),"Birthday Song")</f>
        <v>Birthday Song</v>
      </c>
      <c r="H177" s="171" t="str">
        <f>IFERROR(__xludf.DUMMYFUNCTION("""COMPUTED_VALUE"""),"Have an Allay drop a cake at a note block")</f>
        <v>Have an Allay drop a cake at a note block</v>
      </c>
      <c r="R177" s="54"/>
      <c r="U177" s="172" t="str">
        <f>IFERROR(__xludf.DUMMYFUNCTION("""COMPUTED_VALUE"""),"")</f>
        <v/>
      </c>
      <c r="V177" s="173" t="str">
        <f>IFERROR(__xludf.DUMMYFUNCTION("""COMPUTED_VALUE"""),"Blue Concrete Powder")</f>
        <v>Blue Concrete Powder</v>
      </c>
      <c r="W177" s="174"/>
    </row>
    <row r="178">
      <c r="B178" s="169" t="str">
        <f>IFERROR(__xludf.DUMMYFUNCTION("""COMPUTED_VALUE"""),"")</f>
        <v/>
      </c>
      <c r="D178" s="170" t="str">
        <f>IFERROR(__xludf.DUMMYFUNCTION("""COMPUTED_VALUE"""),"Shady Deals")</f>
        <v>Shady Deals</v>
      </c>
      <c r="H178" s="171" t="str">
        <f>IFERROR(__xludf.DUMMYFUNCTION("""COMPUTED_VALUE"""),"Trade with the Wandering Trader while he is invisible")</f>
        <v>Trade with the Wandering Trader while he is invisible</v>
      </c>
      <c r="R178" s="54"/>
      <c r="U178" s="172" t="str">
        <f>IFERROR(__xludf.DUMMYFUNCTION("""COMPUTED_VALUE"""),"")</f>
        <v/>
      </c>
      <c r="V178" s="173" t="str">
        <f>IFERROR(__xludf.DUMMYFUNCTION("""COMPUTED_VALUE"""),"Blue Dye")</f>
        <v>Blue Dye</v>
      </c>
      <c r="W178" s="174"/>
    </row>
    <row r="179">
      <c r="B179" s="169" t="str">
        <f>IFERROR(__xludf.DUMMYFUNCTION("""COMPUTED_VALUE"""),"")</f>
        <v/>
      </c>
      <c r="D179" s="170" t="str">
        <f>IFERROR(__xludf.DUMMYFUNCTION("""COMPUTED_VALUE"""),"Florist")</f>
        <v>Florist</v>
      </c>
      <c r="H179" s="171" t="str">
        <f>IFERROR(__xludf.DUMMYFUNCTION("""COMPUTED_VALUE"""),"Trade for a flower from the Wandering Trader")</f>
        <v>Trade for a flower from the Wandering Trader</v>
      </c>
      <c r="R179" s="54"/>
      <c r="U179" s="172" t="str">
        <f>IFERROR(__xludf.DUMMYFUNCTION("""COMPUTED_VALUE"""),"")</f>
        <v/>
      </c>
      <c r="V179" s="173" t="str">
        <f>IFERROR(__xludf.DUMMYFUNCTION("""COMPUTED_VALUE"""),"Blue Glazed Terracotta")</f>
        <v>Blue Glazed Terracotta</v>
      </c>
      <c r="W179" s="174"/>
    </row>
    <row r="180">
      <c r="B180" s="169" t="str">
        <f>IFERROR(__xludf.DUMMYFUNCTION("""COMPUTED_VALUE"""),"")</f>
        <v/>
      </c>
      <c r="D180" s="170" t="str">
        <f>IFERROR(__xludf.DUMMYFUNCTION("""COMPUTED_VALUE"""),"Rebuilding the Oceans")</f>
        <v>Rebuilding the Oceans</v>
      </c>
      <c r="H180" s="171" t="str">
        <f>IFERROR(__xludf.DUMMYFUNCTION("""COMPUTED_VALUE"""),"Trade for a coral block from the Wandering Trader")</f>
        <v>Trade for a coral block from the Wandering Trader</v>
      </c>
      <c r="R180" s="54"/>
      <c r="U180" s="172" t="str">
        <f>IFERROR(__xludf.DUMMYFUNCTION("""COMPUTED_VALUE"""),"")</f>
        <v/>
      </c>
      <c r="V180" s="173" t="str">
        <f>IFERROR(__xludf.DUMMYFUNCTION("""COMPUTED_VALUE"""),"Blue Ice")</f>
        <v>Blue Ice</v>
      </c>
      <c r="W180" s="174"/>
    </row>
    <row r="181">
      <c r="B181" s="169" t="str">
        <f>IFERROR(__xludf.DUMMYFUNCTION("""COMPUTED_VALUE"""),"")</f>
        <v/>
      </c>
      <c r="D181" s="170" t="str">
        <f>IFERROR(__xludf.DUMMYFUNCTION("""COMPUTED_VALUE"""),"Deal's off!")</f>
        <v>Deal's off!</v>
      </c>
      <c r="H181" s="171" t="str">
        <f>IFERROR(__xludf.DUMMYFUNCTION("""COMPUTED_VALUE"""),"Get spat at by one of the Trader Llamas (Get damaged by a Trader Llama)")</f>
        <v>Get spat at by one of the Trader Llamas (Get damaged by a Trader Llama)</v>
      </c>
      <c r="R181" s="54"/>
      <c r="U181" s="172" t="str">
        <f>IFERROR(__xludf.DUMMYFUNCTION("""COMPUTED_VALUE"""),"")</f>
        <v/>
      </c>
      <c r="V181" s="173" t="str">
        <f>IFERROR(__xludf.DUMMYFUNCTION("""COMPUTED_VALUE"""),"Blue Orchid")</f>
        <v>Blue Orchid</v>
      </c>
      <c r="W181" s="174"/>
    </row>
    <row r="182">
      <c r="B182" s="169" t="str">
        <f>IFERROR(__xludf.DUMMYFUNCTION("""COMPUTED_VALUE"""),"")</f>
        <v/>
      </c>
      <c r="D182" s="170" t="str">
        <f>IFERROR(__xludf.DUMMYFUNCTION("""COMPUTED_VALUE"""),"A Complete Catalogue")</f>
        <v>A Complete Catalogue</v>
      </c>
      <c r="H182" s="171" t="str">
        <f>IFERROR(__xludf.DUMMYFUNCTION("""COMPUTED_VALUE"""),"Tame all cat variants! (See requirement notes below)")</f>
        <v>Tame all cat variants! (See requirement notes below)</v>
      </c>
      <c r="R182" s="54"/>
      <c r="U182" s="172" t="str">
        <f>IFERROR(__xludf.DUMMYFUNCTION("""COMPUTED_VALUE"""),"")</f>
        <v/>
      </c>
      <c r="V182" s="173" t="str">
        <f>IFERROR(__xludf.DUMMYFUNCTION("""COMPUTED_VALUE"""),"Blue Shulker Box")</f>
        <v>Blue Shulker Box</v>
      </c>
      <c r="W182" s="174"/>
    </row>
    <row r="183">
      <c r="B183" s="169" t="str">
        <f>IFERROR(__xludf.DUMMYFUNCTION("""COMPUTED_VALUE"""),"")</f>
        <v/>
      </c>
      <c r="D183" s="170" t="str">
        <f>IFERROR(__xludf.DUMMYFUNCTION("""COMPUTED_VALUE"""),"Hey! You two should kiss!")</f>
        <v>Hey! You two should kiss!</v>
      </c>
      <c r="H183" s="171" t="str">
        <f>IFERROR(__xludf.DUMMYFUNCTION("""COMPUTED_VALUE"""),"Use a Spyglass to look at two Villagers sitting in a Boat from at least 50 blocks away (Use a spyglass to look at a boat with two villager passengers in it)")</f>
        <v>Use a Spyglass to look at two Villagers sitting in a Boat from at least 50 blocks away (Use a spyglass to look at a boat with two villager passengers in it)</v>
      </c>
      <c r="R183" s="54"/>
      <c r="U183" s="172" t="str">
        <f>IFERROR(__xludf.DUMMYFUNCTION("""COMPUTED_VALUE"""),"")</f>
        <v/>
      </c>
      <c r="V183" s="173" t="str">
        <f>IFERROR(__xludf.DUMMYFUNCTION("""COMPUTED_VALUE"""),"Blue Stained Glass")</f>
        <v>Blue Stained Glass</v>
      </c>
      <c r="W183" s="174"/>
    </row>
    <row r="184">
      <c r="B184" s="169" t="str">
        <f>IFERROR(__xludf.DUMMYFUNCTION("""COMPUTED_VALUE"""),"")</f>
        <v/>
      </c>
      <c r="D184" s="170" t="str">
        <f>IFERROR(__xludf.DUMMYFUNCTION("""COMPUTED_VALUE"""),"Star Trader")</f>
        <v>Star Trader</v>
      </c>
      <c r="H184" s="171" t="str">
        <f>IFERROR(__xludf.DUMMYFUNCTION("""COMPUTED_VALUE"""),"Trade with a villager at the build height limit (Trade with a villager who is standing at y-level 319 or higher in the Overworld, or y-level 255 or higher in the Nether or End)")</f>
        <v>Trade with a villager at the build height limit (Trade with a villager who is standing at y-level 319 or higher in the Overworld, or y-level 255 or higher in the Nether or End)</v>
      </c>
      <c r="R184" s="54"/>
      <c r="U184" s="172" t="str">
        <f>IFERROR(__xludf.DUMMYFUNCTION("""COMPUTED_VALUE"""),"")</f>
        <v/>
      </c>
      <c r="V184" s="173" t="str">
        <f>IFERROR(__xludf.DUMMYFUNCTION("""COMPUTED_VALUE"""),"Blue Stained Glass Pane")</f>
        <v>Blue Stained Glass Pane</v>
      </c>
      <c r="W184" s="174"/>
    </row>
    <row r="185">
      <c r="B185" s="169" t="str">
        <f>IFERROR(__xludf.DUMMYFUNCTION("""COMPUTED_VALUE"""),"")</f>
        <v/>
      </c>
      <c r="D185" s="170" t="str">
        <f>IFERROR(__xludf.DUMMYFUNCTION("""COMPUTED_VALUE"""),"Master Trader")</f>
        <v>Master Trader</v>
      </c>
      <c r="H185" s="171" t="str">
        <f>IFERROR(__xludf.DUMMYFUNCTION("""COMPUTED_VALUE"""),"Trade with every type of villager career at master level (See requirement notes below)")</f>
        <v>Trade with every type of villager career at master level (See requirement notes below)</v>
      </c>
      <c r="R185" s="54"/>
      <c r="U185" s="172" t="str">
        <f>IFERROR(__xludf.DUMMYFUNCTION("""COMPUTED_VALUE"""),"")</f>
        <v/>
      </c>
      <c r="V185" s="173" t="str">
        <f>IFERROR(__xludf.DUMMYFUNCTION("""COMPUTED_VALUE"""),"Blue Terracotta")</f>
        <v>Blue Terracotta</v>
      </c>
      <c r="W185" s="174"/>
    </row>
    <row r="186">
      <c r="B186" s="169" t="str">
        <f>IFERROR(__xludf.DUMMYFUNCTION("""COMPUTED_VALUE"""),"")</f>
        <v/>
      </c>
      <c r="D186" s="170" t="str">
        <f>IFERROR(__xludf.DUMMYFUNCTION("""COMPUTED_VALUE"""),"I'm not lost anymore!")</f>
        <v>I'm not lost anymore!</v>
      </c>
      <c r="H186" s="171" t="str">
        <f>IFERROR(__xludf.DUMMYFUNCTION("""COMPUTED_VALUE"""),"Right-click a banner with a map")</f>
        <v>Right-click a banner with a map</v>
      </c>
      <c r="R186" s="54"/>
      <c r="U186" s="172" t="str">
        <f>IFERROR(__xludf.DUMMYFUNCTION("""COMPUTED_VALUE"""),"")</f>
        <v/>
      </c>
      <c r="V186" s="173" t="str">
        <f>IFERROR(__xludf.DUMMYFUNCTION("""COMPUTED_VALUE"""),"Blue Wool")</f>
        <v>Blue Wool</v>
      </c>
      <c r="W186" s="174"/>
    </row>
    <row r="187">
      <c r="B187" s="169" t="str">
        <f>IFERROR(__xludf.DUMMYFUNCTION("""COMPUTED_VALUE"""),"")</f>
        <v/>
      </c>
      <c r="D187" s="170" t="str">
        <f>IFERROR(__xludf.DUMMYFUNCTION("""COMPUTED_VALUE"""),"Spear Fishing")</f>
        <v>Spear Fishing</v>
      </c>
      <c r="H187" s="171" t="str">
        <f>IFERROR(__xludf.DUMMYFUNCTION("""COMPUTED_VALUE"""),"Kill a Guardian with arrows")</f>
        <v>Kill a Guardian with arrows</v>
      </c>
      <c r="R187" s="54"/>
      <c r="U187" s="172" t="str">
        <f>IFERROR(__xludf.DUMMYFUNCTION("""COMPUTED_VALUE"""),"")</f>
        <v/>
      </c>
      <c r="V187" s="173" t="str">
        <f>IFERROR(__xludf.DUMMYFUNCTION("""COMPUTED_VALUE"""),"Bolt Armor Trim Smithing Template")</f>
        <v>Bolt Armor Trim Smithing Template</v>
      </c>
      <c r="W187" s="174"/>
    </row>
    <row r="188">
      <c r="B188" s="169" t="str">
        <f>IFERROR(__xludf.DUMMYFUNCTION("""COMPUTED_VALUE"""),"")</f>
        <v/>
      </c>
      <c r="D188" s="170" t="str">
        <f>IFERROR(__xludf.DUMMYFUNCTION("""COMPUTED_VALUE"""),"Heeere's Johnny!")</f>
        <v>Heeere's Johnny!</v>
      </c>
      <c r="H188" s="171" t="str">
        <f>IFERROR(__xludf.DUMMYFUNCTION("""COMPUTED_VALUE"""),"Kill a Vindicator in a Woodland Mansion (Kill a Vindicator that is within the bounding-box of a Woodland Mansion)")</f>
        <v>Kill a Vindicator in a Woodland Mansion (Kill a Vindicator that is within the bounding-box of a Woodland Mansion)</v>
      </c>
      <c r="R188" s="54"/>
      <c r="U188" s="172" t="str">
        <f>IFERROR(__xludf.DUMMYFUNCTION("""COMPUTED_VALUE"""),"")</f>
        <v/>
      </c>
      <c r="V188" s="173" t="str">
        <f>IFERROR(__xludf.DUMMYFUNCTION("""COMPUTED_VALUE"""),"Bone")</f>
        <v>Bone</v>
      </c>
      <c r="W188" s="174"/>
    </row>
    <row r="189">
      <c r="B189" s="169" t="str">
        <f>IFERROR(__xludf.DUMMYFUNCTION("""COMPUTED_VALUE"""),"")</f>
        <v/>
      </c>
      <c r="D189" s="170" t="str">
        <f>IFERROR(__xludf.DUMMYFUNCTION("""COMPUTED_VALUE"""),"Wololo!")</f>
        <v>Wololo!</v>
      </c>
      <c r="H189" s="171" t="str">
        <f>IFERROR(__xludf.DUMMYFUNCTION("""COMPUTED_VALUE"""),"Defeat an Evoker in a Woodland Mansion (Kill an Evoker that is within the bounding-box of a Woodland Mansion)")</f>
        <v>Defeat an Evoker in a Woodland Mansion (Kill an Evoker that is within the bounding-box of a Woodland Mansion)</v>
      </c>
      <c r="R189" s="54"/>
      <c r="U189" s="172" t="str">
        <f>IFERROR(__xludf.DUMMYFUNCTION("""COMPUTED_VALUE"""),"")</f>
        <v/>
      </c>
      <c r="V189" s="173" t="str">
        <f>IFERROR(__xludf.DUMMYFUNCTION("""COMPUTED_VALUE"""),"Bone Block")</f>
        <v>Bone Block</v>
      </c>
      <c r="W189" s="174"/>
    </row>
    <row r="190">
      <c r="B190" s="169" t="str">
        <f>IFERROR(__xludf.DUMMYFUNCTION("""COMPUTED_VALUE"""),"")</f>
        <v/>
      </c>
      <c r="D190" s="170" t="str">
        <f>IFERROR(__xludf.DUMMYFUNCTION("""COMPUTED_VALUE"""),"Postmortal")</f>
        <v>Postmortal</v>
      </c>
      <c r="H190" s="171" t="str">
        <f>IFERROR(__xludf.DUMMYFUNCTION("""COMPUTED_VALUE"""),"Use a Totem of Undying to cheat death")</f>
        <v>Use a Totem of Undying to cheat death</v>
      </c>
      <c r="R190" s="54"/>
      <c r="U190" s="172" t="str">
        <f>IFERROR(__xludf.DUMMYFUNCTION("""COMPUTED_VALUE"""),"")</f>
        <v/>
      </c>
      <c r="V190" s="173" t="str">
        <f>IFERROR(__xludf.DUMMYFUNCTION("""COMPUTED_VALUE"""),"Bone Meal")</f>
        <v>Bone Meal</v>
      </c>
      <c r="W190" s="174"/>
    </row>
    <row r="191">
      <c r="B191" s="169" t="str">
        <f>IFERROR(__xludf.DUMMYFUNCTION("""COMPUTED_VALUE"""),"")</f>
        <v/>
      </c>
      <c r="D191" s="170" t="str">
        <f>IFERROR(__xludf.DUMMYFUNCTION("""COMPUTED_VALUE"""),"Who Needs Rockets?")</f>
        <v>Who Needs Rockets?</v>
      </c>
      <c r="H191" s="171" t="str">
        <f>IFERROR(__xludf.DUMMYFUNCTION("""COMPUTED_VALUE"""),"Use a Wind Charge to launch yourself upward at least 8 blocks (Be launched upward at least 8 blocks from a player-thrown Wind Charge)")</f>
        <v>Use a Wind Charge to launch yourself upward at least 8 blocks (Be launched upward at least 8 blocks from a player-thrown Wind Charge)</v>
      </c>
      <c r="R191" s="54"/>
      <c r="U191" s="172" t="str">
        <f>IFERROR(__xludf.DUMMYFUNCTION("""COMPUTED_VALUE"""),"")</f>
        <v/>
      </c>
      <c r="V191" s="173" t="str">
        <f>IFERROR(__xludf.DUMMYFUNCTION("""COMPUTED_VALUE"""),"Book")</f>
        <v>Book</v>
      </c>
      <c r="W191" s="174"/>
    </row>
    <row r="192">
      <c r="B192" s="169" t="str">
        <f>IFERROR(__xludf.DUMMYFUNCTION("""COMPUTED_VALUE"""),"")</f>
        <v/>
      </c>
      <c r="D192" s="170" t="str">
        <f>IFERROR(__xludf.DUMMYFUNCTION("""COMPUTED_VALUE"""),"From Under Your Feet")</f>
        <v>From Under Your Feet</v>
      </c>
      <c r="H192" s="171" t="str">
        <f>IFERROR(__xludf.DUMMYFUNCTION("""COMPUTED_VALUE"""),"Throw a Wind Charge at a mob that is standing on top of a trapdoor (The Wind Charge must hit the mob and damage it)")</f>
        <v>Throw a Wind Charge at a mob that is standing on top of a trapdoor (The Wind Charge must hit the mob and damage it)</v>
      </c>
      <c r="R192" s="54"/>
      <c r="U192" s="172" t="str">
        <f>IFERROR(__xludf.DUMMYFUNCTION("""COMPUTED_VALUE"""),"")</f>
        <v/>
      </c>
      <c r="V192" s="173" t="str">
        <f>IFERROR(__xludf.DUMMYFUNCTION("""COMPUTED_VALUE"""),"Bookshelf")</f>
        <v>Bookshelf</v>
      </c>
      <c r="W192" s="174"/>
    </row>
    <row r="193">
      <c r="B193" s="169" t="str">
        <f>IFERROR(__xludf.DUMMYFUNCTION("""COMPUTED_VALUE"""),"")</f>
        <v/>
      </c>
      <c r="D193" s="170" t="str">
        <f>IFERROR(__xludf.DUMMYFUNCTION("""COMPUTED_VALUE"""),"Blowback")</f>
        <v>Blowback</v>
      </c>
      <c r="H193" s="171" t="str">
        <f>IFERROR(__xludf.DUMMYFUNCTION("""COMPUTED_VALUE"""),"Kill a Breeze with a deflected Wind Charge (Hit a breeze-fired Wind Charge back at a Breeze such that it kills it. Note: They only do half a heart of damage)")</f>
        <v>Kill a Breeze with a deflected Wind Charge (Hit a breeze-fired Wind Charge back at a Breeze such that it kills it. Note: They only do half a heart of damage)</v>
      </c>
      <c r="R193" s="54"/>
      <c r="U193" s="172" t="str">
        <f>IFERROR(__xludf.DUMMYFUNCTION("""COMPUTED_VALUE"""),"")</f>
        <v/>
      </c>
      <c r="V193" s="173" t="str">
        <f>IFERROR(__xludf.DUMMYFUNCTION("""COMPUTED_VALUE"""),"Bow")</f>
        <v>Bow</v>
      </c>
      <c r="W193" s="174"/>
    </row>
    <row r="194">
      <c r="B194" s="169" t="str">
        <f>IFERROR(__xludf.DUMMYFUNCTION("""COMPUTED_VALUE"""),"")</f>
        <v/>
      </c>
      <c r="D194" s="170" t="str">
        <f>IFERROR(__xludf.DUMMYFUNCTION("""COMPUTED_VALUE"""),"Vault Hunter")</f>
        <v>Vault Hunter</v>
      </c>
      <c r="H194" s="171" t="str">
        <f>IFERROR(__xludf.DUMMYFUNCTION("""COMPUTED_VALUE"""),"Unlock 25 Vaults across Trial Chambers (This counts both Vaults and Ominous Vaults)")</f>
        <v>Unlock 25 Vaults across Trial Chambers (This counts both Vaults and Ominous Vaults)</v>
      </c>
      <c r="R194" s="54"/>
      <c r="U194" s="172" t="str">
        <f>IFERROR(__xludf.DUMMYFUNCTION("""COMPUTED_VALUE"""),"")</f>
        <v/>
      </c>
      <c r="V194" s="173" t="str">
        <f>IFERROR(__xludf.DUMMYFUNCTION("""COMPUTED_VALUE"""),"Bowl")</f>
        <v>Bowl</v>
      </c>
      <c r="W194" s="174"/>
    </row>
    <row r="195">
      <c r="B195" s="169" t="str">
        <f>IFERROR(__xludf.DUMMYFUNCTION("""COMPUTED_VALUE"""),"")</f>
        <v/>
      </c>
      <c r="D195" s="170" t="str">
        <f>IFERROR(__xludf.DUMMYFUNCTION("""COMPUTED_VALUE"""),"Keys to Success")</f>
        <v>Keys to Success</v>
      </c>
      <c r="H195" s="171" t="str">
        <f>IFERROR(__xludf.DUMMYFUNCTION("""COMPUTED_VALUE"""),"Collect a stack of all kinds of keys (Obtain 64 Trial Keys and 64 Ominous Trial Keys)")</f>
        <v>Collect a stack of all kinds of keys (Obtain 64 Trial Keys and 64 Ominous Trial Keys)</v>
      </c>
      <c r="R195" s="54"/>
      <c r="U195" s="172" t="str">
        <f>IFERROR(__xludf.DUMMYFUNCTION("""COMPUTED_VALUE"""),"")</f>
        <v/>
      </c>
      <c r="V195" s="173" t="str">
        <f>IFERROR(__xludf.DUMMYFUNCTION("""COMPUTED_VALUE"""),"Brain Coral")</f>
        <v>Brain Coral</v>
      </c>
      <c r="W195" s="174"/>
    </row>
    <row r="196">
      <c r="B196" s="169" t="str">
        <f>IFERROR(__xludf.DUMMYFUNCTION("""COMPUTED_VALUE"""),"")</f>
        <v/>
      </c>
      <c r="D196" s="170" t="str">
        <f>IFERROR(__xludf.DUMMYFUNCTION("""COMPUTED_VALUE"""),"Tricky Treasures")</f>
        <v>Tricky Treasures</v>
      </c>
      <c r="H196" s="171" t="str">
        <f>IFERROR(__xludf.DUMMYFUNCTION("""COMPUTED_VALUE"""),"Collect every kind of treasure item that can only be found in Trial Chambers (See requirement notes below)")</f>
        <v>Collect every kind of treasure item that can only be found in Trial Chambers (See requirement notes below)</v>
      </c>
      <c r="R196" s="54"/>
      <c r="U196" s="172" t="str">
        <f>IFERROR(__xludf.DUMMYFUNCTION("""COMPUTED_VALUE"""),"")</f>
        <v/>
      </c>
      <c r="V196" s="173" t="str">
        <f>IFERROR(__xludf.DUMMYFUNCTION("""COMPUTED_VALUE"""),"Brain Coral Block")</f>
        <v>Brain Coral Block</v>
      </c>
      <c r="W196" s="174"/>
    </row>
    <row r="197">
      <c r="B197" s="169" t="str">
        <f>IFERROR(__xludf.DUMMYFUNCTION("""COMPUTED_VALUE"""),"")</f>
        <v/>
      </c>
      <c r="D197" s="170" t="str">
        <f>IFERROR(__xludf.DUMMYFUNCTION("""COMPUTED_VALUE"""),"The Power of Books")</f>
        <v>The Power of Books</v>
      </c>
      <c r="H197" s="171" t="str">
        <f>IFERROR(__xludf.DUMMYFUNCTION("""COMPUTED_VALUE"""),"Read the power signal of a Chiseled Bookshelf using a comparator (Place a comparator facing outwards from a Chiseled Bookshelf OR place a Chiseled Bookshelf behind a comparator)")</f>
        <v>Read the power signal of a Chiseled Bookshelf using a comparator (Place a comparator facing outwards from a Chiseled Bookshelf OR place a Chiseled Bookshelf behind a comparator)</v>
      </c>
      <c r="R197" s="54"/>
      <c r="U197" s="172" t="str">
        <f>IFERROR(__xludf.DUMMYFUNCTION("""COMPUTED_VALUE"""),"")</f>
        <v/>
      </c>
      <c r="V197" s="173" t="str">
        <f>IFERROR(__xludf.DUMMYFUNCTION("""COMPUTED_VALUE"""),"Brain Coral Fan")</f>
        <v>Brain Coral Fan</v>
      </c>
      <c r="W197" s="174"/>
    </row>
    <row r="198">
      <c r="B198" s="169" t="str">
        <f>IFERROR(__xludf.DUMMYFUNCTION("""COMPUTED_VALUE"""),"")</f>
        <v/>
      </c>
      <c r="D198" s="170" t="str">
        <f>IFERROR(__xludf.DUMMYFUNCTION("""COMPUTED_VALUE"""),"We Have Liftoff!")</f>
        <v>We Have Liftoff!</v>
      </c>
      <c r="H198" s="171" t="str">
        <f>IFERROR(__xludf.DUMMYFUNCTION("""COMPUTED_VALUE"""),"Build a redstone machine that uses TNT to launch you at least 100 blocks into the stratosphere (An explosion from TNT must launch you at least 100 blocks upward)")</f>
        <v>Build a redstone machine that uses TNT to launch you at least 100 blocks into the stratosphere (An explosion from TNT must launch you at least 100 blocks upward)</v>
      </c>
      <c r="R198" s="54"/>
      <c r="U198" s="172" t="str">
        <f>IFERROR(__xludf.DUMMYFUNCTION("""COMPUTED_VALUE"""),"")</f>
        <v/>
      </c>
      <c r="V198" s="173" t="str">
        <f>IFERROR(__xludf.DUMMYFUNCTION("""COMPUTED_VALUE"""),"Bread")</f>
        <v>Bread</v>
      </c>
      <c r="W198" s="174"/>
    </row>
    <row r="199">
      <c r="B199" s="169" t="str">
        <f>IFERROR(__xludf.DUMMYFUNCTION("""COMPUTED_VALUE"""),"")</f>
        <v/>
      </c>
      <c r="D199" s="170" t="str">
        <f>IFERROR(__xludf.DUMMYFUNCTION("""COMPUTED_VALUE"""),"Target Practise")</f>
        <v>Target Practise</v>
      </c>
      <c r="H199" s="171" t="str">
        <f>IFERROR(__xludf.DUMMYFUNCTION("""COMPUTED_VALUE"""),"Hit a Target with all types of projectiles (See requirement notes below)")</f>
        <v>Hit a Target with all types of projectiles (See requirement notes below)</v>
      </c>
      <c r="R199" s="54"/>
      <c r="U199" s="172" t="str">
        <f>IFERROR(__xludf.DUMMYFUNCTION("""COMPUTED_VALUE"""),"")</f>
        <v/>
      </c>
      <c r="V199" s="173" t="str">
        <f>IFERROR(__xludf.DUMMYFUNCTION("""COMPUTED_VALUE"""),"Breeze Rod")</f>
        <v>Breeze Rod</v>
      </c>
      <c r="W199" s="174"/>
    </row>
    <row r="200">
      <c r="B200" s="169" t="str">
        <f>IFERROR(__xludf.DUMMYFUNCTION("""COMPUTED_VALUE"""),"")</f>
        <v/>
      </c>
      <c r="D200" s="170" t="str">
        <f>IFERROR(__xludf.DUMMYFUNCTION("""COMPUTED_VALUE"""),"Bullseye")</f>
        <v>Bullseye</v>
      </c>
      <c r="H200" s="171" t="str">
        <f>IFERROR(__xludf.DUMMYFUNCTION("""COMPUTED_VALUE"""),"Hit the bullseye of a Target Block with an arrow (Output a signal strength of 15 on a Target using an arrow from 30 blocks away)")</f>
        <v>Hit the bullseye of a Target Block with an arrow (Output a signal strength of 15 on a Target using an arrow from 30 blocks away)</v>
      </c>
      <c r="R200" s="54"/>
      <c r="U200" s="172" t="str">
        <f>IFERROR(__xludf.DUMMYFUNCTION("""COMPUTED_VALUE"""),"")</f>
        <v/>
      </c>
      <c r="V200" s="173" t="str">
        <f>IFERROR(__xludf.DUMMYFUNCTION("""COMPUTED_VALUE"""),"Brewer Pottery Sherd")</f>
        <v>Brewer Pottery Sherd</v>
      </c>
      <c r="W200" s="174"/>
    </row>
    <row r="201">
      <c r="B201" s="169" t="str">
        <f>IFERROR(__xludf.DUMMYFUNCTION("""COMPUTED_VALUE"""),"")</f>
        <v/>
      </c>
      <c r="D201" s="170" t="str">
        <f>IFERROR(__xludf.DUMMYFUNCTION("""COMPUTED_VALUE"""),"Crafters Crafting Crafters")</f>
        <v>Crafters Crafting Crafters</v>
      </c>
      <c r="H201" s="171" t="str">
        <f>IFERROR(__xludf.DUMMYFUNCTION("""COMPUTED_VALUE"""),"Be near a Crafter when it crafts a Crafter")</f>
        <v>Be near a Crafter when it crafts a Crafter</v>
      </c>
      <c r="R201" s="54"/>
      <c r="U201" s="172" t="str">
        <f>IFERROR(__xludf.DUMMYFUNCTION("""COMPUTED_VALUE"""),"")</f>
        <v/>
      </c>
      <c r="V201" s="173" t="str">
        <f>IFERROR(__xludf.DUMMYFUNCTION("""COMPUTED_VALUE"""),"Brewing Stand")</f>
        <v>Brewing Stand</v>
      </c>
      <c r="W201" s="174"/>
    </row>
    <row r="202">
      <c r="B202" s="169" t="str">
        <f>IFERROR(__xludf.DUMMYFUNCTION("""COMPUTED_VALUE"""),"")</f>
        <v/>
      </c>
      <c r="D202" s="170" t="str">
        <f>IFERROR(__xludf.DUMMYFUNCTION("""COMPUTED_VALUE"""),"Factorio")</f>
        <v>Factorio</v>
      </c>
      <c r="H202" s="171" t="str">
        <f>IFERROR(__xludf.DUMMYFUNCTION("""COMPUTED_VALUE"""),"Be near a Crafter when it crafts a Dispenser 64 times")</f>
        <v>Be near a Crafter when it crafts a Dispenser 64 times</v>
      </c>
      <c r="R202" s="54"/>
      <c r="U202" s="172" t="str">
        <f>IFERROR(__xludf.DUMMYFUNCTION("""COMPUTED_VALUE"""),"")</f>
        <v/>
      </c>
      <c r="V202" s="173" t="str">
        <f>IFERROR(__xludf.DUMMYFUNCTION("""COMPUTED_VALUE"""),"Brick")</f>
        <v>Brick</v>
      </c>
      <c r="W202" s="174"/>
    </row>
    <row r="203">
      <c r="B203" s="169" t="str">
        <f>IFERROR(__xludf.DUMMYFUNCTION("""COMPUTED_VALUE"""),"")</f>
        <v/>
      </c>
      <c r="D203" s="170" t="str">
        <f>IFERROR(__xludf.DUMMYFUNCTION("""COMPUTED_VALUE"""),"Take Notes")</f>
        <v>Take Notes</v>
      </c>
      <c r="H203" s="171" t="str">
        <f>IFERROR(__xludf.DUMMYFUNCTION("""COMPUTED_VALUE"""),"Tune a Note Block through every possible note")</f>
        <v>Tune a Note Block through every possible note</v>
      </c>
      <c r="R203" s="54"/>
      <c r="U203" s="172" t="str">
        <f>IFERROR(__xludf.DUMMYFUNCTION("""COMPUTED_VALUE"""),"")</f>
        <v/>
      </c>
      <c r="V203" s="173" t="str">
        <f>IFERROR(__xludf.DUMMYFUNCTION("""COMPUTED_VALUE"""),"Brick Slab")</f>
        <v>Brick Slab</v>
      </c>
      <c r="W203" s="174"/>
    </row>
    <row r="204">
      <c r="B204" s="169" t="str">
        <f>IFERROR(__xludf.DUMMYFUNCTION("""COMPUTED_VALUE"""),"")</f>
        <v/>
      </c>
      <c r="D204" s="170" t="str">
        <f>IFERROR(__xludf.DUMMYFUNCTION("""COMPUTED_VALUE"""),"Noteworthy")</f>
        <v>Noteworthy</v>
      </c>
      <c r="H204" s="171" t="str">
        <f>IFERROR(__xludf.DUMMYFUNCTION("""COMPUTED_VALUE"""),"Play every possible instrument on a Note Block (See requirement notes below)")</f>
        <v>Play every possible instrument on a Note Block (See requirement notes below)</v>
      </c>
      <c r="R204" s="54"/>
      <c r="U204" s="172" t="str">
        <f>IFERROR(__xludf.DUMMYFUNCTION("""COMPUTED_VALUE"""),"")</f>
        <v/>
      </c>
      <c r="V204" s="173" t="str">
        <f>IFERROR(__xludf.DUMMYFUNCTION("""COMPUTED_VALUE"""),"Brick Stairs")</f>
        <v>Brick Stairs</v>
      </c>
      <c r="W204" s="174"/>
    </row>
    <row r="205">
      <c r="B205" s="169" t="str">
        <f>IFERROR(__xludf.DUMMYFUNCTION("""COMPUTED_VALUE"""),"")</f>
        <v/>
      </c>
      <c r="D205" s="170" t="str">
        <f>IFERROR(__xludf.DUMMYFUNCTION("""COMPUTED_VALUE"""),"Travelling Bard")</f>
        <v>Travelling Bard</v>
      </c>
      <c r="H205" s="171" t="str">
        <f>IFERROR(__xludf.DUMMYFUNCTION("""COMPUTED_VALUE"""),"Play a Note Block in every type of biome (See requirement notes below)")</f>
        <v>Play a Note Block in every type of biome (See requirement notes below)</v>
      </c>
      <c r="R205" s="54"/>
      <c r="U205" s="172" t="str">
        <f>IFERROR(__xludf.DUMMYFUNCTION("""COMPUTED_VALUE"""),"")</f>
        <v/>
      </c>
      <c r="V205" s="173" t="str">
        <f>IFERROR(__xludf.DUMMYFUNCTION("""COMPUTED_VALUE"""),"Brick Wall")</f>
        <v>Brick Wall</v>
      </c>
      <c r="W205" s="174"/>
    </row>
    <row r="206">
      <c r="B206" s="169" t="str">
        <f>IFERROR(__xludf.DUMMYFUNCTION("""COMPUTED_VALUE"""),"")</f>
        <v/>
      </c>
      <c r="D206" s="170" t="str">
        <f>IFERROR(__xludf.DUMMYFUNCTION("""COMPUTED_VALUE"""),"Monstrous Music")</f>
        <v>Monstrous Music</v>
      </c>
      <c r="H206" s="171" t="str">
        <f>IFERROR(__xludf.DUMMYFUNCTION("""COMPUTED_VALUE"""),"Play Note Blocks with each type of mob head above it (Play a note block with a Zombie, Skeleton, Wither Skeleton, Creeper, Piglin and Dragon Head on top)")</f>
        <v>Play Note Blocks with each type of mob head above it (Play a note block with a Zombie, Skeleton, Wither Skeleton, Creeper, Piglin and Dragon Head on top)</v>
      </c>
      <c r="R206" s="54"/>
      <c r="U206" s="172" t="str">
        <f>IFERROR(__xludf.DUMMYFUNCTION("""COMPUTED_VALUE"""),"")</f>
        <v/>
      </c>
      <c r="V206" s="173" t="str">
        <f>IFERROR(__xludf.DUMMYFUNCTION("""COMPUTED_VALUE"""),"Bricks")</f>
        <v>Bricks</v>
      </c>
      <c r="W206" s="174"/>
    </row>
    <row r="207">
      <c r="B207" s="169" t="str">
        <f>IFERROR(__xludf.DUMMYFUNCTION("""COMPUTED_VALUE"""),"")</f>
        <v/>
      </c>
      <c r="D207" s="170" t="str">
        <f>IFERROR(__xludf.DUMMYFUNCTION("""COMPUTED_VALUE"""),"On A Rail")</f>
        <v>On A Rail</v>
      </c>
      <c r="H207" s="171" t="str">
        <f>IFERROR(__xludf.DUMMYFUNCTION("""COMPUTED_VALUE"""),"Travel by Minecart in a straight line to at least 1 km from where you started")</f>
        <v>Travel by Minecart in a straight line to at least 1 km from where you started</v>
      </c>
      <c r="R207" s="54"/>
      <c r="U207" s="172" t="str">
        <f>IFERROR(__xludf.DUMMYFUNCTION("""COMPUTED_VALUE"""),"")</f>
        <v/>
      </c>
      <c r="V207" s="173" t="str">
        <f>IFERROR(__xludf.DUMMYFUNCTION("""COMPUTED_VALUE"""),"Brown Banner")</f>
        <v>Brown Banner</v>
      </c>
      <c r="W207" s="174"/>
    </row>
    <row r="208">
      <c r="B208" s="169" t="str">
        <f>IFERROR(__xludf.DUMMYFUNCTION("""COMPUTED_VALUE"""),"")</f>
        <v/>
      </c>
      <c r="D208" s="170" t="str">
        <f>IFERROR(__xludf.DUMMYFUNCTION("""COMPUTED_VALUE"""),"Sculker Box")</f>
        <v>Sculker Box</v>
      </c>
      <c r="H208" s="171" t="str">
        <f>IFERROR(__xludf.DUMMYFUNCTION("""COMPUTED_VALUE"""),"Hold a Shulker Box that is completely filled with Sculk")</f>
        <v>Hold a Shulker Box that is completely filled with Sculk</v>
      </c>
      <c r="R208" s="54"/>
      <c r="U208" s="172" t="str">
        <f>IFERROR(__xludf.DUMMYFUNCTION("""COMPUTED_VALUE"""),"")</f>
        <v/>
      </c>
      <c r="V208" s="173" t="str">
        <f>IFERROR(__xludf.DUMMYFUNCTION("""COMPUTED_VALUE"""),"Brown Bed")</f>
        <v>Brown Bed</v>
      </c>
      <c r="W208" s="174"/>
    </row>
    <row r="209">
      <c r="B209" s="169" t="str">
        <f>IFERROR(__xludf.DUMMYFUNCTION("""COMPUTED_VALUE"""),"")</f>
        <v/>
      </c>
      <c r="D209" s="170" t="str">
        <f>IFERROR(__xludf.DUMMYFUNCTION("""COMPUTED_VALUE"""),"Monstrous Sacrifices")</f>
        <v>Monstrous Sacrifices</v>
      </c>
      <c r="H209" s="171" t="str">
        <f>IFERROR(__xludf.DUMMYFUNCTION("""COMPUTED_VALUE"""),"Kill every hostile monster near a Sculk Catalyst (See the requirement notes for ""Monsters Hunted"" in the Adventure tab. Ender Dragon is not required)")</f>
        <v>Kill every hostile monster near a Sculk Catalyst (See the requirement notes for "Monsters Hunted" in the Adventure tab. Ender Dragon is not required)</v>
      </c>
      <c r="R209" s="54"/>
      <c r="U209" s="172" t="str">
        <f>IFERROR(__xludf.DUMMYFUNCTION("""COMPUTED_VALUE"""),"")</f>
        <v/>
      </c>
      <c r="V209" s="173" t="str">
        <f>IFERROR(__xludf.DUMMYFUNCTION("""COMPUTED_VALUE"""),"Brown Candle")</f>
        <v>Brown Candle</v>
      </c>
      <c r="W209" s="174"/>
    </row>
    <row r="210">
      <c r="B210" s="169" t="str">
        <f>IFERROR(__xludf.DUMMYFUNCTION("""COMPUTED_VALUE"""),"")</f>
        <v/>
      </c>
      <c r="D210" s="170" t="str">
        <f>IFERROR(__xludf.DUMMYFUNCTION("""COMPUTED_VALUE"""),"Over-Overkill")</f>
        <v>Over-Overkill</v>
      </c>
      <c r="H210" s="171" t="str">
        <f>IFERROR(__xludf.DUMMYFUNCTION("""COMPUTED_VALUE"""),"Deal 16 hearts of damage in a single melee blow without using a Mace (Deal at least sixteen hearts of damage with any melee attack)")</f>
        <v>Deal 16 hearts of damage in a single melee blow without using a Mace (Deal at least sixteen hearts of damage with any melee attack)</v>
      </c>
      <c r="R210" s="54"/>
      <c r="U210" s="172" t="str">
        <f>IFERROR(__xludf.DUMMYFUNCTION("""COMPUTED_VALUE"""),"")</f>
        <v/>
      </c>
      <c r="V210" s="173" t="str">
        <f>IFERROR(__xludf.DUMMYFUNCTION("""COMPUTED_VALUE"""),"Brown Carpet")</f>
        <v>Brown Carpet</v>
      </c>
      <c r="W210" s="174"/>
    </row>
    <row r="211">
      <c r="B211" s="169" t="str">
        <f>IFERROR(__xludf.DUMMYFUNCTION("""COMPUTED_VALUE"""),"")</f>
        <v/>
      </c>
      <c r="D211" s="170" t="str">
        <f>IFERROR(__xludf.DUMMYFUNCTION("""COMPUTED_VALUE"""),"Arbalistic")</f>
        <v>Arbalistic</v>
      </c>
      <c r="H211" s="171" t="str">
        <f>IFERROR(__xludf.DUMMYFUNCTION("""COMPUTED_VALUE"""),"Kill five unique mobs with one crossbow shot")</f>
        <v>Kill five unique mobs with one crossbow shot</v>
      </c>
      <c r="R211" s="54"/>
      <c r="U211" s="172" t="str">
        <f>IFERROR(__xludf.DUMMYFUNCTION("""COMPUTED_VALUE"""),"")</f>
        <v/>
      </c>
      <c r="V211" s="173" t="str">
        <f>IFERROR(__xludf.DUMMYFUNCTION("""COMPUTED_VALUE"""),"Brown Concrete")</f>
        <v>Brown Concrete</v>
      </c>
      <c r="W211" s="174"/>
    </row>
    <row r="212">
      <c r="B212" s="169" t="str">
        <f>IFERROR(__xludf.DUMMYFUNCTION("""COMPUTED_VALUE"""),"")</f>
        <v/>
      </c>
      <c r="D212" s="170" t="str">
        <f>IFERROR(__xludf.DUMMYFUNCTION("""COMPUTED_VALUE"""),"Whack-a-mole")</f>
        <v>Whack-a-mole</v>
      </c>
      <c r="H212" s="171" t="str">
        <f>IFERROR(__xludf.DUMMYFUNCTION("""COMPUTED_VALUE"""),"Using a Mace enchanted with Wind Burst, hit eight Armadillos consecutively without touching the ground")</f>
        <v>Using a Mace enchanted with Wind Burst, hit eight Armadillos consecutively without touching the ground</v>
      </c>
      <c r="R212" s="54"/>
      <c r="U212" s="172" t="str">
        <f>IFERROR(__xludf.DUMMYFUNCTION("""COMPUTED_VALUE"""),"")</f>
        <v/>
      </c>
      <c r="V212" s="173" t="str">
        <f>IFERROR(__xludf.DUMMYFUNCTION("""COMPUTED_VALUE"""),"Brown Concrete Powder")</f>
        <v>Brown Concrete Powder</v>
      </c>
      <c r="W212" s="174"/>
    </row>
    <row r="213">
      <c r="B213" s="169" t="str">
        <f>IFERROR(__xludf.DUMMYFUNCTION("""COMPUTED_VALUE"""),"")</f>
        <v/>
      </c>
      <c r="D213" s="170" t="str">
        <f>IFERROR(__xludf.DUMMYFUNCTION("""COMPUTED_VALUE"""),"Silent But Deadly")</f>
        <v>Silent But Deadly</v>
      </c>
      <c r="H213" s="171" t="str">
        <f>IFERROR(__xludf.DUMMYFUNCTION("""COMPUTED_VALUE"""),"Sneak and sprint on sculk with Speed II while wearing Swift Sneak III leggings. Try saying that six times swiftly")</f>
        <v>Sneak and sprint on sculk with Speed II while wearing Swift Sneak III leggings. Try saying that six times swiftly</v>
      </c>
      <c r="R213" s="54"/>
      <c r="U213" s="172" t="str">
        <f>IFERROR(__xludf.DUMMYFUNCTION("""COMPUTED_VALUE"""),"")</f>
        <v/>
      </c>
      <c r="V213" s="173" t="str">
        <f>IFERROR(__xludf.DUMMYFUNCTION("""COMPUTED_VALUE"""),"Brown Dye")</f>
        <v>Brown Dye</v>
      </c>
      <c r="W213" s="174"/>
    </row>
    <row r="214">
      <c r="B214" s="169" t="str">
        <f>IFERROR(__xludf.DUMMYFUNCTION("""COMPUTED_VALUE"""),"")</f>
        <v/>
      </c>
      <c r="D214" s="170" t="str">
        <f>IFERROR(__xludf.DUMMYFUNCTION("""COMPUTED_VALUE"""),"Baron of Blacksmiths")</f>
        <v>Baron of Blacksmiths</v>
      </c>
      <c r="H214" s="171" t="str">
        <f>IFERROR(__xludf.DUMMYFUNCTION("""COMPUTED_VALUE"""),"Get a stack of regular, chipped and damaged Anvils")</f>
        <v>Get a stack of regular, chipped and damaged Anvils</v>
      </c>
      <c r="R214" s="54"/>
      <c r="U214" s="172" t="str">
        <f>IFERROR(__xludf.DUMMYFUNCTION("""COMPUTED_VALUE"""),"")</f>
        <v/>
      </c>
      <c r="V214" s="173" t="str">
        <f>IFERROR(__xludf.DUMMYFUNCTION("""COMPUTED_VALUE"""),"Brown Glazed Terracotta")</f>
        <v>Brown Glazed Terracotta</v>
      </c>
      <c r="W214" s="174"/>
    </row>
    <row r="215">
      <c r="B215" s="169" t="str">
        <f>IFERROR(__xludf.DUMMYFUNCTION("""COMPUTED_VALUE"""),"")</f>
        <v/>
      </c>
      <c r="D215" s="170" t="str">
        <f>IFERROR(__xludf.DUMMYFUNCTION("""COMPUTED_VALUE"""),"This name sounds cooler")</f>
        <v>This name sounds cooler</v>
      </c>
      <c r="H215" s="171" t="str">
        <f>IFERROR(__xludf.DUMMYFUNCTION("""COMPUTED_VALUE"""),"Name your Diamond Sword 'Diamond Edge' (Hold the named item in your mainhand)")</f>
        <v>Name your Diamond Sword 'Diamond Edge' (Hold the named item in your mainhand)</v>
      </c>
      <c r="R215" s="54"/>
      <c r="U215" s="172" t="str">
        <f>IFERROR(__xludf.DUMMYFUNCTION("""COMPUTED_VALUE"""),"")</f>
        <v/>
      </c>
      <c r="V215" s="173" t="str">
        <f>IFERROR(__xludf.DUMMYFUNCTION("""COMPUTED_VALUE"""),"Brown Mushroom")</f>
        <v>Brown Mushroom</v>
      </c>
      <c r="W215" s="174"/>
    </row>
    <row r="216">
      <c r="B216" s="169" t="str">
        <f>IFERROR(__xludf.DUMMYFUNCTION("""COMPUTED_VALUE"""),"")</f>
        <v/>
      </c>
      <c r="D216" s="170" t="str">
        <f>IFERROR(__xludf.DUMMYFUNCTION("""COMPUTED_VALUE"""),"I'll be back")</f>
        <v>I'll be back</v>
      </c>
      <c r="H216" s="171" t="str">
        <f>IFERROR(__xludf.DUMMYFUNCTION("""COMPUTED_VALUE"""),"Name your Bow 'Terminator' (Hold the named item in your mainhand)")</f>
        <v>Name your Bow 'Terminator' (Hold the named item in your mainhand)</v>
      </c>
      <c r="R216" s="54"/>
      <c r="U216" s="172" t="str">
        <f>IFERROR(__xludf.DUMMYFUNCTION("""COMPUTED_VALUE"""),"")</f>
        <v/>
      </c>
      <c r="V216" s="173" t="str">
        <f>IFERROR(__xludf.DUMMYFUNCTION("""COMPUTED_VALUE"""),"Brown Mushroom Block")</f>
        <v>Brown Mushroom Block</v>
      </c>
      <c r="W216" s="174"/>
    </row>
    <row r="217">
      <c r="B217" s="169" t="str">
        <f>IFERROR(__xludf.DUMMYFUNCTION("""COMPUTED_VALUE"""),"")</f>
        <v/>
      </c>
      <c r="D217" s="170" t="str">
        <f>IFERROR(__xludf.DUMMYFUNCTION("""COMPUTED_VALUE"""),"God of Thunder")</f>
        <v>God of Thunder</v>
      </c>
      <c r="H217" s="171" t="str">
        <f>IFERROR(__xludf.DUMMYFUNCTION("""COMPUTED_VALUE"""),"Name your Trident with Loyalty III and Channeling 'Mjolnir' (Hold the named item in your mainhand)")</f>
        <v>Name your Trident with Loyalty III and Channeling 'Mjolnir' (Hold the named item in your mainhand)</v>
      </c>
      <c r="R217" s="54"/>
      <c r="U217" s="172" t="str">
        <f>IFERROR(__xludf.DUMMYFUNCTION("""COMPUTED_VALUE"""),"")</f>
        <v/>
      </c>
      <c r="V217" s="173" t="str">
        <f>IFERROR(__xludf.DUMMYFUNCTION("""COMPUTED_VALUE"""),"Brown Shulker Box")</f>
        <v>Brown Shulker Box</v>
      </c>
      <c r="W217" s="174"/>
    </row>
    <row r="218">
      <c r="B218" s="169" t="str">
        <f>IFERROR(__xludf.DUMMYFUNCTION("""COMPUTED_VALUE"""),"")</f>
        <v/>
      </c>
      <c r="D218" s="170" t="str">
        <f>IFERROR(__xludf.DUMMYFUNCTION("""COMPUTED_VALUE"""),"Master Miner")</f>
        <v>Master Miner</v>
      </c>
      <c r="H218" s="171" t="str">
        <f>IFERROR(__xludf.DUMMYFUNCTION("""COMPUTED_VALUE"""),"Create a pickaxe with all possible enchantments at max level (See requirement notes below)")</f>
        <v>Create a pickaxe with all possible enchantments at max level (See requirement notes below)</v>
      </c>
      <c r="R218" s="54"/>
      <c r="U218" s="172" t="str">
        <f>IFERROR(__xludf.DUMMYFUNCTION("""COMPUTED_VALUE"""),"")</f>
        <v/>
      </c>
      <c r="V218" s="173" t="str">
        <f>IFERROR(__xludf.DUMMYFUNCTION("""COMPUTED_VALUE"""),"Brown Stained Glass")</f>
        <v>Brown Stained Glass</v>
      </c>
      <c r="W218" s="174"/>
    </row>
    <row r="219">
      <c r="B219" s="169" t="str">
        <f>IFERROR(__xludf.DUMMYFUNCTION("""COMPUTED_VALUE"""),"")</f>
        <v/>
      </c>
      <c r="D219" s="170" t="str">
        <f>IFERROR(__xludf.DUMMYFUNCTION("""COMPUTED_VALUE"""),"Master Digger")</f>
        <v>Master Digger</v>
      </c>
      <c r="H219" s="171" t="str">
        <f>IFERROR(__xludf.DUMMYFUNCTION("""COMPUTED_VALUE"""),"Create a shovel with all possible enchantments at max level (See requirement notes below)")</f>
        <v>Create a shovel with all possible enchantments at max level (See requirement notes below)</v>
      </c>
      <c r="R219" s="54"/>
      <c r="U219" s="172" t="str">
        <f>IFERROR(__xludf.DUMMYFUNCTION("""COMPUTED_VALUE"""),"")</f>
        <v/>
      </c>
      <c r="V219" s="173" t="str">
        <f>IFERROR(__xludf.DUMMYFUNCTION("""COMPUTED_VALUE"""),"Brown Stained Glass Pane")</f>
        <v>Brown Stained Glass Pane</v>
      </c>
      <c r="W219" s="174"/>
    </row>
    <row r="220">
      <c r="B220" s="169" t="str">
        <f>IFERROR(__xludf.DUMMYFUNCTION("""COMPUTED_VALUE"""),"")</f>
        <v/>
      </c>
      <c r="D220" s="170" t="str">
        <f>IFERROR(__xludf.DUMMYFUNCTION("""COMPUTED_VALUE"""),"Master Axeman")</f>
        <v>Master Axeman</v>
      </c>
      <c r="H220" s="171" t="str">
        <f>IFERROR(__xludf.DUMMYFUNCTION("""COMPUTED_VALUE"""),"Create a axe with all possible enchantments at max level (See requirement notes below)")</f>
        <v>Create a axe with all possible enchantments at max level (See requirement notes below)</v>
      </c>
      <c r="R220" s="54"/>
      <c r="U220" s="172" t="str">
        <f>IFERROR(__xludf.DUMMYFUNCTION("""COMPUTED_VALUE"""),"")</f>
        <v/>
      </c>
      <c r="V220" s="173" t="str">
        <f>IFERROR(__xludf.DUMMYFUNCTION("""COMPUTED_VALUE"""),"Brown Terracotta")</f>
        <v>Brown Terracotta</v>
      </c>
      <c r="W220" s="174"/>
    </row>
    <row r="221">
      <c r="B221" s="169" t="str">
        <f>IFERROR(__xludf.DUMMYFUNCTION("""COMPUTED_VALUE"""),"")</f>
        <v/>
      </c>
      <c r="D221" s="170" t="str">
        <f>IFERROR(__xludf.DUMMYFUNCTION("""COMPUTED_VALUE"""),"Master Farmer")</f>
        <v>Master Farmer</v>
      </c>
      <c r="H221" s="171" t="str">
        <f>IFERROR(__xludf.DUMMYFUNCTION("""COMPUTED_VALUE"""),"Create a hoe with all possible enchantments at max level (See requirement notes below)")</f>
        <v>Create a hoe with all possible enchantments at max level (See requirement notes below)</v>
      </c>
      <c r="R221" s="54"/>
      <c r="U221" s="172" t="str">
        <f>IFERROR(__xludf.DUMMYFUNCTION("""COMPUTED_VALUE"""),"")</f>
        <v/>
      </c>
      <c r="V221" s="173" t="str">
        <f>IFERROR(__xludf.DUMMYFUNCTION("""COMPUTED_VALUE"""),"Brown Wool")</f>
        <v>Brown Wool</v>
      </c>
      <c r="W221" s="174"/>
    </row>
    <row r="222">
      <c r="B222" s="169" t="str">
        <f>IFERROR(__xludf.DUMMYFUNCTION("""COMPUTED_VALUE"""),"")</f>
        <v/>
      </c>
      <c r="D222" s="170" t="str">
        <f>IFERROR(__xludf.DUMMYFUNCTION("""COMPUTED_VALUE"""),"Master Knight")</f>
        <v>Master Knight</v>
      </c>
      <c r="H222" s="171" t="str">
        <f>IFERROR(__xludf.DUMMYFUNCTION("""COMPUTED_VALUE"""),"Create a sword with all possible enchantments at max level (See requirement notes below)")</f>
        <v>Create a sword with all possible enchantments at max level (See requirement notes below)</v>
      </c>
      <c r="R222" s="54"/>
      <c r="U222" s="172" t="str">
        <f>IFERROR(__xludf.DUMMYFUNCTION("""COMPUTED_VALUE"""),"")</f>
        <v/>
      </c>
      <c r="V222" s="173" t="str">
        <f>IFERROR(__xludf.DUMMYFUNCTION("""COMPUTED_VALUE"""),"Brush")</f>
        <v>Brush</v>
      </c>
      <c r="W222" s="174"/>
    </row>
    <row r="223">
      <c r="B223" s="169" t="str">
        <f>IFERROR(__xludf.DUMMYFUNCTION("""COMPUTED_VALUE"""),"")</f>
        <v/>
      </c>
      <c r="D223" s="170" t="str">
        <f>IFERROR(__xludf.DUMMYFUNCTION("""COMPUTED_VALUE"""),"Master Sniper")</f>
        <v>Master Sniper</v>
      </c>
      <c r="H223" s="171" t="str">
        <f>IFERROR(__xludf.DUMMYFUNCTION("""COMPUTED_VALUE"""),"Create a bow with all possible enchantments at max level (See requirement notes below)")</f>
        <v>Create a bow with all possible enchantments at max level (See requirement notes below)</v>
      </c>
      <c r="R223" s="54"/>
      <c r="U223" s="172" t="str">
        <f>IFERROR(__xludf.DUMMYFUNCTION("""COMPUTED_VALUE"""),"")</f>
        <v/>
      </c>
      <c r="V223" s="173" t="str">
        <f>IFERROR(__xludf.DUMMYFUNCTION("""COMPUTED_VALUE"""),"Bubble Coral")</f>
        <v>Bubble Coral</v>
      </c>
      <c r="W223" s="174"/>
    </row>
    <row r="224">
      <c r="B224" s="169" t="str">
        <f>IFERROR(__xludf.DUMMYFUNCTION("""COMPUTED_VALUE"""),"")</f>
        <v/>
      </c>
      <c r="D224" s="170" t="str">
        <f>IFERROR(__xludf.DUMMYFUNCTION("""COMPUTED_VALUE"""),"Master Arbalist")</f>
        <v>Master Arbalist</v>
      </c>
      <c r="H224" s="171" t="str">
        <f>IFERROR(__xludf.DUMMYFUNCTION("""COMPUTED_VALUE"""),"Create a crossbow with all possible enchantments at max level (See requirement notes below)")</f>
        <v>Create a crossbow with all possible enchantments at max level (See requirement notes below)</v>
      </c>
      <c r="R224" s="54"/>
      <c r="U224" s="172" t="str">
        <f>IFERROR(__xludf.DUMMYFUNCTION("""COMPUTED_VALUE"""),"")</f>
        <v/>
      </c>
      <c r="V224" s="173" t="str">
        <f>IFERROR(__xludf.DUMMYFUNCTION("""COMPUTED_VALUE"""),"Bubble Coral Block")</f>
        <v>Bubble Coral Block</v>
      </c>
      <c r="W224" s="174"/>
    </row>
    <row r="225">
      <c r="B225" s="169" t="str">
        <f>IFERROR(__xludf.DUMMYFUNCTION("""COMPUTED_VALUE"""),"")</f>
        <v/>
      </c>
      <c r="D225" s="170" t="str">
        <f>IFERROR(__xludf.DUMMYFUNCTION("""COMPUTED_VALUE"""),"Master Armorer")</f>
        <v>Master Armorer</v>
      </c>
      <c r="H225" s="171" t="str">
        <f>IFERROR(__xludf.DUMMYFUNCTION("""COMPUTED_VALUE"""),"Create a full suit of armor with all possible enchantments at max level (See requirement notes below)")</f>
        <v>Create a full suit of armor with all possible enchantments at max level (See requirement notes below)</v>
      </c>
      <c r="R225" s="54"/>
      <c r="U225" s="172" t="str">
        <f>IFERROR(__xludf.DUMMYFUNCTION("""COMPUTED_VALUE"""),"")</f>
        <v/>
      </c>
      <c r="V225" s="173" t="str">
        <f>IFERROR(__xludf.DUMMYFUNCTION("""COMPUTED_VALUE"""),"Bubble Coral Fan")</f>
        <v>Bubble Coral Fan</v>
      </c>
      <c r="W225" s="174"/>
    </row>
    <row r="226">
      <c r="B226" s="169" t="str">
        <f>IFERROR(__xludf.DUMMYFUNCTION("""COMPUTED_VALUE"""),"")</f>
        <v/>
      </c>
      <c r="D226" s="170" t="str">
        <f>IFERROR(__xludf.DUMMYFUNCTION("""COMPUTED_VALUE"""),"Master Fisher")</f>
        <v>Master Fisher</v>
      </c>
      <c r="H226" s="171" t="str">
        <f>IFERROR(__xludf.DUMMYFUNCTION("""COMPUTED_VALUE"""),"Create a fishing rod with all possible enchantments at max level (See requirement notes below)")</f>
        <v>Create a fishing rod with all possible enchantments at max level (See requirement notes below)</v>
      </c>
      <c r="R226" s="54"/>
      <c r="U226" s="172" t="str">
        <f>IFERROR(__xludf.DUMMYFUNCTION("""COMPUTED_VALUE"""),"")</f>
        <v/>
      </c>
      <c r="V226" s="173" t="str">
        <f>IFERROR(__xludf.DUMMYFUNCTION("""COMPUTED_VALUE"""),"Bucket")</f>
        <v>Bucket</v>
      </c>
      <c r="W226" s="174"/>
    </row>
    <row r="227">
      <c r="B227" s="169" t="str">
        <f>IFERROR(__xludf.DUMMYFUNCTION("""COMPUTED_VALUE"""),"")</f>
        <v/>
      </c>
      <c r="D227" s="170" t="str">
        <f>IFERROR(__xludf.DUMMYFUNCTION("""COMPUTED_VALUE"""),"Master Tridenteer")</f>
        <v>Master Tridenteer</v>
      </c>
      <c r="H227" s="171" t="str">
        <f>IFERROR(__xludf.DUMMYFUNCTION("""COMPUTED_VALUE"""),"Create a trident with all possible enchantments at max level (See requirement notes below)")</f>
        <v>Create a trident with all possible enchantments at max level (See requirement notes below)</v>
      </c>
      <c r="R227" s="54"/>
      <c r="U227" s="172" t="str">
        <f>IFERROR(__xludf.DUMMYFUNCTION("""COMPUTED_VALUE"""),"")</f>
        <v/>
      </c>
      <c r="V227" s="173" t="str">
        <f>IFERROR(__xludf.DUMMYFUNCTION("""COMPUTED_VALUE"""),"Burn Pottery Sherd")</f>
        <v>Burn Pottery Sherd</v>
      </c>
      <c r="W227" s="174"/>
    </row>
    <row r="228">
      <c r="B228" s="169" t="str">
        <f>IFERROR(__xludf.DUMMYFUNCTION("""COMPUTED_VALUE"""),"")</f>
        <v/>
      </c>
      <c r="D228" s="170" t="str">
        <f>IFERROR(__xludf.DUMMYFUNCTION("""COMPUTED_VALUE"""),"Master Macerator")</f>
        <v>Master Macerator</v>
      </c>
      <c r="H228" s="171" t="str">
        <f>IFERROR(__xludf.DUMMYFUNCTION("""COMPUTED_VALUE"""),"Create a mace with all possible enchantments at max level (See requirement notes below)")</f>
        <v>Create a mace with all possible enchantments at max level (See requirement notes below)</v>
      </c>
      <c r="R228" s="54"/>
      <c r="U228" s="172" t="str">
        <f>IFERROR(__xludf.DUMMYFUNCTION("""COMPUTED_VALUE"""),"")</f>
        <v/>
      </c>
      <c r="V228" s="173" t="str">
        <f>IFERROR(__xludf.DUMMYFUNCTION("""COMPUTED_VALUE"""),"Cactus")</f>
        <v>Cactus</v>
      </c>
      <c r="W228" s="174"/>
    </row>
    <row r="229">
      <c r="B229" s="169" t="str">
        <f>IFERROR(__xludf.DUMMYFUNCTION("""COMPUTED_VALUE"""),"")</f>
        <v/>
      </c>
      <c r="D229" s="170" t="str">
        <f>IFERROR(__xludf.DUMMYFUNCTION("""COMPUTED_VALUE"""),"I enjoy long walks &amp; playing MC")</f>
        <v>I enjoy long walks &amp; playing MC</v>
      </c>
      <c r="H229" s="171" t="str">
        <f>IFERROR(__xludf.DUMMYFUNCTION("""COMPUTED_VALUE"""),"Walk 250km")</f>
        <v>Walk 250km</v>
      </c>
      <c r="R229" s="54"/>
      <c r="U229" s="172" t="str">
        <f>IFERROR(__xludf.DUMMYFUNCTION("""COMPUTED_VALUE"""),"")</f>
        <v/>
      </c>
      <c r="V229" s="173" t="str">
        <f>IFERROR(__xludf.DUMMYFUNCTION("""COMPUTED_VALUE"""),"Cake")</f>
        <v>Cake</v>
      </c>
      <c r="W229" s="174"/>
    </row>
    <row r="230">
      <c r="B230" s="169" t="str">
        <f>IFERROR(__xludf.DUMMYFUNCTION("""COMPUTED_VALUE"""),"")</f>
        <v/>
      </c>
      <c r="D230" s="170" t="str">
        <f>IFERROR(__xludf.DUMMYFUNCTION("""COMPUTED_VALUE"""),"Your legs must be tired")</f>
        <v>Your legs must be tired</v>
      </c>
      <c r="H230" s="171" t="str">
        <f>IFERROR(__xludf.DUMMYFUNCTION("""COMPUTED_VALUE"""),"Sprint 250km")</f>
        <v>Sprint 250km</v>
      </c>
      <c r="R230" s="54"/>
      <c r="U230" s="172" t="str">
        <f>IFERROR(__xludf.DUMMYFUNCTION("""COMPUTED_VALUE"""),"")</f>
        <v/>
      </c>
      <c r="V230" s="173" t="str">
        <f>IFERROR(__xludf.DUMMYFUNCTION("""COMPUTED_VALUE"""),"Calcite")</f>
        <v>Calcite</v>
      </c>
      <c r="W230" s="174"/>
    </row>
    <row r="231">
      <c r="B231" s="169" t="str">
        <f>IFERROR(__xludf.DUMMYFUNCTION("""COMPUTED_VALUE"""),"")</f>
        <v/>
      </c>
      <c r="D231" s="170" t="str">
        <f>IFERROR(__xludf.DUMMYFUNCTION("""COMPUTED_VALUE"""),"Jumping Jacks")</f>
        <v>Jumping Jacks</v>
      </c>
      <c r="H231" s="171" t="str">
        <f>IFERROR(__xludf.DUMMYFUNCTION("""COMPUTED_VALUE"""),"Jump 100,000 times")</f>
        <v>Jump 100,000 times</v>
      </c>
      <c r="R231" s="54"/>
      <c r="U231" s="172" t="str">
        <f>IFERROR(__xludf.DUMMYFUNCTION("""COMPUTED_VALUE"""),"")</f>
        <v/>
      </c>
      <c r="V231" s="173" t="str">
        <f>IFERROR(__xludf.DUMMYFUNCTION("""COMPUTED_VALUE"""),"Calibrated Sculk Sensor")</f>
        <v>Calibrated Sculk Sensor</v>
      </c>
      <c r="W231" s="174"/>
    </row>
    <row r="232">
      <c r="B232" s="169" t="str">
        <f>IFERROR(__xludf.DUMMYFUNCTION("""COMPUTED_VALUE"""),"")</f>
        <v/>
      </c>
      <c r="D232" s="170" t="str">
        <f>IFERROR(__xludf.DUMMYFUNCTION("""COMPUTED_VALUE"""),"Ancient Kung Fu Master")</f>
        <v>Ancient Kung Fu Master</v>
      </c>
      <c r="H232" s="171" t="str">
        <f>IFERROR(__xludf.DUMMYFUNCTION("""COMPUTED_VALUE"""),"Sneak 10km")</f>
        <v>Sneak 10km</v>
      </c>
      <c r="R232" s="54"/>
      <c r="U232" s="172" t="str">
        <f>IFERROR(__xludf.DUMMYFUNCTION("""COMPUTED_VALUE"""),"")</f>
        <v/>
      </c>
      <c r="V232" s="173" t="str">
        <f>IFERROR(__xludf.DUMMYFUNCTION("""COMPUTED_VALUE"""),"Campfire")</f>
        <v>Campfire</v>
      </c>
      <c r="W232" s="174"/>
    </row>
    <row r="233">
      <c r="B233" s="169" t="str">
        <f>IFERROR(__xludf.DUMMYFUNCTION("""COMPUTED_VALUE"""),"")</f>
        <v/>
      </c>
      <c r="D233" s="170" t="str">
        <f>IFERROR(__xludf.DUMMYFUNCTION("""COMPUTED_VALUE"""),"Olympic Gold Medallist")</f>
        <v>Olympic Gold Medallist</v>
      </c>
      <c r="H233" s="171" t="str">
        <f>IFERROR(__xludf.DUMMYFUNCTION("""COMPUTED_VALUE"""),"Swim 50km")</f>
        <v>Swim 50km</v>
      </c>
      <c r="R233" s="54"/>
      <c r="U233" s="172" t="str">
        <f>IFERROR(__xludf.DUMMYFUNCTION("""COMPUTED_VALUE"""),"")</f>
        <v/>
      </c>
      <c r="V233" s="173" t="str">
        <f>IFERROR(__xludf.DUMMYFUNCTION("""COMPUTED_VALUE"""),"Candle")</f>
        <v>Candle</v>
      </c>
      <c r="W233" s="174"/>
    </row>
    <row r="234">
      <c r="B234" s="169" t="str">
        <f>IFERROR(__xludf.DUMMYFUNCTION("""COMPUTED_VALUE"""),"")</f>
        <v/>
      </c>
      <c r="D234" s="170" t="str">
        <f>IFERROR(__xludf.DUMMYFUNCTION("""COMPUTED_VALUE"""),"Global Railway Network")</f>
        <v>Global Railway Network</v>
      </c>
      <c r="H234" s="171" t="str">
        <f>IFERROR(__xludf.DUMMYFUNCTION("""COMPUTED_VALUE"""),"Ride 50km in a minecart")</f>
        <v>Ride 50km in a minecart</v>
      </c>
      <c r="R234" s="54"/>
      <c r="U234" s="172" t="str">
        <f>IFERROR(__xludf.DUMMYFUNCTION("""COMPUTED_VALUE"""),"")</f>
        <v/>
      </c>
      <c r="V234" s="173" t="str">
        <f>IFERROR(__xludf.DUMMYFUNCTION("""COMPUTED_VALUE"""),"Carrot")</f>
        <v>Carrot</v>
      </c>
      <c r="W234" s="174"/>
    </row>
    <row r="235">
      <c r="B235" s="169" t="str">
        <f>IFERROR(__xludf.DUMMYFUNCTION("""COMPUTED_VALUE"""),"")</f>
        <v/>
      </c>
      <c r="D235" s="170" t="str">
        <f>IFERROR(__xludf.DUMMYFUNCTION("""COMPUTED_VALUE"""),"Lightning McPig")</f>
        <v>Lightning McPig</v>
      </c>
      <c r="H235" s="171" t="str">
        <f>IFERROR(__xludf.DUMMYFUNCTION("""COMPUTED_VALUE"""),"Ride 10 km on a pig")</f>
        <v>Ride 10 km on a pig</v>
      </c>
      <c r="R235" s="54"/>
      <c r="U235" s="172" t="str">
        <f>IFERROR(__xludf.DUMMYFUNCTION("""COMPUTED_VALUE"""),"")</f>
        <v/>
      </c>
      <c r="V235" s="173" t="str">
        <f>IFERROR(__xludf.DUMMYFUNCTION("""COMPUTED_VALUE"""),"Carrot On A Stick")</f>
        <v>Carrot On A Stick</v>
      </c>
      <c r="W235" s="174"/>
    </row>
    <row r="236">
      <c r="B236" s="169" t="str">
        <f>IFERROR(__xludf.DUMMYFUNCTION("""COMPUTED_VALUE"""),"")</f>
        <v/>
      </c>
      <c r="D236" s="170" t="str">
        <f>IFERROR(__xludf.DUMMYFUNCTION("""COMPUTED_VALUE"""),"Scourge of the West")</f>
        <v>Scourge of the West</v>
      </c>
      <c r="H236" s="171" t="str">
        <f>IFERROR(__xludf.DUMMYFUNCTION("""COMPUTED_VALUE"""),"Ride 50 km on a horse")</f>
        <v>Ride 50 km on a horse</v>
      </c>
      <c r="R236" s="54"/>
      <c r="U236" s="172" t="str">
        <f>IFERROR(__xludf.DUMMYFUNCTION("""COMPUTED_VALUE"""),"")</f>
        <v/>
      </c>
      <c r="V236" s="173" t="str">
        <f>IFERROR(__xludf.DUMMYFUNCTION("""COMPUTED_VALUE"""),"Cartography Table")</f>
        <v>Cartography Table</v>
      </c>
      <c r="W236" s="174"/>
    </row>
    <row r="237">
      <c r="B237" s="169" t="str">
        <f>IFERROR(__xludf.DUMMYFUNCTION("""COMPUTED_VALUE"""),"")</f>
        <v/>
      </c>
      <c r="D237" s="170" t="str">
        <f>IFERROR(__xludf.DUMMYFUNCTION("""COMPUTED_VALUE"""),"Sailor of the Seven Seas")</f>
        <v>Sailor of the Seven Seas</v>
      </c>
      <c r="H237" s="171" t="str">
        <f>IFERROR(__xludf.DUMMYFUNCTION("""COMPUTED_VALUE"""),"Sail 50km in a boat")</f>
        <v>Sail 50km in a boat</v>
      </c>
      <c r="R237" s="54"/>
      <c r="U237" s="172" t="str">
        <f>IFERROR(__xludf.DUMMYFUNCTION("""COMPUTED_VALUE"""),"")</f>
        <v/>
      </c>
      <c r="V237" s="173" t="str">
        <f>IFERROR(__xludf.DUMMYFUNCTION("""COMPUTED_VALUE"""),"Carved Pumpkin")</f>
        <v>Carved Pumpkin</v>
      </c>
      <c r="W237" s="174"/>
    </row>
    <row r="238">
      <c r="B238" s="169" t="str">
        <f>IFERROR(__xludf.DUMMYFUNCTION("""COMPUTED_VALUE"""),"")</f>
        <v/>
      </c>
      <c r="D238" s="170" t="str">
        <f>IFERROR(__xludf.DUMMYFUNCTION("""COMPUTED_VALUE"""),"This Ride Is Lit, Yo!")</f>
        <v>This Ride Is Lit, Yo!</v>
      </c>
      <c r="H238" s="171" t="str">
        <f>IFERROR(__xludf.DUMMYFUNCTION("""COMPUTED_VALUE"""),"Ride 10km on a Strider")</f>
        <v>Ride 10km on a Strider</v>
      </c>
      <c r="R238" s="54"/>
      <c r="U238" s="172" t="str">
        <f>IFERROR(__xludf.DUMMYFUNCTION("""COMPUTED_VALUE"""),"")</f>
        <v/>
      </c>
      <c r="V238" s="173" t="str">
        <f>IFERROR(__xludf.DUMMYFUNCTION("""COMPUTED_VALUE"""),"Cauldron")</f>
        <v>Cauldron</v>
      </c>
      <c r="W238" s="174"/>
    </row>
    <row r="239">
      <c r="B239" s="169" t="str">
        <f>IFERROR(__xludf.DUMMYFUNCTION("""COMPUTED_VALUE"""),"")</f>
        <v/>
      </c>
      <c r="D239" s="170" t="str">
        <f>IFERROR(__xludf.DUMMYFUNCTION("""COMPUTED_VALUE"""),"Kill or be Killed")</f>
        <v>Kill or be Killed</v>
      </c>
      <c r="H239" s="171" t="str">
        <f>IFERROR(__xludf.DUMMYFUNCTION("""COMPUTED_VALUE"""),"Defeat 25,000 mobs")</f>
        <v>Defeat 25,000 mobs</v>
      </c>
      <c r="R239" s="54"/>
      <c r="U239" s="172" t="str">
        <f>IFERROR(__xludf.DUMMYFUNCTION("""COMPUTED_VALUE"""),"")</f>
        <v/>
      </c>
      <c r="V239" s="173" t="str">
        <f>IFERROR(__xludf.DUMMYFUNCTION("""COMPUTED_VALUE"""),"Chain")</f>
        <v>Chain</v>
      </c>
      <c r="W239" s="174"/>
    </row>
    <row r="240">
      <c r="B240" s="169" t="str">
        <f>IFERROR(__xludf.DUMMYFUNCTION("""COMPUTED_VALUE"""),"")</f>
        <v/>
      </c>
      <c r="D240" s="170" t="str">
        <f>IFERROR(__xludf.DUMMYFUNCTION("""COMPUTED_VALUE"""),"Two By Two")</f>
        <v>Two By Two</v>
      </c>
      <c r="H240" s="171" t="str">
        <f>IFERROR(__xludf.DUMMYFUNCTION("""COMPUTED_VALUE"""),"Breed 2500 animals")</f>
        <v>Breed 2500 animals</v>
      </c>
      <c r="R240" s="54"/>
      <c r="U240" s="172" t="str">
        <f>IFERROR(__xludf.DUMMYFUNCTION("""COMPUTED_VALUE"""),"")</f>
        <v/>
      </c>
      <c r="V240" s="173" t="str">
        <f>IFERROR(__xludf.DUMMYFUNCTION("""COMPUTED_VALUE"""),"Chainmail Boots")</f>
        <v>Chainmail Boots</v>
      </c>
      <c r="W240" s="174"/>
    </row>
    <row r="241">
      <c r="B241" s="169" t="str">
        <f>IFERROR(__xludf.DUMMYFUNCTION("""COMPUTED_VALUE"""),"")</f>
        <v/>
      </c>
      <c r="D241" s="170" t="str">
        <f>IFERROR(__xludf.DUMMYFUNCTION("""COMPUTED_VALUE"""),"Food, Glorious Food!")</f>
        <v>Food, Glorious Food!</v>
      </c>
      <c r="H241" s="171" t="str">
        <f>IFERROR(__xludf.DUMMYFUNCTION("""COMPUTED_VALUE"""),"Eat 5000 food items")</f>
        <v>Eat 5000 food items</v>
      </c>
      <c r="R241" s="54"/>
      <c r="U241" s="172" t="str">
        <f>IFERROR(__xludf.DUMMYFUNCTION("""COMPUTED_VALUE"""),"")</f>
        <v/>
      </c>
      <c r="V241" s="173" t="str">
        <f>IFERROR(__xludf.DUMMYFUNCTION("""COMPUTED_VALUE"""),"Chainmail Chestplate")</f>
        <v>Chainmail Chestplate</v>
      </c>
      <c r="W241" s="174"/>
    </row>
    <row r="242">
      <c r="B242" s="169" t="str">
        <f>IFERROR(__xludf.DUMMYFUNCTION("""COMPUTED_VALUE"""),"")</f>
        <v/>
      </c>
      <c r="D242" s="170" t="str">
        <f>IFERROR(__xludf.DUMMYFUNCTION("""COMPUTED_VALUE"""),"STONKS!")</f>
        <v>STONKS!</v>
      </c>
      <c r="H242" s="171" t="str">
        <f>IFERROR(__xludf.DUMMYFUNCTION("""COMPUTED_VALUE"""),"Trade with villagers 2500 times")</f>
        <v>Trade with villagers 2500 times</v>
      </c>
      <c r="R242" s="54"/>
      <c r="U242" s="172" t="str">
        <f>IFERROR(__xludf.DUMMYFUNCTION("""COMPUTED_VALUE"""),"")</f>
        <v/>
      </c>
      <c r="V242" s="173" t="str">
        <f>IFERROR(__xludf.DUMMYFUNCTION("""COMPUTED_VALUE"""),"Chainmail Helmet")</f>
        <v>Chainmail Helmet</v>
      </c>
      <c r="W242" s="174"/>
    </row>
    <row r="243">
      <c r="B243" s="169" t="str">
        <f>IFERROR(__xludf.DUMMYFUNCTION("""COMPUTED_VALUE"""),"")</f>
        <v/>
      </c>
      <c r="D243" s="170" t="str">
        <f>IFERROR(__xludf.DUMMYFUNCTION("""COMPUTED_VALUE"""),"I &lt;3 Chests")</f>
        <v>I &lt;3 Chests</v>
      </c>
      <c r="H243" s="171" t="str">
        <f>IFERROR(__xludf.DUMMYFUNCTION("""COMPUTED_VALUE"""),"Open 500 loot chests")</f>
        <v>Open 500 loot chests</v>
      </c>
      <c r="R243" s="54"/>
      <c r="U243" s="172" t="str">
        <f>IFERROR(__xludf.DUMMYFUNCTION("""COMPUTED_VALUE"""),"")</f>
        <v/>
      </c>
      <c r="V243" s="173" t="str">
        <f>IFERROR(__xludf.DUMMYFUNCTION("""COMPUTED_VALUE"""),"Chainmail Leggings")</f>
        <v>Chainmail Leggings</v>
      </c>
      <c r="W243" s="174"/>
    </row>
    <row r="244">
      <c r="B244" s="169" t="str">
        <f>IFERROR(__xludf.DUMMYFUNCTION("""COMPUTED_VALUE"""),"")</f>
        <v/>
      </c>
      <c r="D244" s="170" t="str">
        <f>IFERROR(__xludf.DUMMYFUNCTION("""COMPUTED_VALUE"""),"Elderly Enchanter")</f>
        <v>Elderly Enchanter</v>
      </c>
      <c r="H244" s="171" t="str">
        <f>IFERROR(__xludf.DUMMYFUNCTION("""COMPUTED_VALUE"""),"Enchant 250 items")</f>
        <v>Enchant 250 items</v>
      </c>
      <c r="R244" s="54"/>
      <c r="U244" s="172" t="str">
        <f>IFERROR(__xludf.DUMMYFUNCTION("""COMPUTED_VALUE"""),"")</f>
        <v/>
      </c>
      <c r="V244" s="173" t="str">
        <f>IFERROR(__xludf.DUMMYFUNCTION("""COMPUTED_VALUE"""),"Charcoal")</f>
        <v>Charcoal</v>
      </c>
      <c r="W244" s="174"/>
    </row>
    <row r="245">
      <c r="B245" s="169" t="str">
        <f>IFERROR(__xludf.DUMMYFUNCTION("""COMPUTED_VALUE"""),"")</f>
        <v/>
      </c>
      <c r="D245" s="170" t="str">
        <f>IFERROR(__xludf.DUMMYFUNCTION("""COMPUTED_VALUE"""),"XP Grinder")</f>
        <v>XP Grinder</v>
      </c>
      <c r="H245" s="171" t="str">
        <f>IFERROR(__xludf.DUMMYFUNCTION("""COMPUTED_VALUE"""),"Reach 300 experience levels")</f>
        <v>Reach 300 experience levels</v>
      </c>
      <c r="R245" s="54"/>
      <c r="U245" s="172" t="str">
        <f>IFERROR(__xludf.DUMMYFUNCTION("""COMPUTED_VALUE"""),"")</f>
        <v/>
      </c>
      <c r="V245" s="173" t="str">
        <f>IFERROR(__xludf.DUMMYFUNCTION("""COMPUTED_VALUE"""),"Cherry Boat")</f>
        <v>Cherry Boat</v>
      </c>
      <c r="W245" s="174"/>
    </row>
    <row r="246">
      <c r="B246" s="169" t="str">
        <f>IFERROR(__xludf.DUMMYFUNCTION("""COMPUTED_VALUE"""),"")</f>
        <v/>
      </c>
      <c r="D246" s="170" t="str">
        <f>IFERROR(__xludf.DUMMYFUNCTION("""COMPUTED_VALUE"""),"Happy New Year!")</f>
        <v>Happy New Year!</v>
      </c>
      <c r="H246" s="171" t="str">
        <f>IFERROR(__xludf.DUMMYFUNCTION("""COMPUTED_VALUE"""),"Play for a whole year! (A new day is added to all online players' score at sunrise)")</f>
        <v>Play for a whole year! (A new day is added to all online players' score at sunrise)</v>
      </c>
      <c r="R246" s="54"/>
      <c r="U246" s="172" t="str">
        <f>IFERROR(__xludf.DUMMYFUNCTION("""COMPUTED_VALUE"""),"")</f>
        <v/>
      </c>
      <c r="V246" s="173" t="str">
        <f>IFERROR(__xludf.DUMMYFUNCTION("""COMPUTED_VALUE"""),"Cherry Button")</f>
        <v>Cherry Button</v>
      </c>
      <c r="W246" s="174"/>
    </row>
    <row r="247">
      <c r="B247" s="169" t="str">
        <f>IFERROR(__xludf.DUMMYFUNCTION("""COMPUTED_VALUE"""),"")</f>
        <v/>
      </c>
      <c r="D247" s="170" t="str">
        <f>IFERROR(__xludf.DUMMYFUNCTION("""COMPUTED_VALUE"""),"Giddy Up!")</f>
        <v>Giddy Up!</v>
      </c>
      <c r="H247" s="171" t="str">
        <f>IFERROR(__xludf.DUMMYFUNCTION("""COMPUTED_VALUE"""),"Punch a baby Hoglin that is being ridden by a baby Piglin")</f>
        <v>Punch a baby Hoglin that is being ridden by a baby Piglin</v>
      </c>
      <c r="R247" s="54"/>
      <c r="U247" s="172" t="str">
        <f>IFERROR(__xludf.DUMMYFUNCTION("""COMPUTED_VALUE"""),"")</f>
        <v/>
      </c>
      <c r="V247" s="173" t="str">
        <f>IFERROR(__xludf.DUMMYFUNCTION("""COMPUTED_VALUE"""),"Cherry Chest Boat")</f>
        <v>Cherry Chest Boat</v>
      </c>
      <c r="W247" s="174"/>
    </row>
    <row r="248">
      <c r="B248" s="169" t="str">
        <f>IFERROR(__xludf.DUMMYFUNCTION("""COMPUTED_VALUE"""),"")</f>
        <v/>
      </c>
      <c r="D248" s="170" t="str">
        <f>IFERROR(__xludf.DUMMYFUNCTION("""COMPUTED_VALUE"""),"When Piglins Fly")</f>
        <v>When Piglins Fly</v>
      </c>
      <c r="H248" s="171" t="str">
        <f>IFERROR(__xludf.DUMMYFUNCTION("""COMPUTED_VALUE"""),"Give a piglin elytra then kill it")</f>
        <v>Give a piglin elytra then kill it</v>
      </c>
      <c r="R248" s="54"/>
      <c r="U248" s="172" t="str">
        <f>IFERROR(__xludf.DUMMYFUNCTION("""COMPUTED_VALUE"""),"")</f>
        <v/>
      </c>
      <c r="V248" s="173" t="str">
        <f>IFERROR(__xludf.DUMMYFUNCTION("""COMPUTED_VALUE"""),"Cherry Door")</f>
        <v>Cherry Door</v>
      </c>
      <c r="W248" s="174"/>
    </row>
    <row r="249">
      <c r="B249" s="169" t="str">
        <f>IFERROR(__xludf.DUMMYFUNCTION("""COMPUTED_VALUE"""),"")</f>
        <v/>
      </c>
      <c r="D249" s="170" t="str">
        <f>IFERROR(__xludf.DUMMYFUNCTION("""COMPUTED_VALUE"""),"A Piglin's Best Friend")</f>
        <v>A Piglin's Best Friend</v>
      </c>
      <c r="H249" s="171" t="str">
        <f>IFERROR(__xludf.DUMMYFUNCTION("""COMPUTED_VALUE"""),"Give a total of 500 gold to Piglins during your nether adventures")</f>
        <v>Give a total of 500 gold to Piglins during your nether adventures</v>
      </c>
      <c r="R249" s="54"/>
      <c r="U249" s="172" t="str">
        <f>IFERROR(__xludf.DUMMYFUNCTION("""COMPUTED_VALUE"""),"")</f>
        <v/>
      </c>
      <c r="V249" s="173" t="str">
        <f>IFERROR(__xludf.DUMMYFUNCTION("""COMPUTED_VALUE"""),"Cherry Fence")</f>
        <v>Cherry Fence</v>
      </c>
      <c r="W249" s="174"/>
    </row>
    <row r="250">
      <c r="B250" s="169" t="str">
        <f>IFERROR(__xludf.DUMMYFUNCTION("""COMPUTED_VALUE"""),"")</f>
        <v/>
      </c>
      <c r="D250" s="170" t="str">
        <f>IFERROR(__xludf.DUMMYFUNCTION("""COMPUTED_VALUE"""),"Hot Reels!")</f>
        <v>Hot Reels!</v>
      </c>
      <c r="H250" s="171" t="str">
        <f>IFERROR(__xludf.DUMMYFUNCTION("""COMPUTED_VALUE"""),"Reel in a Strider using a Fishing Rod (Hook a Strider with a Fishing Rod then right-click to reel it in)")</f>
        <v>Reel in a Strider using a Fishing Rod (Hook a Strider with a Fishing Rod then right-click to reel it in)</v>
      </c>
      <c r="R250" s="54"/>
      <c r="U250" s="172" t="str">
        <f>IFERROR(__xludf.DUMMYFUNCTION("""COMPUTED_VALUE"""),"")</f>
        <v/>
      </c>
      <c r="V250" s="173" t="str">
        <f>IFERROR(__xludf.DUMMYFUNCTION("""COMPUTED_VALUE"""),"Cherry Fence Gate")</f>
        <v>Cherry Fence Gate</v>
      </c>
      <c r="W250" s="174"/>
    </row>
    <row r="251">
      <c r="B251" s="169" t="str">
        <f>IFERROR(__xludf.DUMMYFUNCTION("""COMPUTED_VALUE"""),"")</f>
        <v/>
      </c>
      <c r="D251" s="170" t="str">
        <f>IFERROR(__xludf.DUMMYFUNCTION("""COMPUTED_VALUE"""),"Feels Like Home")</f>
        <v>Feels Like Home</v>
      </c>
      <c r="H251" s="171" t="str">
        <f>IFERROR(__xludf.DUMMYFUNCTION("""COMPUTED_VALUE"""),"Take a Strider for a loooong ride on a lava lake in the Overworld (Ride a Strider at least 50 blocks horizontally away from your starting position, all on lava and in the Overworld)")</f>
        <v>Take a Strider for a loooong ride on a lava lake in the Overworld (Ride a Strider at least 50 blocks horizontally away from your starting position, all on lava and in the Overworld)</v>
      </c>
      <c r="R251" s="54"/>
      <c r="U251" s="172" t="str">
        <f>IFERROR(__xludf.DUMMYFUNCTION("""COMPUTED_VALUE"""),"")</f>
        <v/>
      </c>
      <c r="V251" s="173" t="str">
        <f>IFERROR(__xludf.DUMMYFUNCTION("""COMPUTED_VALUE"""),"Cherry Hanging Sign")</f>
        <v>Cherry Hanging Sign</v>
      </c>
      <c r="W251" s="174"/>
    </row>
    <row r="252">
      <c r="B252" s="169" t="str">
        <f>IFERROR(__xludf.DUMMYFUNCTION("""COMPUTED_VALUE"""),"")</f>
        <v/>
      </c>
      <c r="D252" s="170" t="str">
        <f>IFERROR(__xludf.DUMMYFUNCTION("""COMPUTED_VALUE"""),"This One’s Mine!")</f>
        <v>This One’s Mine!</v>
      </c>
      <c r="H252" s="171" t="str">
        <f>IFERROR(__xludf.DUMMYFUNCTION("""COMPUTED_VALUE"""),"Kill a Zombified Piglin that is riding a Strider and take its steed (Kill a Zombified Piglin that is riding a Strider AND ride a strider that was formerly ridden by one)")</f>
        <v>Kill a Zombified Piglin that is riding a Strider and take its steed (Kill a Zombified Piglin that is riding a Strider AND ride a strider that was formerly ridden by one)</v>
      </c>
      <c r="R252" s="54"/>
      <c r="U252" s="172" t="str">
        <f>IFERROR(__xludf.DUMMYFUNCTION("""COMPUTED_VALUE"""),"")</f>
        <v/>
      </c>
      <c r="V252" s="173" t="str">
        <f>IFERROR(__xludf.DUMMYFUNCTION("""COMPUTED_VALUE"""),"Cherry Leaves")</f>
        <v>Cherry Leaves</v>
      </c>
      <c r="W252" s="174"/>
    </row>
    <row r="253">
      <c r="B253" s="169" t="str">
        <f>IFERROR(__xludf.DUMMYFUNCTION("""COMPUTED_VALUE"""),"")</f>
        <v/>
      </c>
      <c r="D253" s="170" t="str">
        <f>IFERROR(__xludf.DUMMYFUNCTION("""COMPUTED_VALUE"""),"Jenga")</f>
        <v>Jenga</v>
      </c>
      <c r="H253" s="171" t="str">
        <f>IFERROR(__xludf.DUMMYFUNCTION("""COMPUTED_VALUE"""),"Ride a Strider riding another Strider riding a boat riding a minecart")</f>
        <v>Ride a Strider riding another Strider riding a boat riding a minecart</v>
      </c>
      <c r="R253" s="54"/>
      <c r="U253" s="172" t="str">
        <f>IFERROR(__xludf.DUMMYFUNCTION("""COMPUTED_VALUE"""),"")</f>
        <v/>
      </c>
      <c r="V253" s="173" t="str">
        <f>IFERROR(__xludf.DUMMYFUNCTION("""COMPUTED_VALUE"""),"Cherry Log")</f>
        <v>Cherry Log</v>
      </c>
      <c r="W253" s="174"/>
    </row>
    <row r="254">
      <c r="B254" s="169" t="str">
        <f>IFERROR(__xludf.DUMMYFUNCTION("""COMPUTED_VALUE"""),"")</f>
        <v/>
      </c>
      <c r="D254" s="170" t="str">
        <f>IFERROR(__xludf.DUMMYFUNCTION("""COMPUTED_VALUE"""),"Not Quite 'Nine' Lives")</f>
        <v>Not Quite 'Nine' Lives</v>
      </c>
      <c r="H254" s="171" t="str">
        <f>IFERROR(__xludf.DUMMYFUNCTION("""COMPUTED_VALUE"""),"Charge a Respawn Anchor to the maximum (Place Glowstone into a Respawn Anchor such that it reaches maximum charge)")</f>
        <v>Charge a Respawn Anchor to the maximum (Place Glowstone into a Respawn Anchor such that it reaches maximum charge)</v>
      </c>
      <c r="R254" s="54"/>
      <c r="U254" s="172" t="str">
        <f>IFERROR(__xludf.DUMMYFUNCTION("""COMPUTED_VALUE"""),"")</f>
        <v/>
      </c>
      <c r="V254" s="173" t="str">
        <f>IFERROR(__xludf.DUMMYFUNCTION("""COMPUTED_VALUE"""),"Cherry Planks")</f>
        <v>Cherry Planks</v>
      </c>
      <c r="W254" s="174"/>
    </row>
    <row r="255">
      <c r="B255" s="169" t="str">
        <f>IFERROR(__xludf.DUMMYFUNCTION("""COMPUTED_VALUE"""),"")</f>
        <v/>
      </c>
      <c r="D255" s="170" t="str">
        <f>IFERROR(__xludf.DUMMYFUNCTION("""COMPUTED_VALUE"""),"Legend of Hell Chicken Riders")</f>
        <v>Legend of Hell Chicken Riders</v>
      </c>
      <c r="H255" s="171" t="str">
        <f>IFERROR(__xludf.DUMMYFUNCTION("""COMPUTED_VALUE"""),"Kill a chicken jockey in the nether (Kill a chicken with a zombified piglin passenger or a zombified piglin riding a chicken)")</f>
        <v>Kill a chicken jockey in the nether (Kill a chicken with a zombified piglin passenger or a zombified piglin riding a chicken)</v>
      </c>
      <c r="R255" s="54"/>
      <c r="U255" s="172" t="str">
        <f>IFERROR(__xludf.DUMMYFUNCTION("""COMPUTED_VALUE"""),"")</f>
        <v/>
      </c>
      <c r="V255" s="173" t="str">
        <f>IFERROR(__xludf.DUMMYFUNCTION("""COMPUTED_VALUE"""),"Cherry Pressure Plate")</f>
        <v>Cherry Pressure Plate</v>
      </c>
      <c r="W255" s="174"/>
    </row>
    <row r="256">
      <c r="B256" s="169" t="str">
        <f>IFERROR(__xludf.DUMMYFUNCTION("""COMPUTED_VALUE"""),"")</f>
        <v/>
      </c>
      <c r="D256" s="170" t="str">
        <f>IFERROR(__xludf.DUMMYFUNCTION("""COMPUTED_VALUE"""),"Electrifying Alliance")</f>
        <v>Electrifying Alliance</v>
      </c>
      <c r="H256" s="171" t="str">
        <f>IFERROR(__xludf.DUMMYFUNCTION("""COMPUTED_VALUE"""),"Smite a ghast with lightning from the Overworld’s heavens (Strike a ghast with lightning using the Channeling enchantment)")</f>
        <v>Smite a ghast with lightning from the Overworld’s heavens (Strike a ghast with lightning using the Channeling enchantment)</v>
      </c>
      <c r="R256" s="54"/>
      <c r="U256" s="172" t="str">
        <f>IFERROR(__xludf.DUMMYFUNCTION("""COMPUTED_VALUE"""),"")</f>
        <v/>
      </c>
      <c r="V256" s="173" t="str">
        <f>IFERROR(__xludf.DUMMYFUNCTION("""COMPUTED_VALUE"""),"Cherry Sapling")</f>
        <v>Cherry Sapling</v>
      </c>
      <c r="W256" s="174"/>
    </row>
    <row r="257">
      <c r="B257" s="169" t="str">
        <f>IFERROR(__xludf.DUMMYFUNCTION("""COMPUTED_VALUE"""),"")</f>
        <v/>
      </c>
      <c r="D257" s="170" t="str">
        <f>IFERROR(__xludf.DUMMYFUNCTION("""COMPUTED_VALUE"""),"Soul Runnings!")</f>
        <v>Soul Runnings!</v>
      </c>
      <c r="H257" s="171" t="str">
        <f>IFERROR(__xludf.DUMMYFUNCTION("""COMPUTED_VALUE"""),"Step on Soul Sand with Netherite Boots enchanted with Soul Speed III (Also works with Soul Soil)")</f>
        <v>Step on Soul Sand with Netherite Boots enchanted with Soul Speed III (Also works with Soul Soil)</v>
      </c>
      <c r="R257" s="54"/>
      <c r="U257" s="172" t="str">
        <f>IFERROR(__xludf.DUMMYFUNCTION("""COMPUTED_VALUE"""),"")</f>
        <v/>
      </c>
      <c r="V257" s="173" t="str">
        <f>IFERROR(__xludf.DUMMYFUNCTION("""COMPUTED_VALUE"""),"Cherry Sign")</f>
        <v>Cherry Sign</v>
      </c>
      <c r="W257" s="174"/>
    </row>
    <row r="258">
      <c r="B258" s="169" t="str">
        <f>IFERROR(__xludf.DUMMYFUNCTION("""COMPUTED_VALUE"""),"")</f>
        <v/>
      </c>
      <c r="D258" s="170" t="str">
        <f>IFERROR(__xludf.DUMMYFUNCTION("""COMPUTED_VALUE"""),"Ludicrous Speed!")</f>
        <v>Ludicrous Speed!</v>
      </c>
      <c r="H258" s="171" t="str">
        <f>IFERROR(__xludf.DUMMYFUNCTION("""COMPUTED_VALUE"""),"Achieve an absolutely insane speed by combining the Speed II effect, Dolphin’s Grace, Depth Strider III, Soul Speed III and sprinting")</f>
        <v>Achieve an absolutely insane speed by combining the Speed II effect, Dolphin’s Grace, Depth Strider III, Soul Speed III and sprinting</v>
      </c>
      <c r="R258" s="54"/>
      <c r="U258" s="172" t="str">
        <f>IFERROR(__xludf.DUMMYFUNCTION("""COMPUTED_VALUE"""),"")</f>
        <v/>
      </c>
      <c r="V258" s="173" t="str">
        <f>IFERROR(__xludf.DUMMYFUNCTION("""COMPUTED_VALUE"""),"Cherry Slab")</f>
        <v>Cherry Slab</v>
      </c>
      <c r="W258" s="174"/>
    </row>
    <row r="259">
      <c r="B259" s="169" t="str">
        <f>IFERROR(__xludf.DUMMYFUNCTION("""COMPUTED_VALUE"""),"")</f>
        <v/>
      </c>
      <c r="D259" s="170" t="str">
        <f>IFERROR(__xludf.DUMMYFUNCTION("""COMPUTED_VALUE"""),"Lodes of Applications")</f>
        <v>Lodes of Applications</v>
      </c>
      <c r="H259" s="171" t="str">
        <f>IFERROR(__xludf.DUMMYFUNCTION("""COMPUTED_VALUE"""),"Create a Lodestone Compass in all three dimensions (Use a compass on a lodestone in all three dimensions (not all at the same time))")</f>
        <v>Create a Lodestone Compass in all three dimensions (Use a compass on a lodestone in all three dimensions (not all at the same time))</v>
      </c>
      <c r="R259" s="54"/>
      <c r="U259" s="172" t="str">
        <f>IFERROR(__xludf.DUMMYFUNCTION("""COMPUTED_VALUE"""),"")</f>
        <v/>
      </c>
      <c r="V259" s="173" t="str">
        <f>IFERROR(__xludf.DUMMYFUNCTION("""COMPUTED_VALUE"""),"Cherry Stairs")</f>
        <v>Cherry Stairs</v>
      </c>
      <c r="W259" s="174"/>
    </row>
    <row r="260">
      <c r="B260" s="169" t="str">
        <f>IFERROR(__xludf.DUMMYFUNCTION("""COMPUTED_VALUE"""),"")</f>
        <v/>
      </c>
      <c r="D260" s="170" t="str">
        <f>IFERROR(__xludf.DUMMYFUNCTION("""COMPUTED_VALUE"""),"Inception")</f>
        <v>Inception</v>
      </c>
      <c r="H260" s="171" t="str">
        <f>IFERROR(__xludf.DUMMYFUNCTION("""COMPUTED_VALUE"""),"Build a machine that can break a hole in the roof of the Nether (Be between y=127 and 127.9999 in the Nether dimension in a non-solid block)")</f>
        <v>Build a machine that can break a hole in the roof of the Nether (Be between y=127 and 127.9999 in the Nether dimension in a non-solid block)</v>
      </c>
      <c r="R260" s="54"/>
      <c r="U260" s="172" t="str">
        <f>IFERROR(__xludf.DUMMYFUNCTION("""COMPUTED_VALUE"""),"")</f>
        <v/>
      </c>
      <c r="V260" s="173" t="str">
        <f>IFERROR(__xludf.DUMMYFUNCTION("""COMPUTED_VALUE"""),"Cherry Trapdoor")</f>
        <v>Cherry Trapdoor</v>
      </c>
      <c r="W260" s="174"/>
    </row>
    <row r="261">
      <c r="B261" s="169" t="str">
        <f>IFERROR(__xludf.DUMMYFUNCTION("""COMPUTED_VALUE"""),"")</f>
        <v/>
      </c>
      <c r="D261" s="170" t="str">
        <f>IFERROR(__xludf.DUMMYFUNCTION("""COMPUTED_VALUE"""),"Beacon Overlord")</f>
        <v>Beacon Overlord</v>
      </c>
      <c r="H261" s="171" t="str">
        <f>IFERROR(__xludf.DUMMYFUNCTION("""COMPUTED_VALUE"""),"Acquire every beacon-induced effect at once (Obtain Speed, Haste, Resistance, Jump Boost, Strength and Regeneration from beacons)")</f>
        <v>Acquire every beacon-induced effect at once (Obtain Speed, Haste, Resistance, Jump Boost, Strength and Regeneration from beacons)</v>
      </c>
      <c r="R261" s="54"/>
      <c r="U261" s="172" t="str">
        <f>IFERROR(__xludf.DUMMYFUNCTION("""COMPUTED_VALUE"""),"")</f>
        <v/>
      </c>
      <c r="V261" s="173" t="str">
        <f>IFERROR(__xludf.DUMMYFUNCTION("""COMPUTED_VALUE"""),"Cherry Wood")</f>
        <v>Cherry Wood</v>
      </c>
      <c r="W261" s="174"/>
    </row>
    <row r="262">
      <c r="B262" s="169" t="str">
        <f>IFERROR(__xludf.DUMMYFUNCTION("""COMPUTED_VALUE"""),"")</f>
        <v/>
      </c>
      <c r="D262" s="170" t="str">
        <f>IFERROR(__xludf.DUMMYFUNCTION("""COMPUTED_VALUE"""),"Failed Concoctions")</f>
        <v>Failed Concoctions</v>
      </c>
      <c r="H262" s="171" t="str">
        <f>IFERROR(__xludf.DUMMYFUNCTION("""COMPUTED_VALUE"""),"Brew a Mundane and Thick Potion (Brew a mundane and thick potion in the brewing stand)")</f>
        <v>Brew a Mundane and Thick Potion (Brew a mundane and thick potion in the brewing stand)</v>
      </c>
      <c r="R262" s="54"/>
      <c r="U262" s="172" t="str">
        <f>IFERROR(__xludf.DUMMYFUNCTION("""COMPUTED_VALUE"""),"")</f>
        <v/>
      </c>
      <c r="V262" s="173" t="str">
        <f>IFERROR(__xludf.DUMMYFUNCTION("""COMPUTED_VALUE"""),"Chest")</f>
        <v>Chest</v>
      </c>
      <c r="W262" s="174"/>
    </row>
    <row r="263">
      <c r="B263" s="169" t="str">
        <f>IFERROR(__xludf.DUMMYFUNCTION("""COMPUTED_VALUE"""),"")</f>
        <v/>
      </c>
      <c r="D263" s="170" t="str">
        <f>IFERROR(__xludf.DUMMYFUNCTION("""COMPUTED_VALUE"""),"Stealth Takedown")</f>
        <v>Stealth Takedown</v>
      </c>
      <c r="H263" s="171" t="str">
        <f>IFERROR(__xludf.DUMMYFUNCTION("""COMPUTED_VALUE"""),"Dispatch a Creeper at melee range while you are invisible (Kill a Creeper that is less than 5 blocks away while you are invisible)")</f>
        <v>Dispatch a Creeper at melee range while you are invisible (Kill a Creeper that is less than 5 blocks away while you are invisible)</v>
      </c>
      <c r="R263" s="54"/>
      <c r="U263" s="172" t="str">
        <f>IFERROR(__xludf.DUMMYFUNCTION("""COMPUTED_VALUE"""),"")</f>
        <v/>
      </c>
      <c r="V263" s="173" t="str">
        <f>IFERROR(__xludf.DUMMYFUNCTION("""COMPUTED_VALUE"""),"Chest Minecart")</f>
        <v>Chest Minecart</v>
      </c>
      <c r="W263" s="174"/>
    </row>
    <row r="264">
      <c r="B264" s="169" t="str">
        <f>IFERROR(__xludf.DUMMYFUNCTION("""COMPUTED_VALUE"""),"")</f>
        <v/>
      </c>
      <c r="D264" s="170" t="str">
        <f>IFERROR(__xludf.DUMMYFUNCTION("""COMPUTED_VALUE"""),"Tank")</f>
        <v>Tank</v>
      </c>
      <c r="H264" s="171" t="str">
        <f>IFERROR(__xludf.DUMMYFUNCTION("""COMPUTED_VALUE"""),"Become nearly invincible to all damage using a Turtle Master Potion (Drink a Potion of the Turtle Master)")</f>
        <v>Become nearly invincible to all damage using a Turtle Master Potion (Drink a Potion of the Turtle Master)</v>
      </c>
      <c r="R264" s="54"/>
      <c r="U264" s="172" t="str">
        <f>IFERROR(__xludf.DUMMYFUNCTION("""COMPUTED_VALUE"""),"")</f>
        <v/>
      </c>
      <c r="V264" s="173" t="str">
        <f>IFERROR(__xludf.DUMMYFUNCTION("""COMPUTED_VALUE"""),"Chicken")</f>
        <v>Chicken</v>
      </c>
      <c r="W264" s="174"/>
    </row>
    <row r="265">
      <c r="B265" s="169" t="str">
        <f>IFERROR(__xludf.DUMMYFUNCTION("""COMPUTED_VALUE"""),"")</f>
        <v/>
      </c>
      <c r="D265" s="170" t="str">
        <f>IFERROR(__xludf.DUMMYFUNCTION("""COMPUTED_VALUE"""),"Final Shout")</f>
        <v>Final Shout</v>
      </c>
      <c r="H265" s="171" t="str">
        <f>IFERROR(__xludf.DUMMYFUNCTION("""COMPUTED_VALUE"""),"Kill a mob that has the Wind Charged, Weaving and Oozing effects")</f>
        <v>Kill a mob that has the Wind Charged, Weaving and Oozing effects</v>
      </c>
      <c r="R265" s="54"/>
      <c r="U265" s="172" t="str">
        <f>IFERROR(__xludf.DUMMYFUNCTION("""COMPUTED_VALUE"""),"")</f>
        <v/>
      </c>
      <c r="V265" s="173" t="str">
        <f>IFERROR(__xludf.DUMMYFUNCTION("""COMPUTED_VALUE"""),"Chipped Anvil")</f>
        <v>Chipped Anvil</v>
      </c>
      <c r="W265" s="174"/>
    </row>
    <row r="266">
      <c r="B266" s="169" t="str">
        <f>IFERROR(__xludf.DUMMYFUNCTION("""COMPUTED_VALUE"""),"")</f>
        <v/>
      </c>
      <c r="D266" s="170" t="str">
        <f>IFERROR(__xludf.DUMMYFUNCTION("""COMPUTED_VALUE"""),"Furious Ammunition")</f>
        <v>Furious Ammunition</v>
      </c>
      <c r="H266" s="171" t="str">
        <f>IFERROR(__xludf.DUMMYFUNCTION("""COMPUTED_VALUE"""),"Craft every type of tipped arrow (See requirement notes below)")</f>
        <v>Craft every type of tipped arrow (See requirement notes below)</v>
      </c>
      <c r="R266" s="54"/>
      <c r="U266" s="172" t="str">
        <f>IFERROR(__xludf.DUMMYFUNCTION("""COMPUTED_VALUE"""),"")</f>
        <v/>
      </c>
      <c r="V266" s="173" t="str">
        <f>IFERROR(__xludf.DUMMYFUNCTION("""COMPUTED_VALUE"""),"Chiseled Bookshelf")</f>
        <v>Chiseled Bookshelf</v>
      </c>
      <c r="W266" s="174"/>
    </row>
    <row r="267">
      <c r="B267" s="169" t="str">
        <f>IFERROR(__xludf.DUMMYFUNCTION("""COMPUTED_VALUE"""),"")</f>
        <v/>
      </c>
      <c r="D267" s="170" t="str">
        <f>IFERROR(__xludf.DUMMYFUNCTION("""COMPUTED_VALUE"""),"A Furious Test Subject")</f>
        <v>A Furious Test Subject</v>
      </c>
      <c r="H267" s="171" t="str">
        <f>IFERROR(__xludf.DUMMYFUNCTION("""COMPUTED_VALUE"""),"Get attacked by a mob with every potion effect (See requirement notes below)")</f>
        <v>Get attacked by a mob with every potion effect (See requirement notes below)</v>
      </c>
      <c r="R267" s="54"/>
      <c r="U267" s="172" t="str">
        <f>IFERROR(__xludf.DUMMYFUNCTION("""COMPUTED_VALUE"""),"")</f>
        <v/>
      </c>
      <c r="V267" s="173" t="str">
        <f>IFERROR(__xludf.DUMMYFUNCTION("""COMPUTED_VALUE"""),"Chiseled Copper")</f>
        <v>Chiseled Copper</v>
      </c>
      <c r="W267" s="174"/>
    </row>
    <row r="268">
      <c r="B268" s="169" t="str">
        <f>IFERROR(__xludf.DUMMYFUNCTION("""COMPUTED_VALUE"""),"")</f>
        <v/>
      </c>
      <c r="D268" s="170" t="str">
        <f>IFERROR(__xludf.DUMMYFUNCTION("""COMPUTED_VALUE"""),"Gas Bomb")</f>
        <v>Gas Bomb</v>
      </c>
      <c r="H268" s="171" t="str">
        <f>IFERROR(__xludf.DUMMYFUNCTION("""COMPUTED_VALUE"""),"Ignite a Creeper of each possible effect using Flint and Steel (See requirement notes below)")</f>
        <v>Ignite a Creeper of each possible effect using Flint and Steel (See requirement notes below)</v>
      </c>
      <c r="R268" s="54"/>
      <c r="U268" s="172" t="str">
        <f>IFERROR(__xludf.DUMMYFUNCTION("""COMPUTED_VALUE"""),"")</f>
        <v/>
      </c>
      <c r="V268" s="173" t="str">
        <f>IFERROR(__xludf.DUMMYFUNCTION("""COMPUTED_VALUE"""),"Chiseled Deepslate")</f>
        <v>Chiseled Deepslate</v>
      </c>
      <c r="W268" s="174"/>
    </row>
    <row r="269">
      <c r="B269" s="169" t="str">
        <f>IFERROR(__xludf.DUMMYFUNCTION("""COMPUTED_VALUE"""),"")</f>
        <v/>
      </c>
      <c r="D269" s="170" t="str">
        <f>IFERROR(__xludf.DUMMYFUNCTION("""COMPUTED_VALUE"""),"Event Horizon")</f>
        <v>Event Horizon</v>
      </c>
      <c r="H269" s="171" t="str">
        <f>IFERROR(__xludf.DUMMYFUNCTION("""COMPUTED_VALUE"""),"Survive void damage (Fly under y=-64 for about a second then get up above y=0 without dying. Only works in the End)")</f>
        <v>Survive void damage (Fly under y=-64 for about a second then get up above y=0 without dying. Only works in the End)</v>
      </c>
      <c r="R269" s="54"/>
      <c r="U269" s="172" t="str">
        <f>IFERROR(__xludf.DUMMYFUNCTION("""COMPUTED_VALUE"""),"")</f>
        <v/>
      </c>
      <c r="V269" s="173" t="str">
        <f>IFERROR(__xludf.DUMMYFUNCTION("""COMPUTED_VALUE"""),"Chiseled Nether Bricks")</f>
        <v>Chiseled Nether Bricks</v>
      </c>
      <c r="W269" s="174"/>
    </row>
    <row r="270">
      <c r="B270" s="169" t="str">
        <f>IFERROR(__xludf.DUMMYFUNCTION("""COMPUTED_VALUE"""),"")</f>
        <v/>
      </c>
      <c r="D270" s="170" t="str">
        <f>IFERROR(__xludf.DUMMYFUNCTION("""COMPUTED_VALUE"""),"Ring of the End")</f>
        <v>Ring of the End</v>
      </c>
      <c r="H270" s="171" t="str">
        <f>IFERROR(__xludf.DUMMYFUNCTION("""COMPUTED_VALUE"""),"Defeat the Ender Dragon 20 times (Land the killing blow on the Ender Dragon 20 times)")</f>
        <v>Defeat the Ender Dragon 20 times (Land the killing blow on the Ender Dragon 20 times)</v>
      </c>
      <c r="R270" s="54"/>
      <c r="U270" s="172" t="str">
        <f>IFERROR(__xludf.DUMMYFUNCTION("""COMPUTED_VALUE"""),"")</f>
        <v/>
      </c>
      <c r="V270" s="173" t="str">
        <f>IFERROR(__xludf.DUMMYFUNCTION("""COMPUTED_VALUE"""),"Chiseled Polished Blackstone")</f>
        <v>Chiseled Polished Blackstone</v>
      </c>
      <c r="W270" s="174"/>
    </row>
    <row r="271">
      <c r="B271" s="169" t="str">
        <f>IFERROR(__xludf.DUMMYFUNCTION("""COMPUTED_VALUE"""),"")</f>
        <v/>
      </c>
      <c r="D271" s="170" t="str">
        <f>IFERROR(__xludf.DUMMYFUNCTION("""COMPUTED_VALUE"""),"A Wizard’s Breakfast")</f>
        <v>A Wizard’s Breakfast</v>
      </c>
      <c r="H271" s="171" t="str">
        <f>IFERROR(__xludf.DUMMYFUNCTION("""COMPUTED_VALUE"""),"Eat a stack of Chorus Fruit in one go (Eat 64 chorus fruit with less than five seconds in-between each fruit and no other food eaten)")</f>
        <v>Eat a stack of Chorus Fruit in one go (Eat 64 chorus fruit with less than five seconds in-between each fruit and no other food eaten)</v>
      </c>
      <c r="R271" s="54"/>
      <c r="U271" s="172" t="str">
        <f>IFERROR(__xludf.DUMMYFUNCTION("""COMPUTED_VALUE"""),"")</f>
        <v/>
      </c>
      <c r="V271" s="173" t="str">
        <f>IFERROR(__xludf.DUMMYFUNCTION("""COMPUTED_VALUE"""),"Chiseled Quartz Block")</f>
        <v>Chiseled Quartz Block</v>
      </c>
      <c r="W271" s="174"/>
    </row>
    <row r="272">
      <c r="B272" s="169" t="str">
        <f>IFERROR(__xludf.DUMMYFUNCTION("""COMPUTED_VALUE"""),"")</f>
        <v/>
      </c>
      <c r="D272" s="170" t="str">
        <f>IFERROR(__xludf.DUMMYFUNCTION("""COMPUTED_VALUE"""),"In Your Face, Neil Armstrong")</f>
        <v>In Your Face, Neil Armstrong</v>
      </c>
      <c r="H272" s="171" t="str">
        <f>IFERROR(__xludf.DUMMYFUNCTION("""COMPUTED_VALUE"""),"Colonise the End with potato crops (Place potatoes in the End)")</f>
        <v>Colonise the End with potato crops (Place potatoes in the End)</v>
      </c>
      <c r="R272" s="54"/>
      <c r="U272" s="172" t="str">
        <f>IFERROR(__xludf.DUMMYFUNCTION("""COMPUTED_VALUE"""),"")</f>
        <v/>
      </c>
      <c r="V272" s="173" t="str">
        <f>IFERROR(__xludf.DUMMYFUNCTION("""COMPUTED_VALUE"""),"Chiseled Red Sandstone")</f>
        <v>Chiseled Red Sandstone</v>
      </c>
      <c r="W272" s="174"/>
    </row>
    <row r="273">
      <c r="B273" s="169" t="str">
        <f>IFERROR(__xludf.DUMMYFUNCTION("""COMPUTED_VALUE"""),"")</f>
        <v/>
      </c>
      <c r="D273" s="170" t="str">
        <f>IFERROR(__xludf.DUMMYFUNCTION("""COMPUTED_VALUE"""),"No! Don't let me leave, Murph!")</f>
        <v>No! Don't let me leave, Murph!</v>
      </c>
      <c r="H273" s="171" t="str">
        <f>IFERROR(__xludf.DUMMYFUNCTION("""COMPUTED_VALUE"""),"Travel so far into the End dimension you might as well be on another planet (Be beyond 100,000 or -100,000 in the x or z direction in the End)")</f>
        <v>Travel so far into the End dimension you might as well be on another planet (Be beyond 100,000 or -100,000 in the x or z direction in the End)</v>
      </c>
      <c r="R273" s="54"/>
      <c r="U273" s="172" t="str">
        <f>IFERROR(__xludf.DUMMYFUNCTION("""COMPUTED_VALUE"""),"")</f>
        <v/>
      </c>
      <c r="V273" s="173" t="str">
        <f>IFERROR(__xludf.DUMMYFUNCTION("""COMPUTED_VALUE"""),"Chiseled Sandstone")</f>
        <v>Chiseled Sandstone</v>
      </c>
      <c r="W273" s="174"/>
    </row>
    <row r="274">
      <c r="B274" s="169" t="str">
        <f>IFERROR(__xludf.DUMMYFUNCTION("""COMPUTED_VALUE"""),"")</f>
        <v/>
      </c>
      <c r="D274" s="170" t="str">
        <f>IFERROR(__xludf.DUMMYFUNCTION("""COMPUTED_VALUE"""),"Unending Hell")</f>
        <v>Unending Hell</v>
      </c>
      <c r="H274" s="171" t="str">
        <f>IFERROR(__xludf.DUMMYFUNCTION("""COMPUTED_VALUE"""),"Travel directly from the End to the Nether (Enter the End's exit portal but arrive in the Nether by having your spawn set to a Respawn Anchor)")</f>
        <v>Travel directly from the End to the Nether (Enter the End's exit portal but arrive in the Nether by having your spawn set to a Respawn Anchor)</v>
      </c>
      <c r="R274" s="54"/>
      <c r="U274" s="172" t="str">
        <f>IFERROR(__xludf.DUMMYFUNCTION("""COMPUTED_VALUE"""),"")</f>
        <v/>
      </c>
      <c r="V274" s="173" t="str">
        <f>IFERROR(__xludf.DUMMYFUNCTION("""COMPUTED_VALUE"""),"Chiseled Stone Bricks")</f>
        <v>Chiseled Stone Bricks</v>
      </c>
      <c r="W274" s="174"/>
    </row>
    <row r="275">
      <c r="B275" s="169" t="str">
        <f>IFERROR(__xludf.DUMMYFUNCTION("""COMPUTED_VALUE"""),"")</f>
        <v/>
      </c>
      <c r="D275" s="170" t="str">
        <f>IFERROR(__xludf.DUMMYFUNCTION("""COMPUTED_VALUE"""),"Organizational Wizard")</f>
        <v>Organizational Wizard</v>
      </c>
      <c r="H275" s="171" t="str">
        <f>IFERROR(__xludf.DUMMYFUNCTION("""COMPUTED_VALUE"""),"Name a Shulker Box 'Blocks' for storing your blocks (Obtain a shulker box of any color that is named ""Blocks"")")</f>
        <v>Name a Shulker Box 'Blocks' for storing your blocks (Obtain a shulker box of any color that is named "Blocks")</v>
      </c>
      <c r="R275" s="54"/>
      <c r="U275" s="172" t="str">
        <f>IFERROR(__xludf.DUMMYFUNCTION("""COMPUTED_VALUE"""),"")</f>
        <v/>
      </c>
      <c r="V275" s="173" t="str">
        <f>IFERROR(__xludf.DUMMYFUNCTION("""COMPUTED_VALUE"""),"Chiseled Tuff")</f>
        <v>Chiseled Tuff</v>
      </c>
      <c r="W275" s="174"/>
    </row>
    <row r="276">
      <c r="B276" s="169" t="str">
        <f>IFERROR(__xludf.DUMMYFUNCTION("""COMPUTED_VALUE"""),"")</f>
        <v/>
      </c>
      <c r="D276" s="170" t="str">
        <f>IFERROR(__xludf.DUMMYFUNCTION("""COMPUTED_VALUE"""),"Dogfight")</f>
        <v>Dogfight</v>
      </c>
      <c r="H276" s="171" t="str">
        <f>IFERROR(__xludf.DUMMYFUNCTION("""COMPUTED_VALUE"""),"Kill a Skeleton or Stray while both you and it have levitation")</f>
        <v>Kill a Skeleton or Stray while both you and it have levitation</v>
      </c>
      <c r="R276" s="54"/>
      <c r="U276" s="172" t="str">
        <f>IFERROR(__xludf.DUMMYFUNCTION("""COMPUTED_VALUE"""),"")</f>
        <v/>
      </c>
      <c r="V276" s="173" t="str">
        <f>IFERROR(__xludf.DUMMYFUNCTION("""COMPUTED_VALUE"""),"Chiseled Tuff Bricks")</f>
        <v>Chiseled Tuff Bricks</v>
      </c>
      <c r="W276" s="174"/>
    </row>
    <row r="277">
      <c r="B277" s="169" t="str">
        <f>IFERROR(__xludf.DUMMYFUNCTION("""COMPUTED_VALUE"""),"")</f>
        <v/>
      </c>
      <c r="D277" s="170" t="str">
        <f>IFERROR(__xludf.DUMMYFUNCTION("""COMPUTED_VALUE"""),"Rocketman")</f>
        <v>Rocketman</v>
      </c>
      <c r="H277" s="171" t="str">
        <f>IFERROR(__xludf.DUMMYFUNCTION("""COMPUTED_VALUE"""),"Fill your inventory with full stacks of firework rockets (All inventory slots, including your hotbar and offhand, must be filled, hence requiring 37 stacks of rockets)")</f>
        <v>Fill your inventory with full stacks of firework rockets (All inventory slots, including your hotbar and offhand, must be filled, hence requiring 37 stacks of rockets)</v>
      </c>
      <c r="R277" s="54"/>
      <c r="U277" s="172" t="str">
        <f>IFERROR(__xludf.DUMMYFUNCTION("""COMPUTED_VALUE"""),"")</f>
        <v/>
      </c>
      <c r="V277" s="173" t="str">
        <f>IFERROR(__xludf.DUMMYFUNCTION("""COMPUTED_VALUE"""),"Chorus Flower")</f>
        <v>Chorus Flower</v>
      </c>
      <c r="W277" s="174"/>
    </row>
    <row r="278">
      <c r="B278" s="169" t="str">
        <f>IFERROR(__xludf.DUMMYFUNCTION("""COMPUTED_VALUE"""),"")</f>
        <v/>
      </c>
      <c r="D278" s="170" t="str">
        <f>IFERROR(__xludf.DUMMYFUNCTION("""COMPUTED_VALUE"""),"Diver's Dozen")</f>
        <v>Diver's Dozen</v>
      </c>
      <c r="H278" s="171" t="str">
        <f>IFERROR(__xludf.DUMMYFUNCTION("""COMPUTED_VALUE"""),"Kill 12 mobs while airborne using Elytra. Stopping flight or touching liquid will reset your progress")</f>
        <v>Kill 12 mobs while airborne using Elytra. Stopping flight or touching liquid will reset your progress</v>
      </c>
      <c r="R278" s="54"/>
      <c r="U278" s="172" t="str">
        <f>IFERROR(__xludf.DUMMYFUNCTION("""COMPUTED_VALUE"""),"")</f>
        <v/>
      </c>
      <c r="V278" s="173" t="str">
        <f>IFERROR(__xludf.DUMMYFUNCTION("""COMPUTED_VALUE"""),"Chorus Fruit")</f>
        <v>Chorus Fruit</v>
      </c>
      <c r="W278" s="174"/>
    </row>
    <row r="279">
      <c r="B279" s="169" t="str">
        <f>IFERROR(__xludf.DUMMYFUNCTION("""COMPUTED_VALUE"""),"")</f>
        <v/>
      </c>
      <c r="D279" s="170" t="str">
        <f>IFERROR(__xludf.DUMMYFUNCTION("""COMPUTED_VALUE"""),"Stack all the Blocks!")</f>
        <v>Stack all the Blocks!</v>
      </c>
      <c r="H279" s="171" t="str">
        <f>IFERROR(__xludf.DUMMYFUNCTION("""COMPUTED_VALUE"""),"Obtain a stack of all the blocks! (Obtain the maximum possible stack size for each block from ""All the Blocks"". See requirement notes below for some exceptions)")</f>
        <v>Obtain a stack of all the blocks! (Obtain the maximum possible stack size for each block from "All the Blocks". See requirement notes below for some exceptions)</v>
      </c>
      <c r="R279" s="54"/>
      <c r="U279" s="172" t="str">
        <f>IFERROR(__xludf.DUMMYFUNCTION("""COMPUTED_VALUE"""),"")</f>
        <v/>
      </c>
      <c r="V279" s="173" t="str">
        <f>IFERROR(__xludf.DUMMYFUNCTION("""COMPUTED_VALUE"""),"Clay")</f>
        <v>Clay</v>
      </c>
      <c r="W279" s="174"/>
    </row>
    <row r="280">
      <c r="B280" s="169" t="str">
        <f>IFERROR(__xludf.DUMMYFUNCTION("""COMPUTED_VALUE"""),"")</f>
        <v/>
      </c>
      <c r="D280" s="170" t="str">
        <f>IFERROR(__xludf.DUMMYFUNCTION("""COMPUTED_VALUE"""),"Stack all the Items!")</f>
        <v>Stack all the Items!</v>
      </c>
      <c r="H280" s="171" t="str">
        <f>IFERROR(__xludf.DUMMYFUNCTION("""COMPUTED_VALUE"""),"Obtain a stack of all the items! (Obtain the maximum possible stack size for each item from ""All the Items"". See requirement notes below for some exceptions)")</f>
        <v>Obtain a stack of all the items! (Obtain the maximum possible stack size for each item from "All the Items". See requirement notes below for some exceptions)</v>
      </c>
      <c r="R280" s="54"/>
      <c r="U280" s="172" t="str">
        <f>IFERROR(__xludf.DUMMYFUNCTION("""COMPUTED_VALUE"""),"")</f>
        <v/>
      </c>
      <c r="V280" s="173" t="str">
        <f>IFERROR(__xludf.DUMMYFUNCTION("""COMPUTED_VALUE"""),"Clay Ball")</f>
        <v>Clay Ball</v>
      </c>
      <c r="W280" s="174"/>
    </row>
    <row r="281">
      <c r="B281" s="169" t="str">
        <f>IFERROR(__xludf.DUMMYFUNCTION("""COMPUTED_VALUE"""),"")</f>
        <v/>
      </c>
      <c r="D281" s="170" t="str">
        <f>IFERROR(__xludf.DUMMYFUNCTION("""COMPUTED_VALUE"""),"Telescopic")</f>
        <v>Telescopic</v>
      </c>
      <c r="H281" s="171" t="str">
        <f>IFERROR(__xludf.DUMMYFUNCTION("""COMPUTED_VALUE"""),"Look at every mob using a Spyglass, each from at least 25 blocks away (See requirement notes below)")</f>
        <v>Look at every mob using a Spyglass, each from at least 25 blocks away (See requirement notes below)</v>
      </c>
      <c r="R281" s="54"/>
      <c r="U281" s="172" t="str">
        <f>IFERROR(__xludf.DUMMYFUNCTION("""COMPUTED_VALUE"""),"")</f>
        <v/>
      </c>
      <c r="V281" s="173" t="str">
        <f>IFERROR(__xludf.DUMMYFUNCTION("""COMPUTED_VALUE"""),"Clock")</f>
        <v>Clock</v>
      </c>
      <c r="W281" s="174"/>
    </row>
    <row r="282">
      <c r="B282" s="169" t="str">
        <f>IFERROR(__xludf.DUMMYFUNCTION("""COMPUTED_VALUE"""),"")</f>
        <v/>
      </c>
      <c r="D282" s="170" t="str">
        <f>IFERROR(__xludf.DUMMYFUNCTION("""COMPUTED_VALUE"""),"Highway to Hell")</f>
        <v>Highway to Hell</v>
      </c>
      <c r="H282" s="171" t="str">
        <f>IFERROR(__xludf.DUMMYFUNCTION("""COMPUTED_VALUE"""),"Send every mob to the Nether... and kill them all there (See requirement notes below)")</f>
        <v>Send every mob to the Nether... and kill them all there (See requirement notes below)</v>
      </c>
      <c r="R282" s="54"/>
      <c r="U282" s="172" t="str">
        <f>IFERROR(__xludf.DUMMYFUNCTION("""COMPUTED_VALUE"""),"")</f>
        <v/>
      </c>
      <c r="V282" s="173" t="str">
        <f>IFERROR(__xludf.DUMMYFUNCTION("""COMPUTED_VALUE"""),"Coal")</f>
        <v>Coal</v>
      </c>
      <c r="W282" s="174"/>
    </row>
    <row r="283">
      <c r="B283" s="169" t="str">
        <f>IFERROR(__xludf.DUMMYFUNCTION("""COMPUTED_VALUE"""),"")</f>
        <v/>
      </c>
      <c r="D283" s="170" t="str">
        <f>IFERROR(__xludf.DUMMYFUNCTION("""COMPUTED_VALUE"""),"Endergeddon")</f>
        <v>Endergeddon</v>
      </c>
      <c r="H283" s="171" t="str">
        <f>IFERROR(__xludf.DUMMYFUNCTION("""COMPUTED_VALUE"""),"Send every mob to the End... and kill them all there (See requirement notes below)")</f>
        <v>Send every mob to the End... and kill them all there (See requirement notes below)</v>
      </c>
      <c r="R283" s="54"/>
      <c r="U283" s="172" t="str">
        <f>IFERROR(__xludf.DUMMYFUNCTION("""COMPUTED_VALUE"""),"")</f>
        <v/>
      </c>
      <c r="V283" s="173" t="str">
        <f>IFERROR(__xludf.DUMMYFUNCTION("""COMPUTED_VALUE"""),"Coal Block")</f>
        <v>Coal Block</v>
      </c>
      <c r="W283" s="174"/>
    </row>
    <row r="284">
      <c r="B284" s="169" t="str">
        <f>IFERROR(__xludf.DUMMYFUNCTION("""COMPUTED_VALUE"""),"")</f>
        <v/>
      </c>
      <c r="D284" s="170" t="str">
        <f>IFERROR(__xludf.DUMMYFUNCTION("""COMPUTED_VALUE"""),"Potion Master")</f>
        <v>Potion Master</v>
      </c>
      <c r="H284" s="171" t="str">
        <f>IFERROR(__xludf.DUMMYFUNCTION("""COMPUTED_VALUE"""),"Kill every mob in the game with splash potions (See requirement notes below)")</f>
        <v>Kill every mob in the game with splash potions (See requirement notes below)</v>
      </c>
      <c r="R284" s="54"/>
      <c r="U284" s="172" t="str">
        <f>IFERROR(__xludf.DUMMYFUNCTION("""COMPUTED_VALUE"""),"")</f>
        <v/>
      </c>
      <c r="V284" s="173" t="str">
        <f>IFERROR(__xludf.DUMMYFUNCTION("""COMPUTED_VALUE"""),"Coal Ore")</f>
        <v>Coal Ore</v>
      </c>
      <c r="W284" s="174"/>
    </row>
    <row r="285">
      <c r="B285" s="169" t="str">
        <f>IFERROR(__xludf.DUMMYFUNCTION("""COMPUTED_VALUE"""),"")</f>
        <v/>
      </c>
      <c r="D285" s="170" t="str">
        <f>IFERROR(__xludf.DUMMYFUNCTION("""COMPUTED_VALUE"""),"Biological Warfare")</f>
        <v>Biological Warfare</v>
      </c>
      <c r="H285" s="171" t="str">
        <f>IFERROR(__xludf.DUMMYFUNCTION("""COMPUTED_VALUE"""),"Kill every mob in the game with lingering potions (See requirement notes below)")</f>
        <v>Kill every mob in the game with lingering potions (See requirement notes below)</v>
      </c>
      <c r="R285" s="54"/>
      <c r="U285" s="172" t="str">
        <f>IFERROR(__xludf.DUMMYFUNCTION("""COMPUTED_VALUE"""),"")</f>
        <v/>
      </c>
      <c r="V285" s="173" t="str">
        <f>IFERROR(__xludf.DUMMYFUNCTION("""COMPUTED_VALUE"""),"Coarse Dirt")</f>
        <v>Coarse Dirt</v>
      </c>
      <c r="W285" s="174"/>
    </row>
    <row r="286">
      <c r="B286" s="169" t="str">
        <f>IFERROR(__xludf.DUMMYFUNCTION("""COMPUTED_VALUE"""),"")</f>
        <v/>
      </c>
      <c r="D286" s="170" t="str">
        <f>IFERROR(__xludf.DUMMYFUNCTION("""COMPUTED_VALUE"""),"Nuclear Fusion")</f>
        <v>Nuclear Fusion</v>
      </c>
      <c r="H286" s="171" t="str">
        <f>IFERROR(__xludf.DUMMYFUNCTION("""COMPUTED_VALUE"""),"Strike every mob that can transform with lightning at once (Strike a Pig, Mooshroom, Villager and Creeper at the same time with the lightning bolt from a Channeling Trident)")</f>
        <v>Strike every mob that can transform with lightning at once (Strike a Pig, Mooshroom, Villager and Creeper at the same time with the lightning bolt from a Channeling Trident)</v>
      </c>
      <c r="R286" s="54"/>
      <c r="U286" s="172" t="str">
        <f>IFERROR(__xludf.DUMMYFUNCTION("""COMPUTED_VALUE"""),"")</f>
        <v/>
      </c>
      <c r="V286" s="173" t="str">
        <f>IFERROR(__xludf.DUMMYFUNCTION("""COMPUTED_VALUE"""),"Coast Armor Trim")</f>
        <v>Coast Armor Trim</v>
      </c>
      <c r="W286" s="174"/>
    </row>
    <row r="287">
      <c r="B287" s="169" t="str">
        <f>IFERROR(__xludf.DUMMYFUNCTION("""COMPUTED_VALUE"""),"")</f>
        <v/>
      </c>
      <c r="D287" s="170" t="str">
        <f>IFERROR(__xludf.DUMMYFUNCTION("""COMPUTED_VALUE"""),"Dragon vs Dragon II")</f>
        <v>Dragon vs Dragon II</v>
      </c>
      <c r="H287" s="171" t="str">
        <f>IFERROR(__xludf.DUMMYFUNCTION("""COMPUTED_VALUE"""),"Defeat the Ender Dragon while wearing a dragon head... without touching the ground (Once the Ender Dragon becomes attackable you must not be touching the ground AND be wearing a Dragon Head for the whole fight, and deal the killing blow. It also resets if"&amp;" you ride any vehicle OR touch water or lava)")</f>
        <v>Defeat the Ender Dragon while wearing a dragon head... without touching the ground (Once the Ender Dragon becomes attackable you must not be touching the ground AND be wearing a Dragon Head for the whole fight, and deal the killing blow. It also resets if you ride any vehicle OR touch water or lava)</v>
      </c>
      <c r="R287" s="54"/>
      <c r="U287" s="172" t="str">
        <f>IFERROR(__xludf.DUMMYFUNCTION("""COMPUTED_VALUE"""),"")</f>
        <v/>
      </c>
      <c r="V287" s="173" t="str">
        <f>IFERROR(__xludf.DUMMYFUNCTION("""COMPUTED_VALUE"""),"Cobbled Deepslate")</f>
        <v>Cobbled Deepslate</v>
      </c>
      <c r="W287" s="174"/>
    </row>
    <row r="288">
      <c r="B288" s="169" t="str">
        <f>IFERROR(__xludf.DUMMYFUNCTION("""COMPUTED_VALUE"""),"")</f>
        <v/>
      </c>
      <c r="D288" s="170" t="str">
        <f>IFERROR(__xludf.DUMMYFUNCTION("""COMPUTED_VALUE"""),"Dragon vs Wither: Pre-Sequel")</f>
        <v>Dragon vs Wither: Pre-Sequel</v>
      </c>
      <c r="H288" s="171" t="str">
        <f>IFERROR(__xludf.DUMMYFUNCTION("""COMPUTED_VALUE"""),"Defeat the Wither while wearing a Dragon head... without touching the ground (Once the Wither becomes attackable you must not be touching the ground AND be wearing a Dragon Head for the whole fight, and deal the killing blow. It also resets if you ride an"&amp;"y vehicle OR touch water, lava or a climbable block such as ladders)")</f>
        <v>Defeat the Wither while wearing a Dragon head... without touching the ground (Once the Wither becomes attackable you must not be touching the ground AND be wearing a Dragon Head for the whole fight, and deal the killing blow. It also resets if you ride any vehicle OR touch water, lava or a climbable block such as ladders)</v>
      </c>
      <c r="R288" s="54"/>
      <c r="U288" s="172" t="str">
        <f>IFERROR(__xludf.DUMMYFUNCTION("""COMPUTED_VALUE"""),"")</f>
        <v/>
      </c>
      <c r="V288" s="173" t="str">
        <f>IFERROR(__xludf.DUMMYFUNCTION("""COMPUTED_VALUE"""),"Cobbled Deepslate Slab")</f>
        <v>Cobbled Deepslate Slab</v>
      </c>
      <c r="W288" s="174"/>
    </row>
    <row r="289">
      <c r="B289" s="169" t="str">
        <f>IFERROR(__xludf.DUMMYFUNCTION("""COMPUTED_VALUE"""),"")</f>
        <v/>
      </c>
      <c r="D289" s="170" t="str">
        <f>IFERROR(__xludf.DUMMYFUNCTION("""COMPUTED_VALUE"""),"The Perfect Run")</f>
        <v>The Perfect Run</v>
      </c>
      <c r="H289" s="171" t="str">
        <f>IFERROR(__xludf.DUMMYFUNCTION("""COMPUTED_VALUE"""),"Summon the Ender Dragon, the Wither, and a Raid within thirty seconds of each other, then defeat all of them without taking damage")</f>
        <v>Summon the Ender Dragon, the Wither, and a Raid within thirty seconds of each other, then defeat all of them without taking damage</v>
      </c>
      <c r="R289" s="54"/>
      <c r="U289" s="172" t="str">
        <f>IFERROR(__xludf.DUMMYFUNCTION("""COMPUTED_VALUE"""),"")</f>
        <v/>
      </c>
      <c r="V289" s="173" t="str">
        <f>IFERROR(__xludf.DUMMYFUNCTION("""COMPUTED_VALUE"""),"Cobbled Deepslate Stairs")</f>
        <v>Cobbled Deepslate Stairs</v>
      </c>
      <c r="W289" s="174"/>
    </row>
    <row r="290">
      <c r="B290" s="169" t="str">
        <f>IFERROR(__xludf.DUMMYFUNCTION("""COMPUTED_VALUE"""),"")</f>
        <v/>
      </c>
      <c r="D290" s="170" t="str">
        <f>IFERROR(__xludf.DUMMYFUNCTION("""COMPUTED_VALUE"""),"Riddle Me This")</f>
        <v>Riddle Me This</v>
      </c>
      <c r="H290" s="171" t="str">
        <f>IFERROR(__xludf.DUMMYFUNCTION("""COMPUTED_VALUE"""),"See below for description and walkthrough (as it is very long)")</f>
        <v>See below for description and walkthrough (as it is very long)</v>
      </c>
      <c r="R290" s="54"/>
      <c r="U290" s="172" t="str">
        <f>IFERROR(__xludf.DUMMYFUNCTION("""COMPUTED_VALUE"""),"")</f>
        <v/>
      </c>
      <c r="V290" s="173" t="str">
        <f>IFERROR(__xludf.DUMMYFUNCTION("""COMPUTED_VALUE"""),"Cobbled Deepslate Wall")</f>
        <v>Cobbled Deepslate Wall</v>
      </c>
      <c r="W290" s="174"/>
    </row>
    <row r="291">
      <c r="B291" s="169" t="str">
        <f>IFERROR(__xludf.DUMMYFUNCTION("""COMPUTED_VALUE"""),"")</f>
        <v/>
      </c>
      <c r="D291" s="170" t="str">
        <f>IFERROR(__xludf.DUMMYFUNCTION("""COMPUTED_VALUE"""),"I am Loot!")</f>
        <v>I am Loot!</v>
      </c>
      <c r="H291" s="171" t="str">
        <f>IFERROR(__xludf.DUMMYFUNCTION("""COMPUTED_VALUE"""),"Open up every type of loot chest (See requirement notes below)")</f>
        <v>Open up every type of loot chest (See requirement notes below)</v>
      </c>
      <c r="R291" s="54"/>
      <c r="U291" s="172" t="str">
        <f>IFERROR(__xludf.DUMMYFUNCTION("""COMPUTED_VALUE"""),"")</f>
        <v/>
      </c>
      <c r="V291" s="173" t="str">
        <f>IFERROR(__xludf.DUMMYFUNCTION("""COMPUTED_VALUE"""),"Cobblestone")</f>
        <v>Cobblestone</v>
      </c>
      <c r="W291" s="174"/>
    </row>
    <row r="292">
      <c r="B292" s="169" t="str">
        <f>IFERROR(__xludf.DUMMYFUNCTION("""COMPUTED_VALUE"""),"")</f>
        <v/>
      </c>
      <c r="D292" s="170" t="str">
        <f>IFERROR(__xludf.DUMMYFUNCTION("""COMPUTED_VALUE"""),"The World Is Ending")</f>
        <v>The World Is Ending</v>
      </c>
      <c r="H292" s="171" t="str">
        <f>IFERROR(__xludf.DUMMYFUNCTION("""COMPUTED_VALUE"""),"Summon ten withers at once (At least ten withers must be in existence up to 128 blocks away from you (checked once every ten seconds))")</f>
        <v>Summon ten withers at once (At least ten withers must be in existence up to 128 blocks away from you (checked once every ten seconds))</v>
      </c>
      <c r="R292" s="54"/>
      <c r="U292" s="172" t="str">
        <f>IFERROR(__xludf.DUMMYFUNCTION("""COMPUTED_VALUE"""),"")</f>
        <v/>
      </c>
      <c r="V292" s="173" t="str">
        <f>IFERROR(__xludf.DUMMYFUNCTION("""COMPUTED_VALUE"""),"Cobblestone Slab")</f>
        <v>Cobblestone Slab</v>
      </c>
      <c r="W292" s="174"/>
    </row>
    <row r="293">
      <c r="B293" s="169" t="str">
        <f>IFERROR(__xludf.DUMMYFUNCTION("""COMPUTED_VALUE"""),"")</f>
        <v/>
      </c>
      <c r="D293" s="170" t="str">
        <f>IFERROR(__xludf.DUMMYFUNCTION("""COMPUTED_VALUE"""),"Overwarden")</f>
        <v>Overwarden</v>
      </c>
      <c r="H293" s="171" t="str">
        <f>IFERROR(__xludf.DUMMYFUNCTION("""COMPUTED_VALUE"""),"Have fifty Wardens present within 100 blocks of you")</f>
        <v>Have fifty Wardens present within 100 blocks of you</v>
      </c>
      <c r="R293" s="54"/>
      <c r="U293" s="172" t="str">
        <f>IFERROR(__xludf.DUMMYFUNCTION("""COMPUTED_VALUE"""),"")</f>
        <v/>
      </c>
      <c r="V293" s="173" t="str">
        <f>IFERROR(__xludf.DUMMYFUNCTION("""COMPUTED_VALUE"""),"Cobblestone Stairs")</f>
        <v>Cobblestone Stairs</v>
      </c>
      <c r="W293" s="174"/>
    </row>
    <row r="294">
      <c r="B294" s="169" t="str">
        <f>IFERROR(__xludf.DUMMYFUNCTION("""COMPUTED_VALUE"""),"")</f>
        <v/>
      </c>
      <c r="D294" s="170" t="str">
        <f>IFERROR(__xludf.DUMMYFUNCTION("""COMPUTED_VALUE"""),"Immortal")</f>
        <v>Immortal</v>
      </c>
      <c r="H294" s="171" t="str">
        <f>IFERROR(__xludf.DUMMYFUNCTION("""COMPUTED_VALUE"""),"Fill your entire inventory with Totems of Undying (All inventory slots, including your hotbar and offhand, must be filled, hence requiring 37 totems of undying)")</f>
        <v>Fill your entire inventory with Totems of Undying (All inventory slots, including your hotbar and offhand, must be filled, hence requiring 37 totems of undying)</v>
      </c>
      <c r="R294" s="54"/>
      <c r="U294" s="172" t="str">
        <f>IFERROR(__xludf.DUMMYFUNCTION("""COMPUTED_VALUE"""),"")</f>
        <v/>
      </c>
      <c r="V294" s="173" t="str">
        <f>IFERROR(__xludf.DUMMYFUNCTION("""COMPUTED_VALUE"""),"Cobblestone Wall")</f>
        <v>Cobblestone Wall</v>
      </c>
      <c r="W294" s="174"/>
    </row>
    <row r="295">
      <c r="B295" s="169" t="str">
        <f>IFERROR(__xludf.DUMMYFUNCTION("""COMPUTED_VALUE"""),"")</f>
        <v/>
      </c>
      <c r="D295" s="170" t="str">
        <f>IFERROR(__xludf.DUMMYFUNCTION("""COMPUTED_VALUE"""),"Death From All")</f>
        <v>Death From All</v>
      </c>
      <c r="H295" s="171" t="str">
        <f>IFERROR(__xludf.DUMMYFUNCTION("""COMPUTED_VALUE"""),"Get killed by every mob that can kill you (See requirement notes below)")</f>
        <v>Get killed by every mob that can kill you (See requirement notes below)</v>
      </c>
      <c r="R295" s="54"/>
      <c r="U295" s="172" t="str">
        <f>IFERROR(__xludf.DUMMYFUNCTION("""COMPUTED_VALUE"""),"")</f>
        <v/>
      </c>
      <c r="V295" s="173" t="str">
        <f>IFERROR(__xludf.DUMMYFUNCTION("""COMPUTED_VALUE"""),"Cobweb")</f>
        <v>Cobweb</v>
      </c>
      <c r="W295" s="174"/>
    </row>
    <row r="296">
      <c r="B296" s="169" t="str">
        <f>IFERROR(__xludf.DUMMYFUNCTION("""COMPUTED_VALUE"""),"")</f>
        <v/>
      </c>
      <c r="D296" s="170" t="str">
        <f>IFERROR(__xludf.DUMMYFUNCTION("""COMPUTED_VALUE"""),"Ultimate Enchanter")</f>
        <v>Ultimate Enchanter</v>
      </c>
      <c r="H296" s="171" t="str">
        <f>IFERROR(__xludf.DUMMYFUNCTION("""COMPUTED_VALUE"""),"Collect every type of enchantment at every level (See requirement notes below)")</f>
        <v>Collect every type of enchantment at every level (See requirement notes below)</v>
      </c>
      <c r="R296" s="54"/>
      <c r="U296" s="172" t="str">
        <f>IFERROR(__xludf.DUMMYFUNCTION("""COMPUTED_VALUE"""),"")</f>
        <v/>
      </c>
      <c r="V296" s="173" t="str">
        <f>IFERROR(__xludf.DUMMYFUNCTION("""COMPUTED_VALUE"""),"Cocoa Beans")</f>
        <v>Cocoa Beans</v>
      </c>
      <c r="W296" s="174"/>
    </row>
    <row r="297">
      <c r="B297" s="169" t="str">
        <f>IFERROR(__xludf.DUMMYFUNCTION("""COMPUTED_VALUE"""),"")</f>
        <v/>
      </c>
      <c r="D297" s="170" t="str">
        <f>IFERROR(__xludf.DUMMYFUNCTION("""COMPUTED_VALUE"""),"Stockbroker")</f>
        <v>Stockbroker</v>
      </c>
      <c r="H297" s="171" t="str">
        <f>IFERROR(__xludf.DUMMYFUNCTION("""COMPUTED_VALUE"""),"Trade with every profession from every biome type (See requirement notes below)")</f>
        <v>Trade with every profession from every biome type (See requirement notes below)</v>
      </c>
      <c r="R297" s="54"/>
      <c r="U297" s="172" t="str">
        <f>IFERROR(__xludf.DUMMYFUNCTION("""COMPUTED_VALUE"""),"")</f>
        <v/>
      </c>
      <c r="V297" s="173" t="str">
        <f>IFERROR(__xludf.DUMMYFUNCTION("""COMPUTED_VALUE"""),"Cod")</f>
        <v>Cod</v>
      </c>
      <c r="W297" s="174"/>
    </row>
    <row r="298">
      <c r="B298" s="169" t="str">
        <f>IFERROR(__xludf.DUMMYFUNCTION("""COMPUTED_VALUE"""),"")</f>
        <v/>
      </c>
      <c r="D298" s="170" t="str">
        <f>IFERROR(__xludf.DUMMYFUNCTION("""COMPUTED_VALUE"""),"Global Vaccination")</f>
        <v>Global Vaccination</v>
      </c>
      <c r="H298" s="171" t="str">
        <f>IFERROR(__xludf.DUMMYFUNCTION("""COMPUTED_VALUE"""),"Cure a zombie villager of every profession... from every biome")</f>
        <v>Cure a zombie villager of every profession... from every biome</v>
      </c>
      <c r="R298" s="54"/>
      <c r="U298" s="172" t="str">
        <f>IFERROR(__xludf.DUMMYFUNCTION("""COMPUTED_VALUE"""),"")</f>
        <v/>
      </c>
      <c r="V298" s="173" t="str">
        <f>IFERROR(__xludf.DUMMYFUNCTION("""COMPUTED_VALUE"""),"Cod Bucket")</f>
        <v>Cod Bucket</v>
      </c>
      <c r="W298" s="174"/>
    </row>
    <row r="299">
      <c r="B299" s="169" t="str">
        <f>IFERROR(__xludf.DUMMYFUNCTION("""COMPUTED_VALUE"""),"")</f>
        <v/>
      </c>
      <c r="D299" s="170" t="str">
        <f>IFERROR(__xludf.DUMMYFUNCTION("""COMPUTED_VALUE"""),"How Did We Get Here?")</f>
        <v>How Did We Get Here?</v>
      </c>
      <c r="H299" s="171" t="str">
        <f>IFERROR(__xludf.DUMMYFUNCTION("""COMPUTED_VALUE"""),"Have every effect applied at the same time (See requirement notes below)")</f>
        <v>Have every effect applied at the same time (See requirement notes below)</v>
      </c>
      <c r="R299" s="54"/>
      <c r="U299" s="172" t="str">
        <f>IFERROR(__xludf.DUMMYFUNCTION("""COMPUTED_VALUE"""),"")</f>
        <v/>
      </c>
      <c r="V299" s="173" t="str">
        <f>IFERROR(__xludf.DUMMYFUNCTION("""COMPUTED_VALUE"""),"Comparator")</f>
        <v>Comparator</v>
      </c>
      <c r="W299" s="174"/>
    </row>
    <row r="300">
      <c r="B300" s="169" t="str">
        <f>IFERROR(__xludf.DUMMYFUNCTION("""COMPUTED_VALUE"""),"")</f>
        <v/>
      </c>
      <c r="D300" s="170" t="str">
        <f>IFERROR(__xludf.DUMMYFUNCTION("""COMPUTED_VALUE"""),"Ad Astra")</f>
        <v>Ad Astra</v>
      </c>
      <c r="H300" s="171" t="str">
        <f>IFERROR(__xludf.DUMMYFUNCTION("""COMPUTED_VALUE"""),"Reach an altitude of 10,000 blocks above the world (Be above y=10,000)")</f>
        <v>Reach an altitude of 10,000 blocks above the world (Be above y=10,000)</v>
      </c>
      <c r="R300" s="54"/>
      <c r="U300" s="172" t="str">
        <f>IFERROR(__xludf.DUMMYFUNCTION("""COMPUTED_VALUE"""),"")</f>
        <v/>
      </c>
      <c r="V300" s="173" t="str">
        <f>IFERROR(__xludf.DUMMYFUNCTION("""COMPUTED_VALUE"""),"Compass")</f>
        <v>Compass</v>
      </c>
      <c r="W300" s="174"/>
    </row>
    <row r="301">
      <c r="B301" s="169" t="str">
        <f>IFERROR(__xludf.DUMMYFUNCTION("""COMPUTED_VALUE"""),"")</f>
        <v/>
      </c>
      <c r="D301" s="170" t="str">
        <f>IFERROR(__xludf.DUMMYFUNCTION("""COMPUTED_VALUE"""),"I'm in Space!")</f>
        <v>I'm in Space!</v>
      </c>
      <c r="H301" s="171" t="str">
        <f>IFERROR(__xludf.DUMMYFUNCTION("""COMPUTED_VALUE"""),"Levitate up a distance of 256 blocks")</f>
        <v>Levitate up a distance of 256 blocks</v>
      </c>
      <c r="R301" s="54"/>
      <c r="U301" s="172" t="str">
        <f>IFERROR(__xludf.DUMMYFUNCTION("""COMPUTED_VALUE"""),"")</f>
        <v/>
      </c>
      <c r="V301" s="173" t="str">
        <f>IFERROR(__xludf.DUMMYFUNCTION("""COMPUTED_VALUE"""),"Composter")</f>
        <v>Composter</v>
      </c>
      <c r="W301" s="174"/>
    </row>
    <row r="302">
      <c r="B302" s="169" t="str">
        <f>IFERROR(__xludf.DUMMYFUNCTION("""COMPUTED_VALUE"""),"")</f>
        <v/>
      </c>
      <c r="D302" s="170" t="str">
        <f>IFERROR(__xludf.DUMMYFUNCTION("""COMPUTED_VALUE"""),"A Million Blocks Away")</f>
        <v>A Million Blocks Away</v>
      </c>
      <c r="H302" s="171" t="str">
        <f>IFERROR(__xludf.DUMMYFUNCTION("""COMPUTED_VALUE"""),"Travel a million blocks away from spawn")</f>
        <v>Travel a million blocks away from spawn</v>
      </c>
      <c r="R302" s="54"/>
      <c r="U302" s="172" t="str">
        <f>IFERROR(__xludf.DUMMYFUNCTION("""COMPUTED_VALUE"""),"")</f>
        <v/>
      </c>
      <c r="V302" s="173" t="str">
        <f>IFERROR(__xludf.DUMMYFUNCTION("""COMPUTED_VALUE"""),"Conduit")</f>
        <v>Conduit</v>
      </c>
      <c r="W302" s="174"/>
    </row>
    <row r="303">
      <c r="B303" s="169" t="str">
        <f>IFERROR(__xludf.DUMMYFUNCTION("""COMPUTED_VALUE"""),"")</f>
        <v/>
      </c>
      <c r="D303" s="170" t="str">
        <f>IFERROR(__xludf.DUMMYFUNCTION("""COMPUTED_VALUE"""),"Explorer of Worlds")</f>
        <v>Explorer of Worlds</v>
      </c>
      <c r="H303" s="171" t="str">
        <f>IFERROR(__xludf.DUMMYFUNCTION("""COMPUTED_VALUE"""),"Discover every biome in every dimension (See requirement notes below)")</f>
        <v>Discover every biome in every dimension (See requirement notes below)</v>
      </c>
      <c r="R303" s="54"/>
      <c r="U303" s="172" t="str">
        <f>IFERROR(__xludf.DUMMYFUNCTION("""COMPUTED_VALUE"""),"")</f>
        <v/>
      </c>
      <c r="V303" s="173" t="str">
        <f>IFERROR(__xludf.DUMMYFUNCTION("""COMPUTED_VALUE"""),"Cooked Beef")</f>
        <v>Cooked Beef</v>
      </c>
      <c r="W303" s="174"/>
    </row>
    <row r="304">
      <c r="B304" s="169" t="str">
        <f>IFERROR(__xludf.DUMMYFUNCTION("""COMPUTED_VALUE"""),"")</f>
        <v/>
      </c>
      <c r="D304" s="170" t="str">
        <f>IFERROR(__xludf.DUMMYFUNCTION("""COMPUTED_VALUE"""),"Top of the World")</f>
        <v>Top of the World</v>
      </c>
      <c r="H304" s="171" t="str">
        <f>IFERROR(__xludf.DUMMYFUNCTION("""COMPUTED_VALUE"""),"Place scaffolding to the world limit (Place scaffolding at y=319 in the Overworld or y=255 in the Nether or End)")</f>
        <v>Place scaffolding to the world limit (Place scaffolding at y=319 in the Overworld or y=255 in the Nether or End)</v>
      </c>
      <c r="R304" s="54"/>
      <c r="U304" s="172" t="str">
        <f>IFERROR(__xludf.DUMMYFUNCTION("""COMPUTED_VALUE"""),"")</f>
        <v/>
      </c>
      <c r="V304" s="173" t="str">
        <f>IFERROR(__xludf.DUMMYFUNCTION("""COMPUTED_VALUE"""),"Cooked Chicken")</f>
        <v>Cooked Chicken</v>
      </c>
      <c r="W304" s="174"/>
    </row>
    <row r="305">
      <c r="B305" s="169" t="str">
        <f>IFERROR(__xludf.DUMMYFUNCTION("""COMPUTED_VALUE"""),"")</f>
        <v/>
      </c>
      <c r="D305" s="170" t="str">
        <f>IFERROR(__xludf.DUMMYFUNCTION("""COMPUTED_VALUE"""),"Pandamonium")</f>
        <v>Pandamonium</v>
      </c>
      <c r="H305" s="171" t="str">
        <f>IFERROR(__xludf.DUMMYFUNCTION("""COMPUTED_VALUE"""),"Feed cake to every type of panda (Have all seven panda personalities pick up cake that you dropped on the ground)")</f>
        <v>Feed cake to every type of panda (Have all seven panda personalities pick up cake that you dropped on the ground)</v>
      </c>
      <c r="R305" s="54"/>
      <c r="U305" s="172" t="str">
        <f>IFERROR(__xludf.DUMMYFUNCTION("""COMPUTED_VALUE"""),"")</f>
        <v/>
      </c>
      <c r="V305" s="173" t="str">
        <f>IFERROR(__xludf.DUMMYFUNCTION("""COMPUTED_VALUE"""),"Cooked Cod")</f>
        <v>Cooked Cod</v>
      </c>
      <c r="W305" s="174"/>
    </row>
    <row r="306">
      <c r="B306" s="169" t="str">
        <f>IFERROR(__xludf.DUMMYFUNCTION("""COMPUTED_VALUE"""),"")</f>
        <v/>
      </c>
      <c r="D306" s="170" t="str">
        <f>IFERROR(__xludf.DUMMYFUNCTION("""COMPUTED_VALUE"""),"Light as a Rabbit")</f>
        <v>Light as a Rabbit</v>
      </c>
      <c r="H306" s="171" t="str">
        <f>IFERROR(__xludf.DUMMYFUNCTION("""COMPUTED_VALUE"""),"Walk on Powder Snow… without sinking in it (Walk on powder snow while wearing Leather Boots)")</f>
        <v>Walk on Powder Snow… without sinking in it (Walk on powder snow while wearing Leather Boots)</v>
      </c>
      <c r="R306" s="54"/>
      <c r="U306" s="172" t="str">
        <f>IFERROR(__xludf.DUMMYFUNCTION("""COMPUTED_VALUE"""),"")</f>
        <v/>
      </c>
      <c r="V306" s="173" t="str">
        <f>IFERROR(__xludf.DUMMYFUNCTION("""COMPUTED_VALUE"""),"Cooked Mutton")</f>
        <v>Cooked Mutton</v>
      </c>
      <c r="W306" s="174"/>
    </row>
    <row r="307">
      <c r="B307" s="169" t="str">
        <f>IFERROR(__xludf.DUMMYFUNCTION("""COMPUTED_VALUE"""),"")</f>
        <v/>
      </c>
      <c r="D307" s="170" t="str">
        <f>IFERROR(__xludf.DUMMYFUNCTION("""COMPUTED_VALUE"""),"Captain America")</f>
        <v>Captain America</v>
      </c>
      <c r="H307" s="171" t="str">
        <f>IFERROR(__xludf.DUMMYFUNCTION("""COMPUTED_VALUE"""),"Get completely frozen inside two blocks of Powder Snow for a loooong time. Big question is: Can you do this all day? (For 20 minutes in a row, stand inside two blocks of Powder Snow (one at your feet, one at your head) without wearing any leather armor (s"&amp;"uch that you're taking damage from freezing))")</f>
        <v>Get completely frozen inside two blocks of Powder Snow for a loooong time. Big question is: Can you do this all day? (For 20 minutes in a row, stand inside two blocks of Powder Snow (one at your feet, one at your head) without wearing any leather armor (such that you're taking damage from freezing))</v>
      </c>
      <c r="R307" s="54"/>
      <c r="U307" s="172" t="str">
        <f>IFERROR(__xludf.DUMMYFUNCTION("""COMPUTED_VALUE"""),"")</f>
        <v/>
      </c>
      <c r="V307" s="173" t="str">
        <f>IFERROR(__xludf.DUMMYFUNCTION("""COMPUTED_VALUE"""),"Cooked Porkchop")</f>
        <v>Cooked Porkchop</v>
      </c>
      <c r="W307" s="174"/>
    </row>
    <row r="308">
      <c r="B308" s="169" t="str">
        <f>IFERROR(__xludf.DUMMYFUNCTION("""COMPUTED_VALUE"""),"")</f>
        <v/>
      </c>
      <c r="D308" s="170" t="str">
        <f>IFERROR(__xludf.DUMMYFUNCTION("""COMPUTED_VALUE"""),"Sleep with the Fishes")</f>
        <v>Sleep with the Fishes</v>
      </c>
      <c r="H308" s="171" t="str">
        <f>IFERROR(__xludf.DUMMYFUNCTION("""COMPUTED_VALUE"""),"Spend a day underwater (See warning below)")</f>
        <v>Spend a day underwater (See warning below)</v>
      </c>
      <c r="R308" s="54"/>
      <c r="U308" s="172" t="str">
        <f>IFERROR(__xludf.DUMMYFUNCTION("""COMPUTED_VALUE"""),"")</f>
        <v/>
      </c>
      <c r="V308" s="173" t="str">
        <f>IFERROR(__xludf.DUMMYFUNCTION("""COMPUTED_VALUE"""),"Cooked Rabbit")</f>
        <v>Cooked Rabbit</v>
      </c>
      <c r="W308" s="174"/>
    </row>
    <row r="309">
      <c r="B309" s="169" t="str">
        <f>IFERROR(__xludf.DUMMYFUNCTION("""COMPUTED_VALUE"""),"")</f>
        <v/>
      </c>
      <c r="D309" s="170" t="str">
        <f>IFERROR(__xludf.DUMMYFUNCTION("""COMPUTED_VALUE"""),"Cargo Carrier")</f>
        <v>Cargo Carrier</v>
      </c>
      <c r="H309" s="171" t="str">
        <f>IFERROR(__xludf.DUMMYFUNCTION("""COMPUTED_VALUE"""),"Ride a Boat with a Chest in it (Enter a chest boat)")</f>
        <v>Ride a Boat with a Chest in it (Enter a chest boat)</v>
      </c>
      <c r="R309" s="54"/>
      <c r="U309" s="172" t="str">
        <f>IFERROR(__xludf.DUMMYFUNCTION("""COMPUTED_VALUE"""),"")</f>
        <v/>
      </c>
      <c r="V309" s="173" t="str">
        <f>IFERROR(__xludf.DUMMYFUNCTION("""COMPUTED_VALUE"""),"Cooked Salmon")</f>
        <v>Cooked Salmon</v>
      </c>
      <c r="W309" s="174"/>
    </row>
    <row r="310">
      <c r="B310" s="169" t="str">
        <f>IFERROR(__xludf.DUMMYFUNCTION("""COMPUTED_VALUE"""),"")</f>
        <v/>
      </c>
      <c r="D310" s="170" t="str">
        <f>IFERROR(__xludf.DUMMYFUNCTION("""COMPUTED_VALUE"""),"Echolocation")</f>
        <v>Echolocation</v>
      </c>
      <c r="H310" s="171" t="str">
        <f>IFERROR(__xludf.DUMMYFUNCTION("""COMPUTED_VALUE"""),"Feed a dolphin fish to have it lead you to treasure")</f>
        <v>Feed a dolphin fish to have it lead you to treasure</v>
      </c>
      <c r="R310" s="54"/>
      <c r="U310" s="172" t="str">
        <f>IFERROR(__xludf.DUMMYFUNCTION("""COMPUTED_VALUE"""),"")</f>
        <v/>
      </c>
      <c r="V310" s="173" t="str">
        <f>IFERROR(__xludf.DUMMYFUNCTION("""COMPUTED_VALUE"""),"Cookie")</f>
        <v>Cookie</v>
      </c>
      <c r="W310" s="174"/>
    </row>
    <row r="311">
      <c r="B311" s="169" t="str">
        <f>IFERROR(__xludf.DUMMYFUNCTION("""COMPUTED_VALUE"""),"")</f>
        <v/>
      </c>
      <c r="D311" s="170" t="str">
        <f>IFERROR(__xludf.DUMMYFUNCTION("""COMPUTED_VALUE"""),"Boatception")</f>
        <v>Boatception</v>
      </c>
      <c r="H311" s="171" t="str">
        <f>IFERROR(__xludf.DUMMYFUNCTION("""COMPUTED_VALUE"""),"Get in a boat within a shipwreck (Start riding a boat that is inside a shipwreck)")</f>
        <v>Get in a boat within a shipwreck (Start riding a boat that is inside a shipwreck)</v>
      </c>
      <c r="R311" s="54"/>
      <c r="U311" s="172" t="str">
        <f>IFERROR(__xludf.DUMMYFUNCTION("""COMPUTED_VALUE"""),"")</f>
        <v/>
      </c>
      <c r="V311" s="173" t="str">
        <f>IFERROR(__xludf.DUMMYFUNCTION("""COMPUTED_VALUE"""),"Copper Block")</f>
        <v>Copper Block</v>
      </c>
      <c r="W311" s="174"/>
    </row>
    <row r="312">
      <c r="B312" s="175"/>
      <c r="R312" s="176"/>
      <c r="U312" s="172" t="str">
        <f>IFERROR(__xludf.DUMMYFUNCTION("""COMPUTED_VALUE"""),"")</f>
        <v/>
      </c>
      <c r="V312" s="173" t="str">
        <f>IFERROR(__xludf.DUMMYFUNCTION("""COMPUTED_VALUE"""),"Copper Bulb")</f>
        <v>Copper Bulb</v>
      </c>
      <c r="W312" s="174"/>
    </row>
    <row r="313">
      <c r="B313" s="175"/>
      <c r="R313" s="176"/>
      <c r="U313" s="172" t="str">
        <f>IFERROR(__xludf.DUMMYFUNCTION("""COMPUTED_VALUE"""),"")</f>
        <v/>
      </c>
      <c r="V313" s="173" t="str">
        <f>IFERROR(__xludf.DUMMYFUNCTION("""COMPUTED_VALUE"""),"Copper Door")</f>
        <v>Copper Door</v>
      </c>
      <c r="W313" s="174"/>
    </row>
    <row r="314">
      <c r="B314" s="175"/>
      <c r="R314" s="176"/>
      <c r="U314" s="172" t="str">
        <f>IFERROR(__xludf.DUMMYFUNCTION("""COMPUTED_VALUE"""),"")</f>
        <v/>
      </c>
      <c r="V314" s="173" t="str">
        <f>IFERROR(__xludf.DUMMYFUNCTION("""COMPUTED_VALUE"""),"Copper Grate")</f>
        <v>Copper Grate</v>
      </c>
      <c r="W314" s="174"/>
    </row>
    <row r="315">
      <c r="B315" s="175"/>
      <c r="R315" s="176"/>
      <c r="U315" s="172" t="str">
        <f>IFERROR(__xludf.DUMMYFUNCTION("""COMPUTED_VALUE"""),"")</f>
        <v/>
      </c>
      <c r="V315" s="173" t="str">
        <f>IFERROR(__xludf.DUMMYFUNCTION("""COMPUTED_VALUE"""),"Copper Ingot")</f>
        <v>Copper Ingot</v>
      </c>
      <c r="W315" s="174"/>
    </row>
    <row r="316">
      <c r="B316" s="175"/>
      <c r="R316" s="176"/>
      <c r="U316" s="172" t="str">
        <f>IFERROR(__xludf.DUMMYFUNCTION("""COMPUTED_VALUE"""),"")</f>
        <v/>
      </c>
      <c r="V316" s="173" t="str">
        <f>IFERROR(__xludf.DUMMYFUNCTION("""COMPUTED_VALUE"""),"Copper Ore")</f>
        <v>Copper Ore</v>
      </c>
      <c r="W316" s="174"/>
    </row>
    <row r="317">
      <c r="B317" s="175"/>
      <c r="R317" s="176"/>
      <c r="U317" s="172" t="str">
        <f>IFERROR(__xludf.DUMMYFUNCTION("""COMPUTED_VALUE"""),"")</f>
        <v/>
      </c>
      <c r="V317" s="173" t="str">
        <f>IFERROR(__xludf.DUMMYFUNCTION("""COMPUTED_VALUE"""),"Copper Trapdoor")</f>
        <v>Copper Trapdoor</v>
      </c>
      <c r="W317" s="174"/>
    </row>
    <row r="318">
      <c r="B318" s="175"/>
      <c r="R318" s="176"/>
      <c r="U318" s="172" t="str">
        <f>IFERROR(__xludf.DUMMYFUNCTION("""COMPUTED_VALUE"""),"")</f>
        <v/>
      </c>
      <c r="V318" s="173" t="str">
        <f>IFERROR(__xludf.DUMMYFUNCTION("""COMPUTED_VALUE"""),"Cornflower")</f>
        <v>Cornflower</v>
      </c>
      <c r="W318" s="174"/>
    </row>
    <row r="319">
      <c r="B319" s="175"/>
      <c r="R319" s="176"/>
      <c r="U319" s="172" t="str">
        <f>IFERROR(__xludf.DUMMYFUNCTION("""COMPUTED_VALUE"""),"")</f>
        <v/>
      </c>
      <c r="V319" s="173" t="str">
        <f>IFERROR(__xludf.DUMMYFUNCTION("""COMPUTED_VALUE"""),"Cracked Deepslate Bricks")</f>
        <v>Cracked Deepslate Bricks</v>
      </c>
      <c r="W319" s="174"/>
    </row>
    <row r="320">
      <c r="B320" s="175"/>
      <c r="R320" s="176"/>
      <c r="U320" s="172" t="str">
        <f>IFERROR(__xludf.DUMMYFUNCTION("""COMPUTED_VALUE"""),"")</f>
        <v/>
      </c>
      <c r="V320" s="173" t="str">
        <f>IFERROR(__xludf.DUMMYFUNCTION("""COMPUTED_VALUE"""),"Cracked Deepslate Tiles")</f>
        <v>Cracked Deepslate Tiles</v>
      </c>
      <c r="W320" s="174"/>
    </row>
    <row r="321">
      <c r="B321" s="175"/>
      <c r="R321" s="176"/>
      <c r="U321" s="172" t="str">
        <f>IFERROR(__xludf.DUMMYFUNCTION("""COMPUTED_VALUE"""),"")</f>
        <v/>
      </c>
      <c r="V321" s="173" t="str">
        <f>IFERROR(__xludf.DUMMYFUNCTION("""COMPUTED_VALUE"""),"Cracked Nether Bricks")</f>
        <v>Cracked Nether Bricks</v>
      </c>
      <c r="W321" s="174"/>
    </row>
    <row r="322">
      <c r="B322" s="175"/>
      <c r="R322" s="176"/>
      <c r="U322" s="172" t="str">
        <f>IFERROR(__xludf.DUMMYFUNCTION("""COMPUTED_VALUE"""),"")</f>
        <v/>
      </c>
      <c r="V322" s="173" t="str">
        <f>IFERROR(__xludf.DUMMYFUNCTION("""COMPUTED_VALUE"""),"Cracked Polished Blackstone Bricks")</f>
        <v>Cracked Polished Blackstone Bricks</v>
      </c>
      <c r="W322" s="174"/>
    </row>
    <row r="323">
      <c r="B323" s="175"/>
      <c r="R323" s="176"/>
      <c r="U323" s="172" t="str">
        <f>IFERROR(__xludf.DUMMYFUNCTION("""COMPUTED_VALUE"""),"")</f>
        <v/>
      </c>
      <c r="V323" s="173" t="str">
        <f>IFERROR(__xludf.DUMMYFUNCTION("""COMPUTED_VALUE"""),"Cracked Stone Bricks")</f>
        <v>Cracked Stone Bricks</v>
      </c>
      <c r="W323" s="174"/>
    </row>
    <row r="324">
      <c r="B324" s="175"/>
      <c r="R324" s="176"/>
      <c r="U324" s="172" t="str">
        <f>IFERROR(__xludf.DUMMYFUNCTION("""COMPUTED_VALUE"""),"")</f>
        <v/>
      </c>
      <c r="V324" s="173" t="str">
        <f>IFERROR(__xludf.DUMMYFUNCTION("""COMPUTED_VALUE"""),"Crafter")</f>
        <v>Crafter</v>
      </c>
      <c r="W324" s="174"/>
    </row>
    <row r="325">
      <c r="B325" s="175"/>
      <c r="R325" s="176"/>
      <c r="U325" s="172" t="str">
        <f>IFERROR(__xludf.DUMMYFUNCTION("""COMPUTED_VALUE"""),"")</f>
        <v/>
      </c>
      <c r="V325" s="173" t="str">
        <f>IFERROR(__xludf.DUMMYFUNCTION("""COMPUTED_VALUE"""),"Crafting Table")</f>
        <v>Crafting Table</v>
      </c>
      <c r="W325" s="174"/>
    </row>
    <row r="326">
      <c r="B326" s="175"/>
      <c r="R326" s="176"/>
      <c r="U326" s="172" t="str">
        <f>IFERROR(__xludf.DUMMYFUNCTION("""COMPUTED_VALUE"""),"")</f>
        <v/>
      </c>
      <c r="V326" s="173" t="str">
        <f>IFERROR(__xludf.DUMMYFUNCTION("""COMPUTED_VALUE"""),"Creeper Banner Pattern")</f>
        <v>Creeper Banner Pattern</v>
      </c>
      <c r="W326" s="174"/>
    </row>
    <row r="327">
      <c r="B327" s="175"/>
      <c r="R327" s="176"/>
      <c r="U327" s="172" t="str">
        <f>IFERROR(__xludf.DUMMYFUNCTION("""COMPUTED_VALUE"""),"")</f>
        <v/>
      </c>
      <c r="V327" s="173" t="str">
        <f>IFERROR(__xludf.DUMMYFUNCTION("""COMPUTED_VALUE"""),"Creeper Head")</f>
        <v>Creeper Head</v>
      </c>
      <c r="W327" s="174"/>
    </row>
    <row r="328">
      <c r="B328" s="175"/>
      <c r="R328" s="176"/>
      <c r="U328" s="172" t="str">
        <f>IFERROR(__xludf.DUMMYFUNCTION("""COMPUTED_VALUE"""),"")</f>
        <v/>
      </c>
      <c r="V328" s="173" t="str">
        <f>IFERROR(__xludf.DUMMYFUNCTION("""COMPUTED_VALUE"""),"Crimson Button")</f>
        <v>Crimson Button</v>
      </c>
      <c r="W328" s="174"/>
    </row>
    <row r="329">
      <c r="B329" s="175"/>
      <c r="R329" s="176"/>
      <c r="U329" s="172" t="str">
        <f>IFERROR(__xludf.DUMMYFUNCTION("""COMPUTED_VALUE"""),"")</f>
        <v/>
      </c>
      <c r="V329" s="173" t="str">
        <f>IFERROR(__xludf.DUMMYFUNCTION("""COMPUTED_VALUE"""),"Crimson Door")</f>
        <v>Crimson Door</v>
      </c>
      <c r="W329" s="174"/>
    </row>
    <row r="330">
      <c r="B330" s="175"/>
      <c r="R330" s="176"/>
      <c r="U330" s="172" t="str">
        <f>IFERROR(__xludf.DUMMYFUNCTION("""COMPUTED_VALUE"""),"")</f>
        <v/>
      </c>
      <c r="V330" s="173" t="str">
        <f>IFERROR(__xludf.DUMMYFUNCTION("""COMPUTED_VALUE"""),"Crimson Fence")</f>
        <v>Crimson Fence</v>
      </c>
      <c r="W330" s="174"/>
    </row>
    <row r="331">
      <c r="B331" s="175"/>
      <c r="R331" s="176"/>
      <c r="U331" s="172" t="str">
        <f>IFERROR(__xludf.DUMMYFUNCTION("""COMPUTED_VALUE"""),"")</f>
        <v/>
      </c>
      <c r="V331" s="173" t="str">
        <f>IFERROR(__xludf.DUMMYFUNCTION("""COMPUTED_VALUE"""),"Crimson Fence Gate")</f>
        <v>Crimson Fence Gate</v>
      </c>
      <c r="W331" s="174"/>
    </row>
    <row r="332">
      <c r="B332" s="175"/>
      <c r="R332" s="176"/>
      <c r="U332" s="172" t="str">
        <f>IFERROR(__xludf.DUMMYFUNCTION("""COMPUTED_VALUE"""),"")</f>
        <v/>
      </c>
      <c r="V332" s="173" t="str">
        <f>IFERROR(__xludf.DUMMYFUNCTION("""COMPUTED_VALUE"""),"Crimson Fungus")</f>
        <v>Crimson Fungus</v>
      </c>
      <c r="W332" s="174"/>
    </row>
    <row r="333">
      <c r="B333" s="175"/>
      <c r="R333" s="176"/>
      <c r="U333" s="172" t="str">
        <f>IFERROR(__xludf.DUMMYFUNCTION("""COMPUTED_VALUE"""),"")</f>
        <v/>
      </c>
      <c r="V333" s="173" t="str">
        <f>IFERROR(__xludf.DUMMYFUNCTION("""COMPUTED_VALUE"""),"Crimson Hanging Sign")</f>
        <v>Crimson Hanging Sign</v>
      </c>
      <c r="W333" s="174"/>
    </row>
    <row r="334">
      <c r="B334" s="175"/>
      <c r="R334" s="176"/>
      <c r="U334" s="172" t="str">
        <f>IFERROR(__xludf.DUMMYFUNCTION("""COMPUTED_VALUE"""),"")</f>
        <v/>
      </c>
      <c r="V334" s="173" t="str">
        <f>IFERROR(__xludf.DUMMYFUNCTION("""COMPUTED_VALUE"""),"Crimson Hyphae")</f>
        <v>Crimson Hyphae</v>
      </c>
      <c r="W334" s="174"/>
    </row>
    <row r="335">
      <c r="B335" s="175"/>
      <c r="R335" s="176"/>
      <c r="U335" s="172" t="str">
        <f>IFERROR(__xludf.DUMMYFUNCTION("""COMPUTED_VALUE"""),"")</f>
        <v/>
      </c>
      <c r="V335" s="173" t="str">
        <f>IFERROR(__xludf.DUMMYFUNCTION("""COMPUTED_VALUE"""),"Crimson Nylium")</f>
        <v>Crimson Nylium</v>
      </c>
      <c r="W335" s="174"/>
    </row>
    <row r="336">
      <c r="B336" s="175"/>
      <c r="R336" s="176"/>
      <c r="U336" s="172" t="str">
        <f>IFERROR(__xludf.DUMMYFUNCTION("""COMPUTED_VALUE"""),"")</f>
        <v/>
      </c>
      <c r="V336" s="173" t="str">
        <f>IFERROR(__xludf.DUMMYFUNCTION("""COMPUTED_VALUE"""),"Crimson Planks")</f>
        <v>Crimson Planks</v>
      </c>
      <c r="W336" s="174"/>
    </row>
    <row r="337">
      <c r="B337" s="175"/>
      <c r="R337" s="176"/>
      <c r="U337" s="172" t="str">
        <f>IFERROR(__xludf.DUMMYFUNCTION("""COMPUTED_VALUE"""),"")</f>
        <v/>
      </c>
      <c r="V337" s="173" t="str">
        <f>IFERROR(__xludf.DUMMYFUNCTION("""COMPUTED_VALUE"""),"Crimson Pressure Plate")</f>
        <v>Crimson Pressure Plate</v>
      </c>
      <c r="W337" s="174"/>
    </row>
    <row r="338">
      <c r="B338" s="175"/>
      <c r="R338" s="176"/>
      <c r="U338" s="172" t="str">
        <f>IFERROR(__xludf.DUMMYFUNCTION("""COMPUTED_VALUE"""),"")</f>
        <v/>
      </c>
      <c r="V338" s="173" t="str">
        <f>IFERROR(__xludf.DUMMYFUNCTION("""COMPUTED_VALUE"""),"Crimson Roots")</f>
        <v>Crimson Roots</v>
      </c>
      <c r="W338" s="174"/>
    </row>
    <row r="339">
      <c r="B339" s="175"/>
      <c r="R339" s="176"/>
      <c r="U339" s="172" t="str">
        <f>IFERROR(__xludf.DUMMYFUNCTION("""COMPUTED_VALUE"""),"")</f>
        <v/>
      </c>
      <c r="V339" s="173" t="str">
        <f>IFERROR(__xludf.DUMMYFUNCTION("""COMPUTED_VALUE"""),"Crimson Sign")</f>
        <v>Crimson Sign</v>
      </c>
      <c r="W339" s="174"/>
    </row>
    <row r="340">
      <c r="B340" s="175"/>
      <c r="R340" s="176"/>
      <c r="U340" s="172" t="str">
        <f>IFERROR(__xludf.DUMMYFUNCTION("""COMPUTED_VALUE"""),"")</f>
        <v/>
      </c>
      <c r="V340" s="173" t="str">
        <f>IFERROR(__xludf.DUMMYFUNCTION("""COMPUTED_VALUE"""),"Crimson Slab")</f>
        <v>Crimson Slab</v>
      </c>
      <c r="W340" s="174"/>
    </row>
    <row r="341">
      <c r="B341" s="175"/>
      <c r="R341" s="176"/>
      <c r="U341" s="172" t="str">
        <f>IFERROR(__xludf.DUMMYFUNCTION("""COMPUTED_VALUE"""),"")</f>
        <v/>
      </c>
      <c r="V341" s="173" t="str">
        <f>IFERROR(__xludf.DUMMYFUNCTION("""COMPUTED_VALUE"""),"Crimson Stairs")</f>
        <v>Crimson Stairs</v>
      </c>
      <c r="W341" s="174"/>
    </row>
    <row r="342">
      <c r="B342" s="175"/>
      <c r="R342" s="176"/>
      <c r="U342" s="172" t="str">
        <f>IFERROR(__xludf.DUMMYFUNCTION("""COMPUTED_VALUE"""),"")</f>
        <v/>
      </c>
      <c r="V342" s="173" t="str">
        <f>IFERROR(__xludf.DUMMYFUNCTION("""COMPUTED_VALUE"""),"Crimson Stem")</f>
        <v>Crimson Stem</v>
      </c>
      <c r="W342" s="174"/>
    </row>
    <row r="343">
      <c r="B343" s="175"/>
      <c r="R343" s="176"/>
      <c r="U343" s="172" t="str">
        <f>IFERROR(__xludf.DUMMYFUNCTION("""COMPUTED_VALUE"""),"")</f>
        <v/>
      </c>
      <c r="V343" s="173" t="str">
        <f>IFERROR(__xludf.DUMMYFUNCTION("""COMPUTED_VALUE"""),"Crimson Trapdoor")</f>
        <v>Crimson Trapdoor</v>
      </c>
      <c r="W343" s="174"/>
    </row>
    <row r="344">
      <c r="B344" s="175"/>
      <c r="R344" s="176"/>
      <c r="U344" s="172" t="str">
        <f>IFERROR(__xludf.DUMMYFUNCTION("""COMPUTED_VALUE"""),"")</f>
        <v/>
      </c>
      <c r="V344" s="173" t="str">
        <f>IFERROR(__xludf.DUMMYFUNCTION("""COMPUTED_VALUE"""),"Crossbow")</f>
        <v>Crossbow</v>
      </c>
      <c r="W344" s="174"/>
    </row>
    <row r="345">
      <c r="B345" s="175"/>
      <c r="R345" s="176"/>
      <c r="U345" s="172" t="str">
        <f>IFERROR(__xludf.DUMMYFUNCTION("""COMPUTED_VALUE"""),"")</f>
        <v/>
      </c>
      <c r="V345" s="173" t="str">
        <f>IFERROR(__xludf.DUMMYFUNCTION("""COMPUTED_VALUE"""),"Crying Obsidian")</f>
        <v>Crying Obsidian</v>
      </c>
      <c r="W345" s="174"/>
    </row>
    <row r="346">
      <c r="B346" s="175"/>
      <c r="R346" s="176"/>
      <c r="U346" s="172" t="str">
        <f>IFERROR(__xludf.DUMMYFUNCTION("""COMPUTED_VALUE"""),"")</f>
        <v/>
      </c>
      <c r="V346" s="173" t="str">
        <f>IFERROR(__xludf.DUMMYFUNCTION("""COMPUTED_VALUE"""),"Cut Copper")</f>
        <v>Cut Copper</v>
      </c>
      <c r="W346" s="174"/>
    </row>
    <row r="347">
      <c r="B347" s="175"/>
      <c r="R347" s="176"/>
      <c r="U347" s="172" t="str">
        <f>IFERROR(__xludf.DUMMYFUNCTION("""COMPUTED_VALUE"""),"")</f>
        <v/>
      </c>
      <c r="V347" s="173" t="str">
        <f>IFERROR(__xludf.DUMMYFUNCTION("""COMPUTED_VALUE"""),"Cut Copper Slab")</f>
        <v>Cut Copper Slab</v>
      </c>
      <c r="W347" s="174"/>
    </row>
    <row r="348">
      <c r="B348" s="175"/>
      <c r="R348" s="176"/>
      <c r="U348" s="172" t="str">
        <f>IFERROR(__xludf.DUMMYFUNCTION("""COMPUTED_VALUE"""),"")</f>
        <v/>
      </c>
      <c r="V348" s="173" t="str">
        <f>IFERROR(__xludf.DUMMYFUNCTION("""COMPUTED_VALUE"""),"Cut Copper Stairs")</f>
        <v>Cut Copper Stairs</v>
      </c>
      <c r="W348" s="174"/>
    </row>
    <row r="349">
      <c r="B349" s="175"/>
      <c r="R349" s="176"/>
      <c r="U349" s="172" t="str">
        <f>IFERROR(__xludf.DUMMYFUNCTION("""COMPUTED_VALUE"""),"")</f>
        <v/>
      </c>
      <c r="V349" s="173" t="str">
        <f>IFERROR(__xludf.DUMMYFUNCTION("""COMPUTED_VALUE"""),"Cut Red Sandstone")</f>
        <v>Cut Red Sandstone</v>
      </c>
      <c r="W349" s="174"/>
    </row>
    <row r="350">
      <c r="B350" s="175"/>
      <c r="R350" s="176"/>
      <c r="U350" s="172" t="str">
        <f>IFERROR(__xludf.DUMMYFUNCTION("""COMPUTED_VALUE"""),"")</f>
        <v/>
      </c>
      <c r="V350" s="173" t="str">
        <f>IFERROR(__xludf.DUMMYFUNCTION("""COMPUTED_VALUE"""),"Cut Red Sandstone Slab")</f>
        <v>Cut Red Sandstone Slab</v>
      </c>
      <c r="W350" s="174"/>
    </row>
    <row r="351">
      <c r="B351" s="175"/>
      <c r="R351" s="176"/>
      <c r="U351" s="172" t="str">
        <f>IFERROR(__xludf.DUMMYFUNCTION("""COMPUTED_VALUE"""),"")</f>
        <v/>
      </c>
      <c r="V351" s="173" t="str">
        <f>IFERROR(__xludf.DUMMYFUNCTION("""COMPUTED_VALUE"""),"Cut Sandstone")</f>
        <v>Cut Sandstone</v>
      </c>
      <c r="W351" s="174"/>
    </row>
    <row r="352">
      <c r="B352" s="175"/>
      <c r="R352" s="176"/>
      <c r="U352" s="172" t="str">
        <f>IFERROR(__xludf.DUMMYFUNCTION("""COMPUTED_VALUE"""),"")</f>
        <v/>
      </c>
      <c r="V352" s="173" t="str">
        <f>IFERROR(__xludf.DUMMYFUNCTION("""COMPUTED_VALUE"""),"Cut Sandstone Slab")</f>
        <v>Cut Sandstone Slab</v>
      </c>
      <c r="W352" s="174"/>
    </row>
    <row r="353">
      <c r="B353" s="175"/>
      <c r="R353" s="176"/>
      <c r="U353" s="172" t="str">
        <f>IFERROR(__xludf.DUMMYFUNCTION("""COMPUTED_VALUE"""),"")</f>
        <v/>
      </c>
      <c r="V353" s="173" t="str">
        <f>IFERROR(__xludf.DUMMYFUNCTION("""COMPUTED_VALUE"""),"Cyan Banner")</f>
        <v>Cyan Banner</v>
      </c>
      <c r="W353" s="174"/>
    </row>
    <row r="354">
      <c r="B354" s="175"/>
      <c r="R354" s="176"/>
      <c r="U354" s="172" t="str">
        <f>IFERROR(__xludf.DUMMYFUNCTION("""COMPUTED_VALUE"""),"")</f>
        <v/>
      </c>
      <c r="V354" s="173" t="str">
        <f>IFERROR(__xludf.DUMMYFUNCTION("""COMPUTED_VALUE"""),"Cyan Bed")</f>
        <v>Cyan Bed</v>
      </c>
      <c r="W354" s="174"/>
    </row>
    <row r="355">
      <c r="B355" s="175"/>
      <c r="R355" s="176"/>
      <c r="U355" s="172" t="str">
        <f>IFERROR(__xludf.DUMMYFUNCTION("""COMPUTED_VALUE"""),"")</f>
        <v/>
      </c>
      <c r="V355" s="173" t="str">
        <f>IFERROR(__xludf.DUMMYFUNCTION("""COMPUTED_VALUE"""),"Cyan Candle")</f>
        <v>Cyan Candle</v>
      </c>
      <c r="W355" s="174"/>
    </row>
    <row r="356">
      <c r="B356" s="175"/>
      <c r="R356" s="176"/>
      <c r="U356" s="172" t="str">
        <f>IFERROR(__xludf.DUMMYFUNCTION("""COMPUTED_VALUE"""),"")</f>
        <v/>
      </c>
      <c r="V356" s="173" t="str">
        <f>IFERROR(__xludf.DUMMYFUNCTION("""COMPUTED_VALUE"""),"Cyan Carpet")</f>
        <v>Cyan Carpet</v>
      </c>
      <c r="W356" s="174"/>
    </row>
    <row r="357">
      <c r="B357" s="175"/>
      <c r="R357" s="176"/>
      <c r="U357" s="172" t="str">
        <f>IFERROR(__xludf.DUMMYFUNCTION("""COMPUTED_VALUE"""),"")</f>
        <v/>
      </c>
      <c r="V357" s="173" t="str">
        <f>IFERROR(__xludf.DUMMYFUNCTION("""COMPUTED_VALUE"""),"Cyan Concrete")</f>
        <v>Cyan Concrete</v>
      </c>
      <c r="W357" s="174"/>
    </row>
    <row r="358">
      <c r="B358" s="175"/>
      <c r="R358" s="176"/>
      <c r="U358" s="172" t="str">
        <f>IFERROR(__xludf.DUMMYFUNCTION("""COMPUTED_VALUE"""),"")</f>
        <v/>
      </c>
      <c r="V358" s="173" t="str">
        <f>IFERROR(__xludf.DUMMYFUNCTION("""COMPUTED_VALUE"""),"Cyan Concrete Powder")</f>
        <v>Cyan Concrete Powder</v>
      </c>
      <c r="W358" s="174"/>
    </row>
    <row r="359">
      <c r="B359" s="175"/>
      <c r="R359" s="176"/>
      <c r="U359" s="172" t="str">
        <f>IFERROR(__xludf.DUMMYFUNCTION("""COMPUTED_VALUE"""),"")</f>
        <v/>
      </c>
      <c r="V359" s="173" t="str">
        <f>IFERROR(__xludf.DUMMYFUNCTION("""COMPUTED_VALUE"""),"Cyan Dye")</f>
        <v>Cyan Dye</v>
      </c>
      <c r="W359" s="174"/>
    </row>
    <row r="360">
      <c r="B360" s="175"/>
      <c r="R360" s="176"/>
      <c r="U360" s="172" t="str">
        <f>IFERROR(__xludf.DUMMYFUNCTION("""COMPUTED_VALUE"""),"")</f>
        <v/>
      </c>
      <c r="V360" s="173" t="str">
        <f>IFERROR(__xludf.DUMMYFUNCTION("""COMPUTED_VALUE"""),"Cyan Glazed Terracotta")</f>
        <v>Cyan Glazed Terracotta</v>
      </c>
      <c r="W360" s="174"/>
    </row>
    <row r="361">
      <c r="B361" s="175"/>
      <c r="R361" s="176"/>
      <c r="U361" s="172" t="str">
        <f>IFERROR(__xludf.DUMMYFUNCTION("""COMPUTED_VALUE"""),"")</f>
        <v/>
      </c>
      <c r="V361" s="173" t="str">
        <f>IFERROR(__xludf.DUMMYFUNCTION("""COMPUTED_VALUE"""),"Cyan Shulker Box")</f>
        <v>Cyan Shulker Box</v>
      </c>
      <c r="W361" s="174"/>
    </row>
    <row r="362">
      <c r="B362" s="175"/>
      <c r="R362" s="176"/>
      <c r="U362" s="172" t="str">
        <f>IFERROR(__xludf.DUMMYFUNCTION("""COMPUTED_VALUE"""),"")</f>
        <v/>
      </c>
      <c r="V362" s="173" t="str">
        <f>IFERROR(__xludf.DUMMYFUNCTION("""COMPUTED_VALUE"""),"Cyan Stained Glass")</f>
        <v>Cyan Stained Glass</v>
      </c>
      <c r="W362" s="174"/>
    </row>
    <row r="363">
      <c r="B363" s="175"/>
      <c r="R363" s="176"/>
      <c r="U363" s="172" t="str">
        <f>IFERROR(__xludf.DUMMYFUNCTION("""COMPUTED_VALUE"""),"")</f>
        <v/>
      </c>
      <c r="V363" s="173" t="str">
        <f>IFERROR(__xludf.DUMMYFUNCTION("""COMPUTED_VALUE"""),"Cyan Stained Glass Pane")</f>
        <v>Cyan Stained Glass Pane</v>
      </c>
      <c r="W363" s="174"/>
    </row>
    <row r="364">
      <c r="B364" s="175"/>
      <c r="R364" s="176"/>
      <c r="U364" s="172" t="str">
        <f>IFERROR(__xludf.DUMMYFUNCTION("""COMPUTED_VALUE"""),"")</f>
        <v/>
      </c>
      <c r="V364" s="173" t="str">
        <f>IFERROR(__xludf.DUMMYFUNCTION("""COMPUTED_VALUE"""),"Cyan Terracotta")</f>
        <v>Cyan Terracotta</v>
      </c>
      <c r="W364" s="174"/>
    </row>
    <row r="365">
      <c r="B365" s="175"/>
      <c r="R365" s="176"/>
      <c r="U365" s="172" t="str">
        <f>IFERROR(__xludf.DUMMYFUNCTION("""COMPUTED_VALUE"""),"")</f>
        <v/>
      </c>
      <c r="V365" s="173" t="str">
        <f>IFERROR(__xludf.DUMMYFUNCTION("""COMPUTED_VALUE"""),"Cyan Wool")</f>
        <v>Cyan Wool</v>
      </c>
      <c r="W365" s="174"/>
    </row>
    <row r="366">
      <c r="B366" s="175"/>
      <c r="R366" s="176"/>
      <c r="U366" s="172" t="str">
        <f>IFERROR(__xludf.DUMMYFUNCTION("""COMPUTED_VALUE"""),"")</f>
        <v/>
      </c>
      <c r="V366" s="173" t="str">
        <f>IFERROR(__xludf.DUMMYFUNCTION("""COMPUTED_VALUE"""),"Damaged Anvil")</f>
        <v>Damaged Anvil</v>
      </c>
      <c r="W366" s="174"/>
    </row>
    <row r="367">
      <c r="B367" s="175"/>
      <c r="R367" s="176"/>
      <c r="U367" s="172" t="str">
        <f>IFERROR(__xludf.DUMMYFUNCTION("""COMPUTED_VALUE"""),"")</f>
        <v/>
      </c>
      <c r="V367" s="173" t="str">
        <f>IFERROR(__xludf.DUMMYFUNCTION("""COMPUTED_VALUE"""),"Dandelion")</f>
        <v>Dandelion</v>
      </c>
      <c r="W367" s="174"/>
    </row>
    <row r="368">
      <c r="B368" s="175"/>
      <c r="R368" s="176"/>
      <c r="U368" s="172" t="str">
        <f>IFERROR(__xludf.DUMMYFUNCTION("""COMPUTED_VALUE"""),"")</f>
        <v/>
      </c>
      <c r="V368" s="173" t="str">
        <f>IFERROR(__xludf.DUMMYFUNCTION("""COMPUTED_VALUE"""),"Danger Pottery Sherd")</f>
        <v>Danger Pottery Sherd</v>
      </c>
      <c r="W368" s="174"/>
    </row>
    <row r="369">
      <c r="B369" s="175"/>
      <c r="R369" s="176"/>
      <c r="U369" s="172" t="str">
        <f>IFERROR(__xludf.DUMMYFUNCTION("""COMPUTED_VALUE"""),"")</f>
        <v/>
      </c>
      <c r="V369" s="173" t="str">
        <f>IFERROR(__xludf.DUMMYFUNCTION("""COMPUTED_VALUE"""),"Dark Oak Boat")</f>
        <v>Dark Oak Boat</v>
      </c>
      <c r="W369" s="174"/>
    </row>
    <row r="370">
      <c r="B370" s="175"/>
      <c r="R370" s="176"/>
      <c r="U370" s="172" t="str">
        <f>IFERROR(__xludf.DUMMYFUNCTION("""COMPUTED_VALUE"""),"")</f>
        <v/>
      </c>
      <c r="V370" s="173" t="str">
        <f>IFERROR(__xludf.DUMMYFUNCTION("""COMPUTED_VALUE"""),"Dark Oak Button")</f>
        <v>Dark Oak Button</v>
      </c>
      <c r="W370" s="174"/>
    </row>
    <row r="371">
      <c r="B371" s="175"/>
      <c r="R371" s="176"/>
      <c r="U371" s="172" t="str">
        <f>IFERROR(__xludf.DUMMYFUNCTION("""COMPUTED_VALUE"""),"")</f>
        <v/>
      </c>
      <c r="V371" s="173" t="str">
        <f>IFERROR(__xludf.DUMMYFUNCTION("""COMPUTED_VALUE"""),"Dark Oak Chest Boat")</f>
        <v>Dark Oak Chest Boat</v>
      </c>
      <c r="W371" s="174"/>
    </row>
    <row r="372">
      <c r="B372" s="175"/>
      <c r="R372" s="176"/>
      <c r="U372" s="172" t="str">
        <f>IFERROR(__xludf.DUMMYFUNCTION("""COMPUTED_VALUE"""),"")</f>
        <v/>
      </c>
      <c r="V372" s="173" t="str">
        <f>IFERROR(__xludf.DUMMYFUNCTION("""COMPUTED_VALUE"""),"Dark Oak Door")</f>
        <v>Dark Oak Door</v>
      </c>
      <c r="W372" s="174"/>
    </row>
    <row r="373">
      <c r="B373" s="175"/>
      <c r="R373" s="176"/>
      <c r="U373" s="172" t="str">
        <f>IFERROR(__xludf.DUMMYFUNCTION("""COMPUTED_VALUE"""),"")</f>
        <v/>
      </c>
      <c r="V373" s="173" t="str">
        <f>IFERROR(__xludf.DUMMYFUNCTION("""COMPUTED_VALUE"""),"Dark Oak Fence")</f>
        <v>Dark Oak Fence</v>
      </c>
      <c r="W373" s="174"/>
    </row>
    <row r="374">
      <c r="B374" s="175"/>
      <c r="R374" s="176"/>
      <c r="U374" s="172" t="str">
        <f>IFERROR(__xludf.DUMMYFUNCTION("""COMPUTED_VALUE"""),"")</f>
        <v/>
      </c>
      <c r="V374" s="173" t="str">
        <f>IFERROR(__xludf.DUMMYFUNCTION("""COMPUTED_VALUE"""),"Dark Oak Fence Gate")</f>
        <v>Dark Oak Fence Gate</v>
      </c>
      <c r="W374" s="174"/>
    </row>
    <row r="375">
      <c r="B375" s="175"/>
      <c r="R375" s="176"/>
      <c r="U375" s="172" t="str">
        <f>IFERROR(__xludf.DUMMYFUNCTION("""COMPUTED_VALUE"""),"")</f>
        <v/>
      </c>
      <c r="V375" s="173" t="str">
        <f>IFERROR(__xludf.DUMMYFUNCTION("""COMPUTED_VALUE"""),"Dark Oak Hanging Sign")</f>
        <v>Dark Oak Hanging Sign</v>
      </c>
      <c r="W375" s="174"/>
    </row>
    <row r="376">
      <c r="B376" s="175"/>
      <c r="R376" s="176"/>
      <c r="U376" s="172" t="str">
        <f>IFERROR(__xludf.DUMMYFUNCTION("""COMPUTED_VALUE"""),"")</f>
        <v/>
      </c>
      <c r="V376" s="173" t="str">
        <f>IFERROR(__xludf.DUMMYFUNCTION("""COMPUTED_VALUE"""),"Dark Oak Leaves")</f>
        <v>Dark Oak Leaves</v>
      </c>
      <c r="W376" s="174"/>
    </row>
    <row r="377">
      <c r="B377" s="175"/>
      <c r="R377" s="176"/>
      <c r="U377" s="172" t="str">
        <f>IFERROR(__xludf.DUMMYFUNCTION("""COMPUTED_VALUE"""),"")</f>
        <v/>
      </c>
      <c r="V377" s="173" t="str">
        <f>IFERROR(__xludf.DUMMYFUNCTION("""COMPUTED_VALUE"""),"Dark Oak Log")</f>
        <v>Dark Oak Log</v>
      </c>
      <c r="W377" s="174"/>
    </row>
    <row r="378">
      <c r="B378" s="175"/>
      <c r="R378" s="176"/>
      <c r="U378" s="172" t="str">
        <f>IFERROR(__xludf.DUMMYFUNCTION("""COMPUTED_VALUE"""),"")</f>
        <v/>
      </c>
      <c r="V378" s="173" t="str">
        <f>IFERROR(__xludf.DUMMYFUNCTION("""COMPUTED_VALUE"""),"Dark Oak Planks")</f>
        <v>Dark Oak Planks</v>
      </c>
      <c r="W378" s="174"/>
    </row>
    <row r="379">
      <c r="B379" s="175"/>
      <c r="R379" s="176"/>
      <c r="U379" s="172" t="str">
        <f>IFERROR(__xludf.DUMMYFUNCTION("""COMPUTED_VALUE"""),"")</f>
        <v/>
      </c>
      <c r="V379" s="173" t="str">
        <f>IFERROR(__xludf.DUMMYFUNCTION("""COMPUTED_VALUE"""),"Dark Oak Pressure Plate")</f>
        <v>Dark Oak Pressure Plate</v>
      </c>
      <c r="W379" s="174"/>
    </row>
    <row r="380">
      <c r="B380" s="175"/>
      <c r="R380" s="176"/>
      <c r="U380" s="172" t="str">
        <f>IFERROR(__xludf.DUMMYFUNCTION("""COMPUTED_VALUE"""),"")</f>
        <v/>
      </c>
      <c r="V380" s="173" t="str">
        <f>IFERROR(__xludf.DUMMYFUNCTION("""COMPUTED_VALUE"""),"Dark Oak Sapling")</f>
        <v>Dark Oak Sapling</v>
      </c>
      <c r="W380" s="174"/>
    </row>
    <row r="381">
      <c r="B381" s="175"/>
      <c r="R381" s="176"/>
      <c r="U381" s="172" t="str">
        <f>IFERROR(__xludf.DUMMYFUNCTION("""COMPUTED_VALUE"""),"")</f>
        <v/>
      </c>
      <c r="V381" s="173" t="str">
        <f>IFERROR(__xludf.DUMMYFUNCTION("""COMPUTED_VALUE"""),"Dark Oak Sign")</f>
        <v>Dark Oak Sign</v>
      </c>
      <c r="W381" s="174"/>
    </row>
    <row r="382">
      <c r="B382" s="175"/>
      <c r="R382" s="176"/>
      <c r="U382" s="172" t="str">
        <f>IFERROR(__xludf.DUMMYFUNCTION("""COMPUTED_VALUE"""),"")</f>
        <v/>
      </c>
      <c r="V382" s="173" t="str">
        <f>IFERROR(__xludf.DUMMYFUNCTION("""COMPUTED_VALUE"""),"Dark Oak Slab")</f>
        <v>Dark Oak Slab</v>
      </c>
      <c r="W382" s="174"/>
    </row>
    <row r="383">
      <c r="B383" s="175"/>
      <c r="R383" s="176"/>
      <c r="U383" s="172" t="str">
        <f>IFERROR(__xludf.DUMMYFUNCTION("""COMPUTED_VALUE"""),"")</f>
        <v/>
      </c>
      <c r="V383" s="173" t="str">
        <f>IFERROR(__xludf.DUMMYFUNCTION("""COMPUTED_VALUE"""),"Dark Oak Stairs")</f>
        <v>Dark Oak Stairs</v>
      </c>
      <c r="W383" s="174"/>
    </row>
    <row r="384">
      <c r="B384" s="175"/>
      <c r="R384" s="176"/>
      <c r="U384" s="172" t="str">
        <f>IFERROR(__xludf.DUMMYFUNCTION("""COMPUTED_VALUE"""),"")</f>
        <v/>
      </c>
      <c r="V384" s="173" t="str">
        <f>IFERROR(__xludf.DUMMYFUNCTION("""COMPUTED_VALUE"""),"Dark Oak Trapdoor")</f>
        <v>Dark Oak Trapdoor</v>
      </c>
      <c r="W384" s="174"/>
    </row>
    <row r="385">
      <c r="B385" s="175"/>
      <c r="R385" s="176"/>
      <c r="U385" s="172" t="str">
        <f>IFERROR(__xludf.DUMMYFUNCTION("""COMPUTED_VALUE"""),"")</f>
        <v/>
      </c>
      <c r="V385" s="173" t="str">
        <f>IFERROR(__xludf.DUMMYFUNCTION("""COMPUTED_VALUE"""),"Dark Oak Wood")</f>
        <v>Dark Oak Wood</v>
      </c>
      <c r="W385" s="174"/>
    </row>
    <row r="386">
      <c r="B386" s="175"/>
      <c r="R386" s="176"/>
      <c r="U386" s="172" t="str">
        <f>IFERROR(__xludf.DUMMYFUNCTION("""COMPUTED_VALUE"""),"")</f>
        <v/>
      </c>
      <c r="V386" s="173" t="str">
        <f>IFERROR(__xludf.DUMMYFUNCTION("""COMPUTED_VALUE"""),"Dark Prismarine")</f>
        <v>Dark Prismarine</v>
      </c>
      <c r="W386" s="174"/>
    </row>
    <row r="387">
      <c r="B387" s="175"/>
      <c r="R387" s="176"/>
      <c r="U387" s="172" t="str">
        <f>IFERROR(__xludf.DUMMYFUNCTION("""COMPUTED_VALUE"""),"")</f>
        <v/>
      </c>
      <c r="V387" s="173" t="str">
        <f>IFERROR(__xludf.DUMMYFUNCTION("""COMPUTED_VALUE"""),"Dark Prismarine Slab")</f>
        <v>Dark Prismarine Slab</v>
      </c>
      <c r="W387" s="174"/>
    </row>
    <row r="388">
      <c r="B388" s="175"/>
      <c r="R388" s="176"/>
      <c r="U388" s="172" t="str">
        <f>IFERROR(__xludf.DUMMYFUNCTION("""COMPUTED_VALUE"""),"")</f>
        <v/>
      </c>
      <c r="V388" s="173" t="str">
        <f>IFERROR(__xludf.DUMMYFUNCTION("""COMPUTED_VALUE"""),"Dark Prismarine Stairs")</f>
        <v>Dark Prismarine Stairs</v>
      </c>
      <c r="W388" s="174"/>
    </row>
    <row r="389">
      <c r="B389" s="175"/>
      <c r="R389" s="176"/>
      <c r="U389" s="172" t="str">
        <f>IFERROR(__xludf.DUMMYFUNCTION("""COMPUTED_VALUE"""),"")</f>
        <v/>
      </c>
      <c r="V389" s="173" t="str">
        <f>IFERROR(__xludf.DUMMYFUNCTION("""COMPUTED_VALUE"""),"Daylight Detector")</f>
        <v>Daylight Detector</v>
      </c>
      <c r="W389" s="174"/>
    </row>
    <row r="390">
      <c r="B390" s="175"/>
      <c r="R390" s="176"/>
      <c r="U390" s="172" t="str">
        <f>IFERROR(__xludf.DUMMYFUNCTION("""COMPUTED_VALUE"""),"")</f>
        <v/>
      </c>
      <c r="V390" s="173" t="str">
        <f>IFERROR(__xludf.DUMMYFUNCTION("""COMPUTED_VALUE"""),"Dead Brain Coral")</f>
        <v>Dead Brain Coral</v>
      </c>
      <c r="W390" s="174"/>
    </row>
    <row r="391">
      <c r="B391" s="175"/>
      <c r="R391" s="176"/>
      <c r="U391" s="172" t="str">
        <f>IFERROR(__xludf.DUMMYFUNCTION("""COMPUTED_VALUE"""),"")</f>
        <v/>
      </c>
      <c r="V391" s="173" t="str">
        <f>IFERROR(__xludf.DUMMYFUNCTION("""COMPUTED_VALUE"""),"Dead Brain Coral Block")</f>
        <v>Dead Brain Coral Block</v>
      </c>
      <c r="W391" s="174"/>
    </row>
    <row r="392">
      <c r="B392" s="175"/>
      <c r="R392" s="176"/>
      <c r="U392" s="172" t="str">
        <f>IFERROR(__xludf.DUMMYFUNCTION("""COMPUTED_VALUE"""),"")</f>
        <v/>
      </c>
      <c r="V392" s="173" t="str">
        <f>IFERROR(__xludf.DUMMYFUNCTION("""COMPUTED_VALUE"""),"Dead Brain Coral Fan")</f>
        <v>Dead Brain Coral Fan</v>
      </c>
      <c r="W392" s="174"/>
    </row>
    <row r="393">
      <c r="B393" s="175"/>
      <c r="R393" s="176"/>
      <c r="U393" s="172" t="str">
        <f>IFERROR(__xludf.DUMMYFUNCTION("""COMPUTED_VALUE"""),"")</f>
        <v/>
      </c>
      <c r="V393" s="173" t="str">
        <f>IFERROR(__xludf.DUMMYFUNCTION("""COMPUTED_VALUE"""),"Dead Bubble Coral")</f>
        <v>Dead Bubble Coral</v>
      </c>
      <c r="W393" s="174"/>
    </row>
    <row r="394">
      <c r="B394" s="175"/>
      <c r="R394" s="176"/>
      <c r="U394" s="172" t="str">
        <f>IFERROR(__xludf.DUMMYFUNCTION("""COMPUTED_VALUE"""),"")</f>
        <v/>
      </c>
      <c r="V394" s="173" t="str">
        <f>IFERROR(__xludf.DUMMYFUNCTION("""COMPUTED_VALUE"""),"Dead Bubble Coral Block")</f>
        <v>Dead Bubble Coral Block</v>
      </c>
      <c r="W394" s="174"/>
    </row>
    <row r="395">
      <c r="B395" s="175"/>
      <c r="R395" s="176"/>
      <c r="U395" s="172" t="str">
        <f>IFERROR(__xludf.DUMMYFUNCTION("""COMPUTED_VALUE"""),"")</f>
        <v/>
      </c>
      <c r="V395" s="173" t="str">
        <f>IFERROR(__xludf.DUMMYFUNCTION("""COMPUTED_VALUE"""),"Dead Bubble Coral Fan")</f>
        <v>Dead Bubble Coral Fan</v>
      </c>
      <c r="W395" s="174"/>
    </row>
    <row r="396">
      <c r="B396" s="175"/>
      <c r="R396" s="176"/>
      <c r="U396" s="172" t="str">
        <f>IFERROR(__xludf.DUMMYFUNCTION("""COMPUTED_VALUE"""),"")</f>
        <v/>
      </c>
      <c r="V396" s="173" t="str">
        <f>IFERROR(__xludf.DUMMYFUNCTION("""COMPUTED_VALUE"""),"Dead Bush")</f>
        <v>Dead Bush</v>
      </c>
      <c r="W396" s="174"/>
    </row>
    <row r="397">
      <c r="B397" s="175"/>
      <c r="R397" s="176"/>
      <c r="U397" s="172" t="str">
        <f>IFERROR(__xludf.DUMMYFUNCTION("""COMPUTED_VALUE"""),"")</f>
        <v/>
      </c>
      <c r="V397" s="173" t="str">
        <f>IFERROR(__xludf.DUMMYFUNCTION("""COMPUTED_VALUE"""),"Dead Fire Coral")</f>
        <v>Dead Fire Coral</v>
      </c>
      <c r="W397" s="174"/>
    </row>
    <row r="398">
      <c r="B398" s="175"/>
      <c r="R398" s="176"/>
      <c r="U398" s="172" t="str">
        <f>IFERROR(__xludf.DUMMYFUNCTION("""COMPUTED_VALUE"""),"")</f>
        <v/>
      </c>
      <c r="V398" s="173" t="str">
        <f>IFERROR(__xludf.DUMMYFUNCTION("""COMPUTED_VALUE"""),"Dead Fire Coral Block")</f>
        <v>Dead Fire Coral Block</v>
      </c>
      <c r="W398" s="174"/>
    </row>
    <row r="399">
      <c r="B399" s="175"/>
      <c r="R399" s="176"/>
      <c r="U399" s="172" t="str">
        <f>IFERROR(__xludf.DUMMYFUNCTION("""COMPUTED_VALUE"""),"")</f>
        <v/>
      </c>
      <c r="V399" s="173" t="str">
        <f>IFERROR(__xludf.DUMMYFUNCTION("""COMPUTED_VALUE"""),"Dead Fire Coral Fan")</f>
        <v>Dead Fire Coral Fan</v>
      </c>
      <c r="W399" s="174"/>
    </row>
    <row r="400">
      <c r="B400" s="175"/>
      <c r="R400" s="176"/>
      <c r="U400" s="172" t="str">
        <f>IFERROR(__xludf.DUMMYFUNCTION("""COMPUTED_VALUE"""),"")</f>
        <v/>
      </c>
      <c r="V400" s="173" t="str">
        <f>IFERROR(__xludf.DUMMYFUNCTION("""COMPUTED_VALUE"""),"Dead Horn Coral")</f>
        <v>Dead Horn Coral</v>
      </c>
      <c r="W400" s="174"/>
    </row>
    <row r="401">
      <c r="B401" s="175"/>
      <c r="R401" s="176"/>
      <c r="U401" s="172" t="str">
        <f>IFERROR(__xludf.DUMMYFUNCTION("""COMPUTED_VALUE"""),"")</f>
        <v/>
      </c>
      <c r="V401" s="173" t="str">
        <f>IFERROR(__xludf.DUMMYFUNCTION("""COMPUTED_VALUE"""),"Dead Horn Coral Block")</f>
        <v>Dead Horn Coral Block</v>
      </c>
      <c r="W401" s="174"/>
    </row>
    <row r="402">
      <c r="B402" s="175"/>
      <c r="R402" s="176"/>
      <c r="U402" s="172" t="str">
        <f>IFERROR(__xludf.DUMMYFUNCTION("""COMPUTED_VALUE"""),"")</f>
        <v/>
      </c>
      <c r="V402" s="173" t="str">
        <f>IFERROR(__xludf.DUMMYFUNCTION("""COMPUTED_VALUE"""),"Dead Horn Coral Fan")</f>
        <v>Dead Horn Coral Fan</v>
      </c>
      <c r="W402" s="174"/>
    </row>
    <row r="403">
      <c r="B403" s="175"/>
      <c r="R403" s="176"/>
      <c r="U403" s="172" t="str">
        <f>IFERROR(__xludf.DUMMYFUNCTION("""COMPUTED_VALUE"""),"")</f>
        <v/>
      </c>
      <c r="V403" s="173" t="str">
        <f>IFERROR(__xludf.DUMMYFUNCTION("""COMPUTED_VALUE"""),"Dead Tube Coral")</f>
        <v>Dead Tube Coral</v>
      </c>
      <c r="W403" s="174"/>
    </row>
    <row r="404">
      <c r="B404" s="175"/>
      <c r="R404" s="176"/>
      <c r="U404" s="172" t="str">
        <f>IFERROR(__xludf.DUMMYFUNCTION("""COMPUTED_VALUE"""),"")</f>
        <v/>
      </c>
      <c r="V404" s="173" t="str">
        <f>IFERROR(__xludf.DUMMYFUNCTION("""COMPUTED_VALUE"""),"Dead Tube Coral Block")</f>
        <v>Dead Tube Coral Block</v>
      </c>
      <c r="W404" s="174"/>
    </row>
    <row r="405">
      <c r="B405" s="175"/>
      <c r="R405" s="176"/>
      <c r="U405" s="172" t="str">
        <f>IFERROR(__xludf.DUMMYFUNCTION("""COMPUTED_VALUE"""),"")</f>
        <v/>
      </c>
      <c r="V405" s="173" t="str">
        <f>IFERROR(__xludf.DUMMYFUNCTION("""COMPUTED_VALUE"""),"Dead Tube Coral Fan")</f>
        <v>Dead Tube Coral Fan</v>
      </c>
      <c r="W405" s="174"/>
    </row>
    <row r="406">
      <c r="B406" s="175"/>
      <c r="R406" s="176"/>
      <c r="U406" s="172" t="str">
        <f>IFERROR(__xludf.DUMMYFUNCTION("""COMPUTED_VALUE"""),"")</f>
        <v/>
      </c>
      <c r="V406" s="173" t="str">
        <f>IFERROR(__xludf.DUMMYFUNCTION("""COMPUTED_VALUE"""),"Decorated Pot")</f>
        <v>Decorated Pot</v>
      </c>
      <c r="W406" s="174"/>
    </row>
    <row r="407">
      <c r="B407" s="175"/>
      <c r="R407" s="176"/>
      <c r="U407" s="172" t="str">
        <f>IFERROR(__xludf.DUMMYFUNCTION("""COMPUTED_VALUE"""),"")</f>
        <v/>
      </c>
      <c r="V407" s="173" t="str">
        <f>IFERROR(__xludf.DUMMYFUNCTION("""COMPUTED_VALUE"""),"Deepslate")</f>
        <v>Deepslate</v>
      </c>
      <c r="W407" s="174"/>
    </row>
    <row r="408">
      <c r="B408" s="175"/>
      <c r="R408" s="176"/>
      <c r="U408" s="172" t="str">
        <f>IFERROR(__xludf.DUMMYFUNCTION("""COMPUTED_VALUE"""),"")</f>
        <v/>
      </c>
      <c r="V408" s="173" t="str">
        <f>IFERROR(__xludf.DUMMYFUNCTION("""COMPUTED_VALUE"""),"Deepslate Brick Slab")</f>
        <v>Deepslate Brick Slab</v>
      </c>
      <c r="W408" s="174"/>
    </row>
    <row r="409">
      <c r="B409" s="175"/>
      <c r="R409" s="176"/>
      <c r="U409" s="172" t="str">
        <f>IFERROR(__xludf.DUMMYFUNCTION("""COMPUTED_VALUE"""),"")</f>
        <v/>
      </c>
      <c r="V409" s="173" t="str">
        <f>IFERROR(__xludf.DUMMYFUNCTION("""COMPUTED_VALUE"""),"Deepslate Brick Stairs")</f>
        <v>Deepslate Brick Stairs</v>
      </c>
      <c r="W409" s="174"/>
    </row>
    <row r="410">
      <c r="B410" s="175"/>
      <c r="R410" s="176"/>
      <c r="U410" s="172" t="str">
        <f>IFERROR(__xludf.DUMMYFUNCTION("""COMPUTED_VALUE"""),"")</f>
        <v/>
      </c>
      <c r="V410" s="173" t="str">
        <f>IFERROR(__xludf.DUMMYFUNCTION("""COMPUTED_VALUE"""),"Deepslate Brick Wall")</f>
        <v>Deepslate Brick Wall</v>
      </c>
      <c r="W410" s="174"/>
    </row>
    <row r="411">
      <c r="B411" s="175"/>
      <c r="R411" s="176"/>
      <c r="U411" s="172" t="str">
        <f>IFERROR(__xludf.DUMMYFUNCTION("""COMPUTED_VALUE"""),"")</f>
        <v/>
      </c>
      <c r="V411" s="173" t="str">
        <f>IFERROR(__xludf.DUMMYFUNCTION("""COMPUTED_VALUE"""),"Deepslate Bricks")</f>
        <v>Deepslate Bricks</v>
      </c>
      <c r="W411" s="174"/>
    </row>
    <row r="412">
      <c r="B412" s="175"/>
      <c r="R412" s="176"/>
      <c r="U412" s="172" t="str">
        <f>IFERROR(__xludf.DUMMYFUNCTION("""COMPUTED_VALUE"""),"")</f>
        <v/>
      </c>
      <c r="V412" s="173" t="str">
        <f>IFERROR(__xludf.DUMMYFUNCTION("""COMPUTED_VALUE"""),"Deepslate Coal Ore")</f>
        <v>Deepslate Coal Ore</v>
      </c>
      <c r="W412" s="174"/>
    </row>
    <row r="413">
      <c r="B413" s="175"/>
      <c r="R413" s="176"/>
      <c r="U413" s="172" t="str">
        <f>IFERROR(__xludf.DUMMYFUNCTION("""COMPUTED_VALUE"""),"")</f>
        <v/>
      </c>
      <c r="V413" s="173" t="str">
        <f>IFERROR(__xludf.DUMMYFUNCTION("""COMPUTED_VALUE"""),"Deepslate Copper Ore")</f>
        <v>Deepslate Copper Ore</v>
      </c>
      <c r="W413" s="174"/>
    </row>
    <row r="414">
      <c r="B414" s="175"/>
      <c r="R414" s="176"/>
      <c r="U414" s="172" t="str">
        <f>IFERROR(__xludf.DUMMYFUNCTION("""COMPUTED_VALUE"""),"")</f>
        <v/>
      </c>
      <c r="V414" s="173" t="str">
        <f>IFERROR(__xludf.DUMMYFUNCTION("""COMPUTED_VALUE"""),"Deepslate Diamond Ore")</f>
        <v>Deepslate Diamond Ore</v>
      </c>
      <c r="W414" s="174"/>
    </row>
    <row r="415">
      <c r="B415" s="175"/>
      <c r="R415" s="176"/>
      <c r="U415" s="172" t="str">
        <f>IFERROR(__xludf.DUMMYFUNCTION("""COMPUTED_VALUE"""),"")</f>
        <v/>
      </c>
      <c r="V415" s="173" t="str">
        <f>IFERROR(__xludf.DUMMYFUNCTION("""COMPUTED_VALUE"""),"Deepslate Emerald Ore")</f>
        <v>Deepslate Emerald Ore</v>
      </c>
      <c r="W415" s="174"/>
    </row>
    <row r="416">
      <c r="B416" s="175"/>
      <c r="R416" s="176"/>
      <c r="U416" s="172" t="str">
        <f>IFERROR(__xludf.DUMMYFUNCTION("""COMPUTED_VALUE"""),"")</f>
        <v/>
      </c>
      <c r="V416" s="173" t="str">
        <f>IFERROR(__xludf.DUMMYFUNCTION("""COMPUTED_VALUE"""),"Deepslate Gold Ore")</f>
        <v>Deepslate Gold Ore</v>
      </c>
      <c r="W416" s="174"/>
    </row>
    <row r="417">
      <c r="B417" s="175"/>
      <c r="R417" s="176"/>
      <c r="U417" s="172" t="str">
        <f>IFERROR(__xludf.DUMMYFUNCTION("""COMPUTED_VALUE"""),"")</f>
        <v/>
      </c>
      <c r="V417" s="173" t="str">
        <f>IFERROR(__xludf.DUMMYFUNCTION("""COMPUTED_VALUE"""),"Deepslate Iron Ore")</f>
        <v>Deepslate Iron Ore</v>
      </c>
      <c r="W417" s="174"/>
    </row>
    <row r="418">
      <c r="B418" s="175"/>
      <c r="R418" s="176"/>
      <c r="U418" s="172" t="str">
        <f>IFERROR(__xludf.DUMMYFUNCTION("""COMPUTED_VALUE"""),"")</f>
        <v/>
      </c>
      <c r="V418" s="173" t="str">
        <f>IFERROR(__xludf.DUMMYFUNCTION("""COMPUTED_VALUE"""),"Deepslate Lapis Ore")</f>
        <v>Deepslate Lapis Ore</v>
      </c>
      <c r="W418" s="174"/>
    </row>
    <row r="419">
      <c r="B419" s="175"/>
      <c r="R419" s="176"/>
      <c r="U419" s="172" t="str">
        <f>IFERROR(__xludf.DUMMYFUNCTION("""COMPUTED_VALUE"""),"")</f>
        <v/>
      </c>
      <c r="V419" s="173" t="str">
        <f>IFERROR(__xludf.DUMMYFUNCTION("""COMPUTED_VALUE"""),"Deepslate Redstone Ore")</f>
        <v>Deepslate Redstone Ore</v>
      </c>
      <c r="W419" s="174"/>
    </row>
    <row r="420">
      <c r="B420" s="175"/>
      <c r="R420" s="176"/>
      <c r="U420" s="172" t="str">
        <f>IFERROR(__xludf.DUMMYFUNCTION("""COMPUTED_VALUE"""),"")</f>
        <v/>
      </c>
      <c r="V420" s="173" t="str">
        <f>IFERROR(__xludf.DUMMYFUNCTION("""COMPUTED_VALUE"""),"Deepslate Tile Slab")</f>
        <v>Deepslate Tile Slab</v>
      </c>
      <c r="W420" s="174"/>
    </row>
    <row r="421">
      <c r="B421" s="175"/>
      <c r="R421" s="176"/>
      <c r="U421" s="172" t="str">
        <f>IFERROR(__xludf.DUMMYFUNCTION("""COMPUTED_VALUE"""),"")</f>
        <v/>
      </c>
      <c r="V421" s="173" t="str">
        <f>IFERROR(__xludf.DUMMYFUNCTION("""COMPUTED_VALUE"""),"Deepslate Tile Stairs")</f>
        <v>Deepslate Tile Stairs</v>
      </c>
      <c r="W421" s="174"/>
    </row>
    <row r="422">
      <c r="B422" s="175"/>
      <c r="R422" s="176"/>
      <c r="U422" s="172" t="str">
        <f>IFERROR(__xludf.DUMMYFUNCTION("""COMPUTED_VALUE"""),"")</f>
        <v/>
      </c>
      <c r="V422" s="173" t="str">
        <f>IFERROR(__xludf.DUMMYFUNCTION("""COMPUTED_VALUE"""),"Deepslate Tile Wall")</f>
        <v>Deepslate Tile Wall</v>
      </c>
      <c r="W422" s="174"/>
    </row>
    <row r="423">
      <c r="B423" s="175"/>
      <c r="R423" s="176"/>
      <c r="U423" s="172" t="str">
        <f>IFERROR(__xludf.DUMMYFUNCTION("""COMPUTED_VALUE"""),"")</f>
        <v/>
      </c>
      <c r="V423" s="173" t="str">
        <f>IFERROR(__xludf.DUMMYFUNCTION("""COMPUTED_VALUE"""),"Deepslate Tiles")</f>
        <v>Deepslate Tiles</v>
      </c>
      <c r="W423" s="174"/>
    </row>
    <row r="424">
      <c r="B424" s="175"/>
      <c r="R424" s="176"/>
      <c r="U424" s="172" t="str">
        <f>IFERROR(__xludf.DUMMYFUNCTION("""COMPUTED_VALUE"""),"")</f>
        <v/>
      </c>
      <c r="V424" s="173" t="str">
        <f>IFERROR(__xludf.DUMMYFUNCTION("""COMPUTED_VALUE"""),"Detector Rail")</f>
        <v>Detector Rail</v>
      </c>
      <c r="W424" s="174"/>
    </row>
    <row r="425">
      <c r="B425" s="175"/>
      <c r="R425" s="176"/>
      <c r="U425" s="172" t="str">
        <f>IFERROR(__xludf.DUMMYFUNCTION("""COMPUTED_VALUE"""),"")</f>
        <v/>
      </c>
      <c r="V425" s="173" t="str">
        <f>IFERROR(__xludf.DUMMYFUNCTION("""COMPUTED_VALUE"""),"Diamond")</f>
        <v>Diamond</v>
      </c>
      <c r="W425" s="174"/>
    </row>
    <row r="426">
      <c r="B426" s="175"/>
      <c r="R426" s="176"/>
      <c r="U426" s="172" t="str">
        <f>IFERROR(__xludf.DUMMYFUNCTION("""COMPUTED_VALUE"""),"")</f>
        <v/>
      </c>
      <c r="V426" s="173" t="str">
        <f>IFERROR(__xludf.DUMMYFUNCTION("""COMPUTED_VALUE"""),"Diamond Axe")</f>
        <v>Diamond Axe</v>
      </c>
      <c r="W426" s="174"/>
    </row>
    <row r="427">
      <c r="B427" s="175"/>
      <c r="R427" s="176"/>
      <c r="U427" s="172" t="str">
        <f>IFERROR(__xludf.DUMMYFUNCTION("""COMPUTED_VALUE"""),"")</f>
        <v/>
      </c>
      <c r="V427" s="173" t="str">
        <f>IFERROR(__xludf.DUMMYFUNCTION("""COMPUTED_VALUE"""),"Diamond Block")</f>
        <v>Diamond Block</v>
      </c>
      <c r="W427" s="174"/>
    </row>
    <row r="428">
      <c r="B428" s="175"/>
      <c r="R428" s="176"/>
      <c r="U428" s="172" t="str">
        <f>IFERROR(__xludf.DUMMYFUNCTION("""COMPUTED_VALUE"""),"")</f>
        <v/>
      </c>
      <c r="V428" s="173" t="str">
        <f>IFERROR(__xludf.DUMMYFUNCTION("""COMPUTED_VALUE"""),"Diamond Boots")</f>
        <v>Diamond Boots</v>
      </c>
      <c r="W428" s="174"/>
    </row>
    <row r="429">
      <c r="B429" s="175"/>
      <c r="R429" s="176"/>
      <c r="U429" s="172" t="str">
        <f>IFERROR(__xludf.DUMMYFUNCTION("""COMPUTED_VALUE"""),"")</f>
        <v/>
      </c>
      <c r="V429" s="173" t="str">
        <f>IFERROR(__xludf.DUMMYFUNCTION("""COMPUTED_VALUE"""),"Diamond Chestplate")</f>
        <v>Diamond Chestplate</v>
      </c>
      <c r="W429" s="174"/>
    </row>
    <row r="430">
      <c r="B430" s="175"/>
      <c r="R430" s="176"/>
      <c r="U430" s="172" t="str">
        <f>IFERROR(__xludf.DUMMYFUNCTION("""COMPUTED_VALUE"""),"")</f>
        <v/>
      </c>
      <c r="V430" s="173" t="str">
        <f>IFERROR(__xludf.DUMMYFUNCTION("""COMPUTED_VALUE"""),"Diamond Helmet")</f>
        <v>Diamond Helmet</v>
      </c>
      <c r="W430" s="174"/>
    </row>
    <row r="431">
      <c r="B431" s="175"/>
      <c r="R431" s="176"/>
      <c r="U431" s="172" t="str">
        <f>IFERROR(__xludf.DUMMYFUNCTION("""COMPUTED_VALUE"""),"")</f>
        <v/>
      </c>
      <c r="V431" s="173" t="str">
        <f>IFERROR(__xludf.DUMMYFUNCTION("""COMPUTED_VALUE"""),"Diamond Hoe")</f>
        <v>Diamond Hoe</v>
      </c>
      <c r="W431" s="174"/>
    </row>
    <row r="432">
      <c r="B432" s="175"/>
      <c r="R432" s="176"/>
      <c r="U432" s="172" t="str">
        <f>IFERROR(__xludf.DUMMYFUNCTION("""COMPUTED_VALUE"""),"")</f>
        <v/>
      </c>
      <c r="V432" s="173" t="str">
        <f>IFERROR(__xludf.DUMMYFUNCTION("""COMPUTED_VALUE"""),"Diamond Horse Armor")</f>
        <v>Diamond Horse Armor</v>
      </c>
      <c r="W432" s="174"/>
    </row>
    <row r="433">
      <c r="B433" s="175"/>
      <c r="R433" s="176"/>
      <c r="U433" s="172" t="str">
        <f>IFERROR(__xludf.DUMMYFUNCTION("""COMPUTED_VALUE"""),"")</f>
        <v/>
      </c>
      <c r="V433" s="173" t="str">
        <f>IFERROR(__xludf.DUMMYFUNCTION("""COMPUTED_VALUE"""),"Diamond Leggings")</f>
        <v>Diamond Leggings</v>
      </c>
      <c r="W433" s="174"/>
    </row>
    <row r="434">
      <c r="B434" s="175"/>
      <c r="R434" s="176"/>
      <c r="U434" s="172" t="str">
        <f>IFERROR(__xludf.DUMMYFUNCTION("""COMPUTED_VALUE"""),"")</f>
        <v/>
      </c>
      <c r="V434" s="173" t="str">
        <f>IFERROR(__xludf.DUMMYFUNCTION("""COMPUTED_VALUE"""),"Diamond Ore")</f>
        <v>Diamond Ore</v>
      </c>
      <c r="W434" s="174"/>
    </row>
    <row r="435">
      <c r="B435" s="175"/>
      <c r="R435" s="176"/>
      <c r="U435" s="172" t="str">
        <f>IFERROR(__xludf.DUMMYFUNCTION("""COMPUTED_VALUE"""),"")</f>
        <v/>
      </c>
      <c r="V435" s="173" t="str">
        <f>IFERROR(__xludf.DUMMYFUNCTION("""COMPUTED_VALUE"""),"Diamond Pickaxe")</f>
        <v>Diamond Pickaxe</v>
      </c>
      <c r="W435" s="174"/>
    </row>
    <row r="436">
      <c r="B436" s="175"/>
      <c r="R436" s="176"/>
      <c r="U436" s="172" t="str">
        <f>IFERROR(__xludf.DUMMYFUNCTION("""COMPUTED_VALUE"""),"")</f>
        <v/>
      </c>
      <c r="V436" s="173" t="str">
        <f>IFERROR(__xludf.DUMMYFUNCTION("""COMPUTED_VALUE"""),"Diamond Shovel")</f>
        <v>Diamond Shovel</v>
      </c>
      <c r="W436" s="174"/>
    </row>
    <row r="437">
      <c r="B437" s="175"/>
      <c r="R437" s="176"/>
      <c r="U437" s="172" t="str">
        <f>IFERROR(__xludf.DUMMYFUNCTION("""COMPUTED_VALUE"""),"")</f>
        <v/>
      </c>
      <c r="V437" s="173" t="str">
        <f>IFERROR(__xludf.DUMMYFUNCTION("""COMPUTED_VALUE"""),"Diamond Sword")</f>
        <v>Diamond Sword</v>
      </c>
      <c r="W437" s="174"/>
    </row>
    <row r="438">
      <c r="B438" s="175"/>
      <c r="R438" s="176"/>
      <c r="U438" s="172" t="str">
        <f>IFERROR(__xludf.DUMMYFUNCTION("""COMPUTED_VALUE"""),"")</f>
        <v/>
      </c>
      <c r="V438" s="173" t="str">
        <f>IFERROR(__xludf.DUMMYFUNCTION("""COMPUTED_VALUE"""),"Diorite")</f>
        <v>Diorite</v>
      </c>
      <c r="W438" s="174"/>
    </row>
    <row r="439">
      <c r="B439" s="175"/>
      <c r="R439" s="176"/>
      <c r="U439" s="172" t="str">
        <f>IFERROR(__xludf.DUMMYFUNCTION("""COMPUTED_VALUE"""),"")</f>
        <v/>
      </c>
      <c r="V439" s="173" t="str">
        <f>IFERROR(__xludf.DUMMYFUNCTION("""COMPUTED_VALUE"""),"Diorite Slab")</f>
        <v>Diorite Slab</v>
      </c>
      <c r="W439" s="174"/>
    </row>
    <row r="440">
      <c r="B440" s="175"/>
      <c r="R440" s="176"/>
      <c r="U440" s="172" t="str">
        <f>IFERROR(__xludf.DUMMYFUNCTION("""COMPUTED_VALUE"""),"")</f>
        <v/>
      </c>
      <c r="V440" s="173" t="str">
        <f>IFERROR(__xludf.DUMMYFUNCTION("""COMPUTED_VALUE"""),"Diorite Stairs")</f>
        <v>Diorite Stairs</v>
      </c>
      <c r="W440" s="174"/>
    </row>
    <row r="441">
      <c r="B441" s="175"/>
      <c r="R441" s="176"/>
      <c r="U441" s="172" t="str">
        <f>IFERROR(__xludf.DUMMYFUNCTION("""COMPUTED_VALUE"""),"")</f>
        <v/>
      </c>
      <c r="V441" s="173" t="str">
        <f>IFERROR(__xludf.DUMMYFUNCTION("""COMPUTED_VALUE"""),"Diorite Wall")</f>
        <v>Diorite Wall</v>
      </c>
      <c r="W441" s="174"/>
    </row>
    <row r="442">
      <c r="B442" s="175"/>
      <c r="R442" s="176"/>
      <c r="U442" s="172" t="str">
        <f>IFERROR(__xludf.DUMMYFUNCTION("""COMPUTED_VALUE"""),"")</f>
        <v/>
      </c>
      <c r="V442" s="173" t="str">
        <f>IFERROR(__xludf.DUMMYFUNCTION("""COMPUTED_VALUE"""),"Dirt")</f>
        <v>Dirt</v>
      </c>
      <c r="W442" s="174"/>
    </row>
    <row r="443">
      <c r="B443" s="175"/>
      <c r="R443" s="176"/>
      <c r="U443" s="172" t="str">
        <f>IFERROR(__xludf.DUMMYFUNCTION("""COMPUTED_VALUE"""),"")</f>
        <v/>
      </c>
      <c r="V443" s="173" t="str">
        <f>IFERROR(__xludf.DUMMYFUNCTION("""COMPUTED_VALUE"""),"Disc Fragment 5")</f>
        <v>Disc Fragment 5</v>
      </c>
      <c r="W443" s="174"/>
    </row>
    <row r="444">
      <c r="B444" s="175"/>
      <c r="R444" s="176"/>
      <c r="U444" s="172" t="str">
        <f>IFERROR(__xludf.DUMMYFUNCTION("""COMPUTED_VALUE"""),"")</f>
        <v/>
      </c>
      <c r="V444" s="173" t="str">
        <f>IFERROR(__xludf.DUMMYFUNCTION("""COMPUTED_VALUE"""),"Dispenser")</f>
        <v>Dispenser</v>
      </c>
      <c r="W444" s="174"/>
    </row>
    <row r="445">
      <c r="B445" s="175"/>
      <c r="R445" s="176"/>
      <c r="U445" s="172" t="str">
        <f>IFERROR(__xludf.DUMMYFUNCTION("""COMPUTED_VALUE"""),"")</f>
        <v/>
      </c>
      <c r="V445" s="173" t="str">
        <f>IFERROR(__xludf.DUMMYFUNCTION("""COMPUTED_VALUE"""),"Dragon Breath")</f>
        <v>Dragon Breath</v>
      </c>
      <c r="W445" s="174"/>
    </row>
    <row r="446">
      <c r="B446" s="175"/>
      <c r="R446" s="176"/>
      <c r="U446" s="172" t="str">
        <f>IFERROR(__xludf.DUMMYFUNCTION("""COMPUTED_VALUE"""),"")</f>
        <v/>
      </c>
      <c r="V446" s="173" t="str">
        <f>IFERROR(__xludf.DUMMYFUNCTION("""COMPUTED_VALUE"""),"Dragon Egg")</f>
        <v>Dragon Egg</v>
      </c>
      <c r="W446" s="174"/>
    </row>
    <row r="447">
      <c r="B447" s="175"/>
      <c r="R447" s="176"/>
      <c r="U447" s="172" t="str">
        <f>IFERROR(__xludf.DUMMYFUNCTION("""COMPUTED_VALUE"""),"")</f>
        <v/>
      </c>
      <c r="V447" s="173" t="str">
        <f>IFERROR(__xludf.DUMMYFUNCTION("""COMPUTED_VALUE"""),"Dragon Head")</f>
        <v>Dragon Head</v>
      </c>
      <c r="W447" s="174"/>
    </row>
    <row r="448">
      <c r="B448" s="175"/>
      <c r="R448" s="176"/>
      <c r="U448" s="172" t="str">
        <f>IFERROR(__xludf.DUMMYFUNCTION("""COMPUTED_VALUE"""),"")</f>
        <v/>
      </c>
      <c r="V448" s="173" t="str">
        <f>IFERROR(__xludf.DUMMYFUNCTION("""COMPUTED_VALUE"""),"Dried Kelp")</f>
        <v>Dried Kelp</v>
      </c>
      <c r="W448" s="174"/>
    </row>
    <row r="449">
      <c r="B449" s="175"/>
      <c r="R449" s="176"/>
      <c r="U449" s="172" t="str">
        <f>IFERROR(__xludf.DUMMYFUNCTION("""COMPUTED_VALUE"""),"")</f>
        <v/>
      </c>
      <c r="V449" s="173" t="str">
        <f>IFERROR(__xludf.DUMMYFUNCTION("""COMPUTED_VALUE"""),"Dried Kelp Block")</f>
        <v>Dried Kelp Block</v>
      </c>
      <c r="W449" s="174"/>
    </row>
    <row r="450">
      <c r="B450" s="175"/>
      <c r="R450" s="176"/>
      <c r="U450" s="172" t="str">
        <f>IFERROR(__xludf.DUMMYFUNCTION("""COMPUTED_VALUE"""),"")</f>
        <v/>
      </c>
      <c r="V450" s="173" t="str">
        <f>IFERROR(__xludf.DUMMYFUNCTION("""COMPUTED_VALUE"""),"Dripstone Block")</f>
        <v>Dripstone Block</v>
      </c>
      <c r="W450" s="174"/>
    </row>
    <row r="451">
      <c r="B451" s="175"/>
      <c r="R451" s="176"/>
      <c r="U451" s="172" t="str">
        <f>IFERROR(__xludf.DUMMYFUNCTION("""COMPUTED_VALUE"""),"")</f>
        <v/>
      </c>
      <c r="V451" s="173" t="str">
        <f>IFERROR(__xludf.DUMMYFUNCTION("""COMPUTED_VALUE"""),"Dropper")</f>
        <v>Dropper</v>
      </c>
      <c r="W451" s="174"/>
    </row>
    <row r="452">
      <c r="B452" s="175"/>
      <c r="R452" s="176"/>
      <c r="U452" s="172" t="str">
        <f>IFERROR(__xludf.DUMMYFUNCTION("""COMPUTED_VALUE"""),"")</f>
        <v/>
      </c>
      <c r="V452" s="173" t="str">
        <f>IFERROR(__xludf.DUMMYFUNCTION("""COMPUTED_VALUE"""),"Dune Armor Trim")</f>
        <v>Dune Armor Trim</v>
      </c>
      <c r="W452" s="174"/>
    </row>
    <row r="453">
      <c r="B453" s="175"/>
      <c r="R453" s="176"/>
      <c r="U453" s="172" t="str">
        <f>IFERROR(__xludf.DUMMYFUNCTION("""COMPUTED_VALUE"""),"")</f>
        <v/>
      </c>
      <c r="V453" s="173" t="str">
        <f>IFERROR(__xludf.DUMMYFUNCTION("""COMPUTED_VALUE"""),"Echo Shard")</f>
        <v>Echo Shard</v>
      </c>
      <c r="W453" s="174"/>
    </row>
    <row r="454">
      <c r="B454" s="175"/>
      <c r="R454" s="176"/>
      <c r="U454" s="172" t="str">
        <f>IFERROR(__xludf.DUMMYFUNCTION("""COMPUTED_VALUE"""),"")</f>
        <v/>
      </c>
      <c r="V454" s="173" t="str">
        <f>IFERROR(__xludf.DUMMYFUNCTION("""COMPUTED_VALUE"""),"Egg")</f>
        <v>Egg</v>
      </c>
      <c r="W454" s="174"/>
    </row>
    <row r="455">
      <c r="B455" s="175"/>
      <c r="R455" s="176"/>
      <c r="U455" s="172" t="str">
        <f>IFERROR(__xludf.DUMMYFUNCTION("""COMPUTED_VALUE"""),"")</f>
        <v/>
      </c>
      <c r="V455" s="173" t="str">
        <f>IFERROR(__xludf.DUMMYFUNCTION("""COMPUTED_VALUE"""),"Elytra")</f>
        <v>Elytra</v>
      </c>
      <c r="W455" s="174"/>
    </row>
    <row r="456">
      <c r="B456" s="175"/>
      <c r="R456" s="176"/>
      <c r="U456" s="172" t="str">
        <f>IFERROR(__xludf.DUMMYFUNCTION("""COMPUTED_VALUE"""),"")</f>
        <v/>
      </c>
      <c r="V456" s="173" t="str">
        <f>IFERROR(__xludf.DUMMYFUNCTION("""COMPUTED_VALUE"""),"Emerald")</f>
        <v>Emerald</v>
      </c>
      <c r="W456" s="174"/>
    </row>
    <row r="457">
      <c r="B457" s="175"/>
      <c r="R457" s="176"/>
      <c r="U457" s="172" t="str">
        <f>IFERROR(__xludf.DUMMYFUNCTION("""COMPUTED_VALUE"""),"")</f>
        <v/>
      </c>
      <c r="V457" s="173" t="str">
        <f>IFERROR(__xludf.DUMMYFUNCTION("""COMPUTED_VALUE"""),"Emerald Block")</f>
        <v>Emerald Block</v>
      </c>
      <c r="W457" s="174"/>
    </row>
    <row r="458">
      <c r="B458" s="175"/>
      <c r="R458" s="176"/>
      <c r="U458" s="172" t="str">
        <f>IFERROR(__xludf.DUMMYFUNCTION("""COMPUTED_VALUE"""),"")</f>
        <v/>
      </c>
      <c r="V458" s="173" t="str">
        <f>IFERROR(__xludf.DUMMYFUNCTION("""COMPUTED_VALUE"""),"Emerald Ore")</f>
        <v>Emerald Ore</v>
      </c>
      <c r="W458" s="174"/>
    </row>
    <row r="459">
      <c r="B459" s="175"/>
      <c r="R459" s="176"/>
      <c r="U459" s="172" t="str">
        <f>IFERROR(__xludf.DUMMYFUNCTION("""COMPUTED_VALUE"""),"")</f>
        <v/>
      </c>
      <c r="V459" s="173" t="str">
        <f>IFERROR(__xludf.DUMMYFUNCTION("""COMPUTED_VALUE"""),"Enchanted Book")</f>
        <v>Enchanted Book</v>
      </c>
      <c r="W459" s="174"/>
    </row>
    <row r="460">
      <c r="B460" s="175"/>
      <c r="R460" s="176"/>
      <c r="U460" s="172" t="str">
        <f>IFERROR(__xludf.DUMMYFUNCTION("""COMPUTED_VALUE"""),"")</f>
        <v/>
      </c>
      <c r="V460" s="173" t="str">
        <f>IFERROR(__xludf.DUMMYFUNCTION("""COMPUTED_VALUE"""),"Enchanted Golden Apple")</f>
        <v>Enchanted Golden Apple</v>
      </c>
      <c r="W460" s="174"/>
    </row>
    <row r="461">
      <c r="B461" s="175"/>
      <c r="R461" s="176"/>
      <c r="U461" s="172" t="str">
        <f>IFERROR(__xludf.DUMMYFUNCTION("""COMPUTED_VALUE"""),"")</f>
        <v/>
      </c>
      <c r="V461" s="173" t="str">
        <f>IFERROR(__xludf.DUMMYFUNCTION("""COMPUTED_VALUE"""),"Enchanting Table")</f>
        <v>Enchanting Table</v>
      </c>
      <c r="W461" s="174"/>
    </row>
    <row r="462">
      <c r="B462" s="175"/>
      <c r="R462" s="176"/>
      <c r="U462" s="172" t="str">
        <f>IFERROR(__xludf.DUMMYFUNCTION("""COMPUTED_VALUE"""),"")</f>
        <v/>
      </c>
      <c r="V462" s="173" t="str">
        <f>IFERROR(__xludf.DUMMYFUNCTION("""COMPUTED_VALUE"""),"End Crystal")</f>
        <v>End Crystal</v>
      </c>
      <c r="W462" s="174"/>
    </row>
    <row r="463">
      <c r="B463" s="175"/>
      <c r="R463" s="176"/>
      <c r="U463" s="172" t="str">
        <f>IFERROR(__xludf.DUMMYFUNCTION("""COMPUTED_VALUE"""),"")</f>
        <v/>
      </c>
      <c r="V463" s="173" t="str">
        <f>IFERROR(__xludf.DUMMYFUNCTION("""COMPUTED_VALUE"""),"End Rod")</f>
        <v>End Rod</v>
      </c>
      <c r="W463" s="174"/>
    </row>
    <row r="464">
      <c r="B464" s="175"/>
      <c r="R464" s="176"/>
      <c r="U464" s="172" t="str">
        <f>IFERROR(__xludf.DUMMYFUNCTION("""COMPUTED_VALUE"""),"")</f>
        <v/>
      </c>
      <c r="V464" s="173" t="str">
        <f>IFERROR(__xludf.DUMMYFUNCTION("""COMPUTED_VALUE"""),"End Stone")</f>
        <v>End Stone</v>
      </c>
      <c r="W464" s="174"/>
    </row>
    <row r="465">
      <c r="B465" s="175"/>
      <c r="R465" s="176"/>
      <c r="U465" s="172" t="str">
        <f>IFERROR(__xludf.DUMMYFUNCTION("""COMPUTED_VALUE"""),"")</f>
        <v/>
      </c>
      <c r="V465" s="173" t="str">
        <f>IFERROR(__xludf.DUMMYFUNCTION("""COMPUTED_VALUE"""),"End Stone Brick Slab")</f>
        <v>End Stone Brick Slab</v>
      </c>
      <c r="W465" s="174"/>
    </row>
    <row r="466">
      <c r="B466" s="175"/>
      <c r="R466" s="176"/>
      <c r="U466" s="172" t="str">
        <f>IFERROR(__xludf.DUMMYFUNCTION("""COMPUTED_VALUE"""),"")</f>
        <v/>
      </c>
      <c r="V466" s="173" t="str">
        <f>IFERROR(__xludf.DUMMYFUNCTION("""COMPUTED_VALUE"""),"End Stone Brick Stairs")</f>
        <v>End Stone Brick Stairs</v>
      </c>
      <c r="W466" s="174"/>
    </row>
    <row r="467">
      <c r="B467" s="175"/>
      <c r="R467" s="176"/>
      <c r="U467" s="172" t="str">
        <f>IFERROR(__xludf.DUMMYFUNCTION("""COMPUTED_VALUE"""),"")</f>
        <v/>
      </c>
      <c r="V467" s="173" t="str">
        <f>IFERROR(__xludf.DUMMYFUNCTION("""COMPUTED_VALUE"""),"End Stone Brick Wall")</f>
        <v>End Stone Brick Wall</v>
      </c>
      <c r="W467" s="174"/>
    </row>
    <row r="468">
      <c r="B468" s="175"/>
      <c r="R468" s="176"/>
      <c r="U468" s="172" t="str">
        <f>IFERROR(__xludf.DUMMYFUNCTION("""COMPUTED_VALUE"""),"")</f>
        <v/>
      </c>
      <c r="V468" s="173" t="str">
        <f>IFERROR(__xludf.DUMMYFUNCTION("""COMPUTED_VALUE"""),"End Stone Bricks")</f>
        <v>End Stone Bricks</v>
      </c>
      <c r="W468" s="174"/>
    </row>
    <row r="469">
      <c r="B469" s="175"/>
      <c r="R469" s="176"/>
      <c r="U469" s="172" t="str">
        <f>IFERROR(__xludf.DUMMYFUNCTION("""COMPUTED_VALUE"""),"")</f>
        <v/>
      </c>
      <c r="V469" s="173" t="str">
        <f>IFERROR(__xludf.DUMMYFUNCTION("""COMPUTED_VALUE"""),"Ender Chest")</f>
        <v>Ender Chest</v>
      </c>
      <c r="W469" s="174"/>
    </row>
    <row r="470">
      <c r="B470" s="175"/>
      <c r="R470" s="176"/>
      <c r="U470" s="172" t="str">
        <f>IFERROR(__xludf.DUMMYFUNCTION("""COMPUTED_VALUE"""),"")</f>
        <v/>
      </c>
      <c r="V470" s="173" t="str">
        <f>IFERROR(__xludf.DUMMYFUNCTION("""COMPUTED_VALUE"""),"Ender Eye")</f>
        <v>Ender Eye</v>
      </c>
      <c r="W470" s="174"/>
    </row>
    <row r="471">
      <c r="B471" s="175"/>
      <c r="R471" s="176"/>
      <c r="U471" s="172" t="str">
        <f>IFERROR(__xludf.DUMMYFUNCTION("""COMPUTED_VALUE"""),"")</f>
        <v/>
      </c>
      <c r="V471" s="173" t="str">
        <f>IFERROR(__xludf.DUMMYFUNCTION("""COMPUTED_VALUE"""),"Ender Pearl")</f>
        <v>Ender Pearl</v>
      </c>
      <c r="W471" s="174"/>
    </row>
    <row r="472">
      <c r="B472" s="175"/>
      <c r="R472" s="176"/>
      <c r="U472" s="172" t="str">
        <f>IFERROR(__xludf.DUMMYFUNCTION("""COMPUTED_VALUE"""),"")</f>
        <v/>
      </c>
      <c r="V472" s="173" t="str">
        <f>IFERROR(__xludf.DUMMYFUNCTION("""COMPUTED_VALUE"""),"Experience Bottle")</f>
        <v>Experience Bottle</v>
      </c>
      <c r="W472" s="174"/>
    </row>
    <row r="473">
      <c r="B473" s="175"/>
      <c r="R473" s="176"/>
      <c r="U473" s="172" t="str">
        <f>IFERROR(__xludf.DUMMYFUNCTION("""COMPUTED_VALUE"""),"")</f>
        <v/>
      </c>
      <c r="V473" s="173" t="str">
        <f>IFERROR(__xludf.DUMMYFUNCTION("""COMPUTED_VALUE"""),"Explorer Pottery Sherd")</f>
        <v>Explorer Pottery Sherd</v>
      </c>
      <c r="W473" s="174"/>
    </row>
    <row r="474">
      <c r="B474" s="175"/>
      <c r="R474" s="176"/>
      <c r="U474" s="172" t="str">
        <f>IFERROR(__xludf.DUMMYFUNCTION("""COMPUTED_VALUE"""),"")</f>
        <v/>
      </c>
      <c r="V474" s="173" t="str">
        <f>IFERROR(__xludf.DUMMYFUNCTION("""COMPUTED_VALUE"""),"Exposed Chiseled Copper")</f>
        <v>Exposed Chiseled Copper</v>
      </c>
      <c r="W474" s="174"/>
    </row>
    <row r="475">
      <c r="B475" s="175"/>
      <c r="R475" s="176"/>
      <c r="U475" s="172" t="str">
        <f>IFERROR(__xludf.DUMMYFUNCTION("""COMPUTED_VALUE"""),"")</f>
        <v/>
      </c>
      <c r="V475" s="173" t="str">
        <f>IFERROR(__xludf.DUMMYFUNCTION("""COMPUTED_VALUE"""),"Exposed Copper")</f>
        <v>Exposed Copper</v>
      </c>
      <c r="W475" s="174"/>
    </row>
    <row r="476">
      <c r="B476" s="175"/>
      <c r="R476" s="176"/>
      <c r="U476" s="172" t="str">
        <f>IFERROR(__xludf.DUMMYFUNCTION("""COMPUTED_VALUE"""),"")</f>
        <v/>
      </c>
      <c r="V476" s="173" t="str">
        <f>IFERROR(__xludf.DUMMYFUNCTION("""COMPUTED_VALUE"""),"Exposed Copper Bulb")</f>
        <v>Exposed Copper Bulb</v>
      </c>
      <c r="W476" s="174"/>
    </row>
    <row r="477">
      <c r="B477" s="175"/>
      <c r="R477" s="176"/>
      <c r="U477" s="172" t="str">
        <f>IFERROR(__xludf.DUMMYFUNCTION("""COMPUTED_VALUE"""),"")</f>
        <v/>
      </c>
      <c r="V477" s="173" t="str">
        <f>IFERROR(__xludf.DUMMYFUNCTION("""COMPUTED_VALUE"""),"Exposed Copper Door")</f>
        <v>Exposed Copper Door</v>
      </c>
      <c r="W477" s="174"/>
    </row>
    <row r="478">
      <c r="B478" s="175"/>
      <c r="R478" s="176"/>
      <c r="U478" s="172" t="str">
        <f>IFERROR(__xludf.DUMMYFUNCTION("""COMPUTED_VALUE"""),"")</f>
        <v/>
      </c>
      <c r="V478" s="173" t="str">
        <f>IFERROR(__xludf.DUMMYFUNCTION("""COMPUTED_VALUE"""),"Exposed Copper Grate")</f>
        <v>Exposed Copper Grate</v>
      </c>
      <c r="W478" s="174"/>
    </row>
    <row r="479">
      <c r="B479" s="175"/>
      <c r="R479" s="176"/>
      <c r="U479" s="172" t="str">
        <f>IFERROR(__xludf.DUMMYFUNCTION("""COMPUTED_VALUE"""),"")</f>
        <v/>
      </c>
      <c r="V479" s="173" t="str">
        <f>IFERROR(__xludf.DUMMYFUNCTION("""COMPUTED_VALUE"""),"Exposed Copper Trapdoor")</f>
        <v>Exposed Copper Trapdoor</v>
      </c>
      <c r="W479" s="174"/>
    </row>
    <row r="480">
      <c r="B480" s="175"/>
      <c r="R480" s="176"/>
      <c r="U480" s="172" t="str">
        <f>IFERROR(__xludf.DUMMYFUNCTION("""COMPUTED_VALUE"""),"")</f>
        <v/>
      </c>
      <c r="V480" s="173" t="str">
        <f>IFERROR(__xludf.DUMMYFUNCTION("""COMPUTED_VALUE"""),"Exposed Cut Copper")</f>
        <v>Exposed Cut Copper</v>
      </c>
      <c r="W480" s="174"/>
    </row>
    <row r="481">
      <c r="B481" s="175"/>
      <c r="R481" s="176"/>
      <c r="U481" s="172" t="str">
        <f>IFERROR(__xludf.DUMMYFUNCTION("""COMPUTED_VALUE"""),"")</f>
        <v/>
      </c>
      <c r="V481" s="173" t="str">
        <f>IFERROR(__xludf.DUMMYFUNCTION("""COMPUTED_VALUE"""),"Exposed Cut Copper Slab")</f>
        <v>Exposed Cut Copper Slab</v>
      </c>
      <c r="W481" s="174"/>
    </row>
    <row r="482">
      <c r="B482" s="175"/>
      <c r="R482" s="176"/>
      <c r="U482" s="172" t="str">
        <f>IFERROR(__xludf.DUMMYFUNCTION("""COMPUTED_VALUE"""),"")</f>
        <v/>
      </c>
      <c r="V482" s="173" t="str">
        <f>IFERROR(__xludf.DUMMYFUNCTION("""COMPUTED_VALUE"""),"Exposed Cut Copper Stairs")</f>
        <v>Exposed Cut Copper Stairs</v>
      </c>
      <c r="W482" s="174"/>
    </row>
    <row r="483">
      <c r="B483" s="175"/>
      <c r="R483" s="176"/>
      <c r="U483" s="172" t="str">
        <f>IFERROR(__xludf.DUMMYFUNCTION("""COMPUTED_VALUE"""),"")</f>
        <v/>
      </c>
      <c r="V483" s="173" t="str">
        <f>IFERROR(__xludf.DUMMYFUNCTION("""COMPUTED_VALUE"""),"Eye Armor Trim")</f>
        <v>Eye Armor Trim</v>
      </c>
      <c r="W483" s="174"/>
    </row>
    <row r="484">
      <c r="B484" s="175"/>
      <c r="R484" s="176"/>
      <c r="U484" s="172" t="str">
        <f>IFERROR(__xludf.DUMMYFUNCTION("""COMPUTED_VALUE"""),"")</f>
        <v/>
      </c>
      <c r="V484" s="173" t="str">
        <f>IFERROR(__xludf.DUMMYFUNCTION("""COMPUTED_VALUE"""),"Feather")</f>
        <v>Feather</v>
      </c>
      <c r="W484" s="174"/>
    </row>
    <row r="485">
      <c r="B485" s="175"/>
      <c r="R485" s="176"/>
      <c r="U485" s="172" t="str">
        <f>IFERROR(__xludf.DUMMYFUNCTION("""COMPUTED_VALUE"""),"")</f>
        <v/>
      </c>
      <c r="V485" s="173" t="str">
        <f>IFERROR(__xludf.DUMMYFUNCTION("""COMPUTED_VALUE"""),"Fermented Spider Eye")</f>
        <v>Fermented Spider Eye</v>
      </c>
      <c r="W485" s="174"/>
    </row>
    <row r="486">
      <c r="B486" s="175"/>
      <c r="R486" s="176"/>
      <c r="U486" s="172" t="str">
        <f>IFERROR(__xludf.DUMMYFUNCTION("""COMPUTED_VALUE"""),"")</f>
        <v/>
      </c>
      <c r="V486" s="173" t="str">
        <f>IFERROR(__xludf.DUMMYFUNCTION("""COMPUTED_VALUE"""),"Fern")</f>
        <v>Fern</v>
      </c>
      <c r="W486" s="174"/>
    </row>
    <row r="487">
      <c r="B487" s="175"/>
      <c r="R487" s="176"/>
      <c r="U487" s="172" t="str">
        <f>IFERROR(__xludf.DUMMYFUNCTION("""COMPUTED_VALUE"""),"")</f>
        <v/>
      </c>
      <c r="V487" s="173" t="str">
        <f>IFERROR(__xludf.DUMMYFUNCTION("""COMPUTED_VALUE"""),"Filled Map")</f>
        <v>Filled Map</v>
      </c>
      <c r="W487" s="174"/>
    </row>
    <row r="488">
      <c r="B488" s="175"/>
      <c r="R488" s="176"/>
      <c r="U488" s="172" t="str">
        <f>IFERROR(__xludf.DUMMYFUNCTION("""COMPUTED_VALUE"""),"")</f>
        <v/>
      </c>
      <c r="V488" s="173" t="str">
        <f>IFERROR(__xludf.DUMMYFUNCTION("""COMPUTED_VALUE"""),"Fire Charge")</f>
        <v>Fire Charge</v>
      </c>
      <c r="W488" s="174"/>
    </row>
    <row r="489">
      <c r="B489" s="175"/>
      <c r="R489" s="176"/>
      <c r="U489" s="172" t="str">
        <f>IFERROR(__xludf.DUMMYFUNCTION("""COMPUTED_VALUE"""),"")</f>
        <v/>
      </c>
      <c r="V489" s="173" t="str">
        <f>IFERROR(__xludf.DUMMYFUNCTION("""COMPUTED_VALUE"""),"Fire Coral")</f>
        <v>Fire Coral</v>
      </c>
      <c r="W489" s="174"/>
    </row>
    <row r="490">
      <c r="B490" s="175"/>
      <c r="R490" s="176"/>
      <c r="U490" s="172" t="str">
        <f>IFERROR(__xludf.DUMMYFUNCTION("""COMPUTED_VALUE"""),"")</f>
        <v/>
      </c>
      <c r="V490" s="173" t="str">
        <f>IFERROR(__xludf.DUMMYFUNCTION("""COMPUTED_VALUE"""),"Fire Coral Block")</f>
        <v>Fire Coral Block</v>
      </c>
      <c r="W490" s="174"/>
    </row>
    <row r="491">
      <c r="B491" s="175"/>
      <c r="R491" s="176"/>
      <c r="U491" s="172" t="str">
        <f>IFERROR(__xludf.DUMMYFUNCTION("""COMPUTED_VALUE"""),"")</f>
        <v/>
      </c>
      <c r="V491" s="173" t="str">
        <f>IFERROR(__xludf.DUMMYFUNCTION("""COMPUTED_VALUE"""),"Fire Coral Fan")</f>
        <v>Fire Coral Fan</v>
      </c>
      <c r="W491" s="174"/>
    </row>
    <row r="492">
      <c r="B492" s="175"/>
      <c r="R492" s="176"/>
      <c r="U492" s="172" t="str">
        <f>IFERROR(__xludf.DUMMYFUNCTION("""COMPUTED_VALUE"""),"")</f>
        <v/>
      </c>
      <c r="V492" s="173" t="str">
        <f>IFERROR(__xludf.DUMMYFUNCTION("""COMPUTED_VALUE"""),"Firework Rocket")</f>
        <v>Firework Rocket</v>
      </c>
      <c r="W492" s="174"/>
    </row>
    <row r="493">
      <c r="B493" s="175"/>
      <c r="R493" s="176"/>
      <c r="U493" s="172" t="str">
        <f>IFERROR(__xludf.DUMMYFUNCTION("""COMPUTED_VALUE"""),"")</f>
        <v/>
      </c>
      <c r="V493" s="173" t="str">
        <f>IFERROR(__xludf.DUMMYFUNCTION("""COMPUTED_VALUE"""),"Firework Star")</f>
        <v>Firework Star</v>
      </c>
      <c r="W493" s="174"/>
    </row>
    <row r="494">
      <c r="B494" s="175"/>
      <c r="R494" s="176"/>
      <c r="U494" s="172" t="str">
        <f>IFERROR(__xludf.DUMMYFUNCTION("""COMPUTED_VALUE"""),"")</f>
        <v/>
      </c>
      <c r="V494" s="173" t="str">
        <f>IFERROR(__xludf.DUMMYFUNCTION("""COMPUTED_VALUE"""),"Fishing Rod")</f>
        <v>Fishing Rod</v>
      </c>
      <c r="W494" s="174"/>
    </row>
    <row r="495">
      <c r="B495" s="175"/>
      <c r="R495" s="176"/>
      <c r="U495" s="172" t="str">
        <f>IFERROR(__xludf.DUMMYFUNCTION("""COMPUTED_VALUE"""),"")</f>
        <v/>
      </c>
      <c r="V495" s="173" t="str">
        <f>IFERROR(__xludf.DUMMYFUNCTION("""COMPUTED_VALUE"""),"Fletching Table")</f>
        <v>Fletching Table</v>
      </c>
      <c r="W495" s="174"/>
    </row>
    <row r="496">
      <c r="B496" s="175"/>
      <c r="R496" s="176"/>
      <c r="U496" s="172" t="str">
        <f>IFERROR(__xludf.DUMMYFUNCTION("""COMPUTED_VALUE"""),"")</f>
        <v/>
      </c>
      <c r="V496" s="173" t="str">
        <f>IFERROR(__xludf.DUMMYFUNCTION("""COMPUTED_VALUE"""),"Flint")</f>
        <v>Flint</v>
      </c>
      <c r="W496" s="174"/>
    </row>
    <row r="497">
      <c r="B497" s="175"/>
      <c r="R497" s="176"/>
      <c r="U497" s="172" t="str">
        <f>IFERROR(__xludf.DUMMYFUNCTION("""COMPUTED_VALUE"""),"")</f>
        <v/>
      </c>
      <c r="V497" s="173" t="str">
        <f>IFERROR(__xludf.DUMMYFUNCTION("""COMPUTED_VALUE"""),"Flint And Steel")</f>
        <v>Flint And Steel</v>
      </c>
      <c r="W497" s="174"/>
    </row>
    <row r="498">
      <c r="B498" s="175"/>
      <c r="R498" s="176"/>
      <c r="U498" s="172" t="str">
        <f>IFERROR(__xludf.DUMMYFUNCTION("""COMPUTED_VALUE"""),"")</f>
        <v/>
      </c>
      <c r="V498" s="173" t="str">
        <f>IFERROR(__xludf.DUMMYFUNCTION("""COMPUTED_VALUE"""),"Flow Armor Trim Smithing Template")</f>
        <v>Flow Armor Trim Smithing Template</v>
      </c>
      <c r="W498" s="174"/>
    </row>
    <row r="499">
      <c r="B499" s="175"/>
      <c r="R499" s="176"/>
      <c r="U499" s="172" t="str">
        <f>IFERROR(__xludf.DUMMYFUNCTION("""COMPUTED_VALUE"""),"")</f>
        <v/>
      </c>
      <c r="V499" s="173" t="str">
        <f>IFERROR(__xludf.DUMMYFUNCTION("""COMPUTED_VALUE"""),"Flow Banner Pattern")</f>
        <v>Flow Banner Pattern</v>
      </c>
      <c r="W499" s="174"/>
    </row>
    <row r="500">
      <c r="B500" s="175"/>
      <c r="R500" s="176"/>
      <c r="U500" s="172" t="str">
        <f>IFERROR(__xludf.DUMMYFUNCTION("""COMPUTED_VALUE"""),"")</f>
        <v/>
      </c>
      <c r="V500" s="173" t="str">
        <f>IFERROR(__xludf.DUMMYFUNCTION("""COMPUTED_VALUE"""),"Flow Pottery Sherd")</f>
        <v>Flow Pottery Sherd</v>
      </c>
      <c r="W500" s="174"/>
    </row>
    <row r="501">
      <c r="B501" s="175"/>
      <c r="R501" s="176"/>
      <c r="U501" s="172" t="str">
        <f>IFERROR(__xludf.DUMMYFUNCTION("""COMPUTED_VALUE"""),"")</f>
        <v/>
      </c>
      <c r="V501" s="173" t="str">
        <f>IFERROR(__xludf.DUMMYFUNCTION("""COMPUTED_VALUE"""),"Flower Banner Pattern")</f>
        <v>Flower Banner Pattern</v>
      </c>
      <c r="W501" s="174"/>
    </row>
    <row r="502">
      <c r="B502" s="175"/>
      <c r="R502" s="176"/>
      <c r="U502" s="172" t="str">
        <f>IFERROR(__xludf.DUMMYFUNCTION("""COMPUTED_VALUE"""),"")</f>
        <v/>
      </c>
      <c r="V502" s="173" t="str">
        <f>IFERROR(__xludf.DUMMYFUNCTION("""COMPUTED_VALUE"""),"Flower Pot")</f>
        <v>Flower Pot</v>
      </c>
      <c r="W502" s="174"/>
    </row>
    <row r="503">
      <c r="B503" s="175"/>
      <c r="R503" s="176"/>
      <c r="U503" s="172" t="str">
        <f>IFERROR(__xludf.DUMMYFUNCTION("""COMPUTED_VALUE"""),"")</f>
        <v/>
      </c>
      <c r="V503" s="173" t="str">
        <f>IFERROR(__xludf.DUMMYFUNCTION("""COMPUTED_VALUE"""),"Flowering Azalea")</f>
        <v>Flowering Azalea</v>
      </c>
      <c r="W503" s="174"/>
    </row>
    <row r="504">
      <c r="B504" s="175"/>
      <c r="R504" s="176"/>
      <c r="U504" s="172" t="str">
        <f>IFERROR(__xludf.DUMMYFUNCTION("""COMPUTED_VALUE"""),"")</f>
        <v/>
      </c>
      <c r="V504" s="173" t="str">
        <f>IFERROR(__xludf.DUMMYFUNCTION("""COMPUTED_VALUE"""),"Flowering Azalea Leaves")</f>
        <v>Flowering Azalea Leaves</v>
      </c>
      <c r="W504" s="174"/>
    </row>
    <row r="505">
      <c r="B505" s="175"/>
      <c r="R505" s="176"/>
      <c r="U505" s="172" t="str">
        <f>IFERROR(__xludf.DUMMYFUNCTION("""COMPUTED_VALUE"""),"")</f>
        <v/>
      </c>
      <c r="V505" s="173" t="str">
        <f>IFERROR(__xludf.DUMMYFUNCTION("""COMPUTED_VALUE"""),"Friend Pottery Sherd")</f>
        <v>Friend Pottery Sherd</v>
      </c>
      <c r="W505" s="174"/>
    </row>
    <row r="506">
      <c r="B506" s="175"/>
      <c r="R506" s="176"/>
      <c r="U506" s="172" t="str">
        <f>IFERROR(__xludf.DUMMYFUNCTION("""COMPUTED_VALUE"""),"")</f>
        <v/>
      </c>
      <c r="V506" s="173" t="str">
        <f>IFERROR(__xludf.DUMMYFUNCTION("""COMPUTED_VALUE"""),"Furnace")</f>
        <v>Furnace</v>
      </c>
      <c r="W506" s="174"/>
    </row>
    <row r="507">
      <c r="B507" s="175"/>
      <c r="R507" s="176"/>
      <c r="U507" s="172" t="str">
        <f>IFERROR(__xludf.DUMMYFUNCTION("""COMPUTED_VALUE"""),"")</f>
        <v/>
      </c>
      <c r="V507" s="173" t="str">
        <f>IFERROR(__xludf.DUMMYFUNCTION("""COMPUTED_VALUE"""),"Furnace Minecart")</f>
        <v>Furnace Minecart</v>
      </c>
      <c r="W507" s="174"/>
    </row>
    <row r="508">
      <c r="B508" s="175"/>
      <c r="R508" s="176"/>
      <c r="U508" s="172" t="str">
        <f>IFERROR(__xludf.DUMMYFUNCTION("""COMPUTED_VALUE"""),"")</f>
        <v/>
      </c>
      <c r="V508" s="173" t="str">
        <f>IFERROR(__xludf.DUMMYFUNCTION("""COMPUTED_VALUE"""),"Ghast Tear")</f>
        <v>Ghast Tear</v>
      </c>
      <c r="W508" s="174"/>
    </row>
    <row r="509">
      <c r="B509" s="175"/>
      <c r="R509" s="176"/>
      <c r="U509" s="172" t="str">
        <f>IFERROR(__xludf.DUMMYFUNCTION("""COMPUTED_VALUE"""),"")</f>
        <v/>
      </c>
      <c r="V509" s="173" t="str">
        <f>IFERROR(__xludf.DUMMYFUNCTION("""COMPUTED_VALUE"""),"Gilded Blackstone")</f>
        <v>Gilded Blackstone</v>
      </c>
      <c r="W509" s="174"/>
    </row>
    <row r="510">
      <c r="B510" s="175"/>
      <c r="R510" s="176"/>
      <c r="U510" s="172" t="str">
        <f>IFERROR(__xludf.DUMMYFUNCTION("""COMPUTED_VALUE"""),"")</f>
        <v/>
      </c>
      <c r="V510" s="173" t="str">
        <f>IFERROR(__xludf.DUMMYFUNCTION("""COMPUTED_VALUE"""),"Glass")</f>
        <v>Glass</v>
      </c>
      <c r="W510" s="174"/>
    </row>
    <row r="511">
      <c r="B511" s="175"/>
      <c r="R511" s="176"/>
      <c r="U511" s="172" t="str">
        <f>IFERROR(__xludf.DUMMYFUNCTION("""COMPUTED_VALUE"""),"")</f>
        <v/>
      </c>
      <c r="V511" s="173" t="str">
        <f>IFERROR(__xludf.DUMMYFUNCTION("""COMPUTED_VALUE"""),"Glass Bottle")</f>
        <v>Glass Bottle</v>
      </c>
      <c r="W511" s="174"/>
    </row>
    <row r="512">
      <c r="B512" s="175"/>
      <c r="R512" s="176"/>
      <c r="U512" s="172" t="str">
        <f>IFERROR(__xludf.DUMMYFUNCTION("""COMPUTED_VALUE"""),"")</f>
        <v/>
      </c>
      <c r="V512" s="173" t="str">
        <f>IFERROR(__xludf.DUMMYFUNCTION("""COMPUTED_VALUE"""),"Glass Pane")</f>
        <v>Glass Pane</v>
      </c>
      <c r="W512" s="174"/>
    </row>
    <row r="513">
      <c r="B513" s="175"/>
      <c r="R513" s="176"/>
      <c r="U513" s="172" t="str">
        <f>IFERROR(__xludf.DUMMYFUNCTION("""COMPUTED_VALUE"""),"")</f>
        <v/>
      </c>
      <c r="V513" s="173" t="str">
        <f>IFERROR(__xludf.DUMMYFUNCTION("""COMPUTED_VALUE"""),"Glistering Melon Slice")</f>
        <v>Glistering Melon Slice</v>
      </c>
      <c r="W513" s="174"/>
    </row>
    <row r="514">
      <c r="B514" s="175"/>
      <c r="R514" s="176"/>
      <c r="U514" s="172" t="str">
        <f>IFERROR(__xludf.DUMMYFUNCTION("""COMPUTED_VALUE"""),"")</f>
        <v/>
      </c>
      <c r="V514" s="173" t="str">
        <f>IFERROR(__xludf.DUMMYFUNCTION("""COMPUTED_VALUE"""),"Globe Banner Pattern")</f>
        <v>Globe Banner Pattern</v>
      </c>
      <c r="W514" s="174"/>
    </row>
    <row r="515">
      <c r="B515" s="175"/>
      <c r="R515" s="176"/>
      <c r="U515" s="172" t="str">
        <f>IFERROR(__xludf.DUMMYFUNCTION("""COMPUTED_VALUE"""),"")</f>
        <v/>
      </c>
      <c r="V515" s="173" t="str">
        <f>IFERROR(__xludf.DUMMYFUNCTION("""COMPUTED_VALUE"""),"Glow Berries")</f>
        <v>Glow Berries</v>
      </c>
      <c r="W515" s="174"/>
    </row>
    <row r="516">
      <c r="B516" s="175"/>
      <c r="R516" s="176"/>
      <c r="U516" s="172" t="str">
        <f>IFERROR(__xludf.DUMMYFUNCTION("""COMPUTED_VALUE"""),"")</f>
        <v/>
      </c>
      <c r="V516" s="173" t="str">
        <f>IFERROR(__xludf.DUMMYFUNCTION("""COMPUTED_VALUE"""),"Glow Ink Sac")</f>
        <v>Glow Ink Sac</v>
      </c>
      <c r="W516" s="174"/>
    </row>
    <row r="517">
      <c r="B517" s="175"/>
      <c r="R517" s="176"/>
      <c r="U517" s="172" t="str">
        <f>IFERROR(__xludf.DUMMYFUNCTION("""COMPUTED_VALUE"""),"")</f>
        <v/>
      </c>
      <c r="V517" s="173" t="str">
        <f>IFERROR(__xludf.DUMMYFUNCTION("""COMPUTED_VALUE"""),"Glow Item Frame")</f>
        <v>Glow Item Frame</v>
      </c>
      <c r="W517" s="174"/>
    </row>
    <row r="518">
      <c r="B518" s="175"/>
      <c r="R518" s="176"/>
      <c r="U518" s="172" t="str">
        <f>IFERROR(__xludf.DUMMYFUNCTION("""COMPUTED_VALUE"""),"")</f>
        <v/>
      </c>
      <c r="V518" s="173" t="str">
        <f>IFERROR(__xludf.DUMMYFUNCTION("""COMPUTED_VALUE"""),"Glow Lichen")</f>
        <v>Glow Lichen</v>
      </c>
      <c r="W518" s="174"/>
    </row>
    <row r="519">
      <c r="B519" s="175"/>
      <c r="R519" s="176"/>
      <c r="U519" s="172" t="str">
        <f>IFERROR(__xludf.DUMMYFUNCTION("""COMPUTED_VALUE"""),"")</f>
        <v/>
      </c>
      <c r="V519" s="173" t="str">
        <f>IFERROR(__xludf.DUMMYFUNCTION("""COMPUTED_VALUE"""),"Glowstone")</f>
        <v>Glowstone</v>
      </c>
      <c r="W519" s="174"/>
    </row>
    <row r="520">
      <c r="B520" s="175"/>
      <c r="R520" s="176"/>
      <c r="U520" s="172" t="str">
        <f>IFERROR(__xludf.DUMMYFUNCTION("""COMPUTED_VALUE"""),"")</f>
        <v/>
      </c>
      <c r="V520" s="173" t="str">
        <f>IFERROR(__xludf.DUMMYFUNCTION("""COMPUTED_VALUE"""),"Glowstone Dust")</f>
        <v>Glowstone Dust</v>
      </c>
      <c r="W520" s="174"/>
    </row>
    <row r="521">
      <c r="B521" s="175"/>
      <c r="R521" s="176"/>
      <c r="U521" s="172" t="str">
        <f>IFERROR(__xludf.DUMMYFUNCTION("""COMPUTED_VALUE"""),"")</f>
        <v/>
      </c>
      <c r="V521" s="173" t="str">
        <f>IFERROR(__xludf.DUMMYFUNCTION("""COMPUTED_VALUE"""),"Goat Horn")</f>
        <v>Goat Horn</v>
      </c>
      <c r="W521" s="174"/>
    </row>
    <row r="522">
      <c r="B522" s="175"/>
      <c r="R522" s="176"/>
      <c r="U522" s="172" t="str">
        <f>IFERROR(__xludf.DUMMYFUNCTION("""COMPUTED_VALUE"""),"")</f>
        <v/>
      </c>
      <c r="V522" s="173" t="str">
        <f>IFERROR(__xludf.DUMMYFUNCTION("""COMPUTED_VALUE"""),"Gold Block")</f>
        <v>Gold Block</v>
      </c>
      <c r="W522" s="174"/>
    </row>
    <row r="523">
      <c r="B523" s="175"/>
      <c r="R523" s="176"/>
      <c r="U523" s="172" t="str">
        <f>IFERROR(__xludf.DUMMYFUNCTION("""COMPUTED_VALUE"""),"")</f>
        <v/>
      </c>
      <c r="V523" s="173" t="str">
        <f>IFERROR(__xludf.DUMMYFUNCTION("""COMPUTED_VALUE"""),"Gold Ingot")</f>
        <v>Gold Ingot</v>
      </c>
      <c r="W523" s="174"/>
    </row>
    <row r="524">
      <c r="B524" s="175"/>
      <c r="R524" s="176"/>
      <c r="U524" s="172" t="str">
        <f>IFERROR(__xludf.DUMMYFUNCTION("""COMPUTED_VALUE"""),"")</f>
        <v/>
      </c>
      <c r="V524" s="173" t="str">
        <f>IFERROR(__xludf.DUMMYFUNCTION("""COMPUTED_VALUE"""),"Gold Nugget")</f>
        <v>Gold Nugget</v>
      </c>
      <c r="W524" s="174"/>
    </row>
    <row r="525">
      <c r="B525" s="175"/>
      <c r="R525" s="176"/>
      <c r="U525" s="172" t="str">
        <f>IFERROR(__xludf.DUMMYFUNCTION("""COMPUTED_VALUE"""),"")</f>
        <v/>
      </c>
      <c r="V525" s="173" t="str">
        <f>IFERROR(__xludf.DUMMYFUNCTION("""COMPUTED_VALUE"""),"Gold Ore")</f>
        <v>Gold Ore</v>
      </c>
      <c r="W525" s="174"/>
    </row>
    <row r="526">
      <c r="B526" s="175"/>
      <c r="R526" s="176"/>
      <c r="U526" s="172" t="str">
        <f>IFERROR(__xludf.DUMMYFUNCTION("""COMPUTED_VALUE"""),"")</f>
        <v/>
      </c>
      <c r="V526" s="173" t="str">
        <f>IFERROR(__xludf.DUMMYFUNCTION("""COMPUTED_VALUE"""),"Golden Apple")</f>
        <v>Golden Apple</v>
      </c>
      <c r="W526" s="174"/>
    </row>
    <row r="527">
      <c r="B527" s="175"/>
      <c r="R527" s="176"/>
      <c r="U527" s="172" t="str">
        <f>IFERROR(__xludf.DUMMYFUNCTION("""COMPUTED_VALUE"""),"")</f>
        <v/>
      </c>
      <c r="V527" s="173" t="str">
        <f>IFERROR(__xludf.DUMMYFUNCTION("""COMPUTED_VALUE"""),"Golden Axe")</f>
        <v>Golden Axe</v>
      </c>
      <c r="W527" s="174"/>
    </row>
    <row r="528">
      <c r="B528" s="175"/>
      <c r="R528" s="176"/>
      <c r="U528" s="172" t="str">
        <f>IFERROR(__xludf.DUMMYFUNCTION("""COMPUTED_VALUE"""),"")</f>
        <v/>
      </c>
      <c r="V528" s="173" t="str">
        <f>IFERROR(__xludf.DUMMYFUNCTION("""COMPUTED_VALUE"""),"Golden Boots")</f>
        <v>Golden Boots</v>
      </c>
      <c r="W528" s="174"/>
    </row>
    <row r="529">
      <c r="B529" s="175"/>
      <c r="R529" s="176"/>
      <c r="U529" s="172" t="str">
        <f>IFERROR(__xludf.DUMMYFUNCTION("""COMPUTED_VALUE"""),"")</f>
        <v/>
      </c>
      <c r="V529" s="173" t="str">
        <f>IFERROR(__xludf.DUMMYFUNCTION("""COMPUTED_VALUE"""),"Golden Carrot")</f>
        <v>Golden Carrot</v>
      </c>
      <c r="W529" s="174"/>
    </row>
    <row r="530">
      <c r="B530" s="175"/>
      <c r="R530" s="176"/>
      <c r="U530" s="172" t="str">
        <f>IFERROR(__xludf.DUMMYFUNCTION("""COMPUTED_VALUE"""),"")</f>
        <v/>
      </c>
      <c r="V530" s="173" t="str">
        <f>IFERROR(__xludf.DUMMYFUNCTION("""COMPUTED_VALUE"""),"Golden Chestplate")</f>
        <v>Golden Chestplate</v>
      </c>
      <c r="W530" s="174"/>
    </row>
    <row r="531">
      <c r="B531" s="175"/>
      <c r="R531" s="176"/>
      <c r="U531" s="172" t="str">
        <f>IFERROR(__xludf.DUMMYFUNCTION("""COMPUTED_VALUE"""),"")</f>
        <v/>
      </c>
      <c r="V531" s="173" t="str">
        <f>IFERROR(__xludf.DUMMYFUNCTION("""COMPUTED_VALUE"""),"Golden Helmet")</f>
        <v>Golden Helmet</v>
      </c>
      <c r="W531" s="174"/>
    </row>
    <row r="532">
      <c r="B532" s="175"/>
      <c r="R532" s="176"/>
      <c r="U532" s="172" t="str">
        <f>IFERROR(__xludf.DUMMYFUNCTION("""COMPUTED_VALUE"""),"")</f>
        <v/>
      </c>
      <c r="V532" s="173" t="str">
        <f>IFERROR(__xludf.DUMMYFUNCTION("""COMPUTED_VALUE"""),"Golden Hoe")</f>
        <v>Golden Hoe</v>
      </c>
      <c r="W532" s="174"/>
    </row>
    <row r="533">
      <c r="B533" s="175"/>
      <c r="R533" s="176"/>
      <c r="U533" s="172" t="str">
        <f>IFERROR(__xludf.DUMMYFUNCTION("""COMPUTED_VALUE"""),"")</f>
        <v/>
      </c>
      <c r="V533" s="173" t="str">
        <f>IFERROR(__xludf.DUMMYFUNCTION("""COMPUTED_VALUE"""),"Golden Horse Armor")</f>
        <v>Golden Horse Armor</v>
      </c>
      <c r="W533" s="174"/>
    </row>
    <row r="534">
      <c r="B534" s="175"/>
      <c r="R534" s="176"/>
      <c r="U534" s="172" t="str">
        <f>IFERROR(__xludf.DUMMYFUNCTION("""COMPUTED_VALUE"""),"")</f>
        <v/>
      </c>
      <c r="V534" s="173" t="str">
        <f>IFERROR(__xludf.DUMMYFUNCTION("""COMPUTED_VALUE"""),"Golden Leggings")</f>
        <v>Golden Leggings</v>
      </c>
      <c r="W534" s="174"/>
    </row>
    <row r="535">
      <c r="B535" s="175"/>
      <c r="R535" s="176"/>
      <c r="U535" s="172" t="str">
        <f>IFERROR(__xludf.DUMMYFUNCTION("""COMPUTED_VALUE"""),"")</f>
        <v/>
      </c>
      <c r="V535" s="173" t="str">
        <f>IFERROR(__xludf.DUMMYFUNCTION("""COMPUTED_VALUE"""),"Golden Pickaxe")</f>
        <v>Golden Pickaxe</v>
      </c>
      <c r="W535" s="174"/>
    </row>
    <row r="536">
      <c r="B536" s="175"/>
      <c r="R536" s="176"/>
      <c r="U536" s="172" t="str">
        <f>IFERROR(__xludf.DUMMYFUNCTION("""COMPUTED_VALUE"""),"")</f>
        <v/>
      </c>
      <c r="V536" s="173" t="str">
        <f>IFERROR(__xludf.DUMMYFUNCTION("""COMPUTED_VALUE"""),"Golden Shovel")</f>
        <v>Golden Shovel</v>
      </c>
      <c r="W536" s="174"/>
    </row>
    <row r="537">
      <c r="B537" s="175"/>
      <c r="R537" s="176"/>
      <c r="U537" s="172" t="str">
        <f>IFERROR(__xludf.DUMMYFUNCTION("""COMPUTED_VALUE"""),"")</f>
        <v/>
      </c>
      <c r="V537" s="173" t="str">
        <f>IFERROR(__xludf.DUMMYFUNCTION("""COMPUTED_VALUE"""),"Golden Sword")</f>
        <v>Golden Sword</v>
      </c>
      <c r="W537" s="174"/>
    </row>
    <row r="538">
      <c r="B538" s="175"/>
      <c r="R538" s="176"/>
      <c r="U538" s="172" t="str">
        <f>IFERROR(__xludf.DUMMYFUNCTION("""COMPUTED_VALUE"""),"")</f>
        <v/>
      </c>
      <c r="V538" s="173" t="str">
        <f>IFERROR(__xludf.DUMMYFUNCTION("""COMPUTED_VALUE"""),"Granite")</f>
        <v>Granite</v>
      </c>
      <c r="W538" s="174"/>
    </row>
    <row r="539">
      <c r="B539" s="175"/>
      <c r="R539" s="176"/>
      <c r="U539" s="172" t="str">
        <f>IFERROR(__xludf.DUMMYFUNCTION("""COMPUTED_VALUE"""),"")</f>
        <v/>
      </c>
      <c r="V539" s="173" t="str">
        <f>IFERROR(__xludf.DUMMYFUNCTION("""COMPUTED_VALUE"""),"Granite Slab")</f>
        <v>Granite Slab</v>
      </c>
      <c r="W539" s="174"/>
    </row>
    <row r="540">
      <c r="B540" s="175"/>
      <c r="R540" s="176"/>
      <c r="U540" s="172" t="str">
        <f>IFERROR(__xludf.DUMMYFUNCTION("""COMPUTED_VALUE"""),"")</f>
        <v/>
      </c>
      <c r="V540" s="173" t="str">
        <f>IFERROR(__xludf.DUMMYFUNCTION("""COMPUTED_VALUE"""),"Granite Stairs")</f>
        <v>Granite Stairs</v>
      </c>
      <c r="W540" s="174"/>
    </row>
    <row r="541">
      <c r="B541" s="175"/>
      <c r="R541" s="176"/>
      <c r="U541" s="172" t="str">
        <f>IFERROR(__xludf.DUMMYFUNCTION("""COMPUTED_VALUE"""),"")</f>
        <v/>
      </c>
      <c r="V541" s="173" t="str">
        <f>IFERROR(__xludf.DUMMYFUNCTION("""COMPUTED_VALUE"""),"Granite Wall")</f>
        <v>Granite Wall</v>
      </c>
      <c r="W541" s="174"/>
    </row>
    <row r="542">
      <c r="B542" s="175"/>
      <c r="R542" s="176"/>
      <c r="U542" s="172" t="str">
        <f>IFERROR(__xludf.DUMMYFUNCTION("""COMPUTED_VALUE"""),"")</f>
        <v/>
      </c>
      <c r="V542" s="173" t="str">
        <f>IFERROR(__xludf.DUMMYFUNCTION("""COMPUTED_VALUE"""),"Grass")</f>
        <v>Grass</v>
      </c>
      <c r="W542" s="174"/>
    </row>
    <row r="543">
      <c r="B543" s="175"/>
      <c r="R543" s="176"/>
      <c r="U543" s="172" t="str">
        <f>IFERROR(__xludf.DUMMYFUNCTION("""COMPUTED_VALUE"""),"")</f>
        <v/>
      </c>
      <c r="V543" s="173" t="str">
        <f>IFERROR(__xludf.DUMMYFUNCTION("""COMPUTED_VALUE"""),"Grass Block")</f>
        <v>Grass Block</v>
      </c>
      <c r="W543" s="174"/>
    </row>
    <row r="544">
      <c r="B544" s="175"/>
      <c r="R544" s="176"/>
      <c r="U544" s="172" t="str">
        <f>IFERROR(__xludf.DUMMYFUNCTION("""COMPUTED_VALUE"""),"")</f>
        <v/>
      </c>
      <c r="V544" s="173" t="str">
        <f>IFERROR(__xludf.DUMMYFUNCTION("""COMPUTED_VALUE"""),"Gravel")</f>
        <v>Gravel</v>
      </c>
      <c r="W544" s="174"/>
    </row>
    <row r="545">
      <c r="B545" s="175"/>
      <c r="R545" s="176"/>
      <c r="U545" s="172" t="str">
        <f>IFERROR(__xludf.DUMMYFUNCTION("""COMPUTED_VALUE"""),"")</f>
        <v/>
      </c>
      <c r="V545" s="173" t="str">
        <f>IFERROR(__xludf.DUMMYFUNCTION("""COMPUTED_VALUE"""),"Gray Banner")</f>
        <v>Gray Banner</v>
      </c>
      <c r="W545" s="174"/>
    </row>
    <row r="546">
      <c r="B546" s="175"/>
      <c r="R546" s="176"/>
      <c r="U546" s="172" t="str">
        <f>IFERROR(__xludf.DUMMYFUNCTION("""COMPUTED_VALUE"""),"")</f>
        <v/>
      </c>
      <c r="V546" s="173" t="str">
        <f>IFERROR(__xludf.DUMMYFUNCTION("""COMPUTED_VALUE"""),"Gray Bed")</f>
        <v>Gray Bed</v>
      </c>
      <c r="W546" s="174"/>
    </row>
    <row r="547">
      <c r="B547" s="175"/>
      <c r="R547" s="176"/>
      <c r="U547" s="172" t="str">
        <f>IFERROR(__xludf.DUMMYFUNCTION("""COMPUTED_VALUE"""),"")</f>
        <v/>
      </c>
      <c r="V547" s="173" t="str">
        <f>IFERROR(__xludf.DUMMYFUNCTION("""COMPUTED_VALUE"""),"Gray Candle")</f>
        <v>Gray Candle</v>
      </c>
      <c r="W547" s="174"/>
    </row>
    <row r="548">
      <c r="B548" s="175"/>
      <c r="R548" s="176"/>
      <c r="U548" s="172" t="str">
        <f>IFERROR(__xludf.DUMMYFUNCTION("""COMPUTED_VALUE"""),"")</f>
        <v/>
      </c>
      <c r="V548" s="173" t="str">
        <f>IFERROR(__xludf.DUMMYFUNCTION("""COMPUTED_VALUE"""),"Gray Carpet")</f>
        <v>Gray Carpet</v>
      </c>
      <c r="W548" s="174"/>
    </row>
    <row r="549">
      <c r="B549" s="175"/>
      <c r="R549" s="176"/>
      <c r="U549" s="172" t="str">
        <f>IFERROR(__xludf.DUMMYFUNCTION("""COMPUTED_VALUE"""),"")</f>
        <v/>
      </c>
      <c r="V549" s="173" t="str">
        <f>IFERROR(__xludf.DUMMYFUNCTION("""COMPUTED_VALUE"""),"Gray Concrete")</f>
        <v>Gray Concrete</v>
      </c>
      <c r="W549" s="174"/>
    </row>
    <row r="550">
      <c r="B550" s="175"/>
      <c r="R550" s="176"/>
      <c r="U550" s="172" t="str">
        <f>IFERROR(__xludf.DUMMYFUNCTION("""COMPUTED_VALUE"""),"")</f>
        <v/>
      </c>
      <c r="V550" s="173" t="str">
        <f>IFERROR(__xludf.DUMMYFUNCTION("""COMPUTED_VALUE"""),"Gray Concrete Powder")</f>
        <v>Gray Concrete Powder</v>
      </c>
      <c r="W550" s="174"/>
    </row>
    <row r="551">
      <c r="B551" s="175"/>
      <c r="R551" s="176"/>
      <c r="U551" s="172" t="str">
        <f>IFERROR(__xludf.DUMMYFUNCTION("""COMPUTED_VALUE"""),"")</f>
        <v/>
      </c>
      <c r="V551" s="173" t="str">
        <f>IFERROR(__xludf.DUMMYFUNCTION("""COMPUTED_VALUE"""),"Gray Dye")</f>
        <v>Gray Dye</v>
      </c>
      <c r="W551" s="174"/>
    </row>
    <row r="552">
      <c r="B552" s="175"/>
      <c r="R552" s="176"/>
      <c r="U552" s="172" t="str">
        <f>IFERROR(__xludf.DUMMYFUNCTION("""COMPUTED_VALUE"""),"")</f>
        <v/>
      </c>
      <c r="V552" s="173" t="str">
        <f>IFERROR(__xludf.DUMMYFUNCTION("""COMPUTED_VALUE"""),"Gray Glazed Terracotta")</f>
        <v>Gray Glazed Terracotta</v>
      </c>
      <c r="W552" s="174"/>
    </row>
    <row r="553">
      <c r="B553" s="175"/>
      <c r="R553" s="176"/>
      <c r="U553" s="172" t="str">
        <f>IFERROR(__xludf.DUMMYFUNCTION("""COMPUTED_VALUE"""),"")</f>
        <v/>
      </c>
      <c r="V553" s="173" t="str">
        <f>IFERROR(__xludf.DUMMYFUNCTION("""COMPUTED_VALUE"""),"Gray Shulker Box")</f>
        <v>Gray Shulker Box</v>
      </c>
      <c r="W553" s="174"/>
    </row>
    <row r="554">
      <c r="B554" s="175"/>
      <c r="R554" s="176"/>
      <c r="U554" s="172" t="str">
        <f>IFERROR(__xludf.DUMMYFUNCTION("""COMPUTED_VALUE"""),"")</f>
        <v/>
      </c>
      <c r="V554" s="173" t="str">
        <f>IFERROR(__xludf.DUMMYFUNCTION("""COMPUTED_VALUE"""),"Gray Stained Glass")</f>
        <v>Gray Stained Glass</v>
      </c>
      <c r="W554" s="174"/>
    </row>
    <row r="555">
      <c r="B555" s="175"/>
      <c r="R555" s="176"/>
      <c r="U555" s="172" t="str">
        <f>IFERROR(__xludf.DUMMYFUNCTION("""COMPUTED_VALUE"""),"")</f>
        <v/>
      </c>
      <c r="V555" s="173" t="str">
        <f>IFERROR(__xludf.DUMMYFUNCTION("""COMPUTED_VALUE"""),"Gray Stained Glass Pane")</f>
        <v>Gray Stained Glass Pane</v>
      </c>
      <c r="W555" s="174"/>
    </row>
    <row r="556">
      <c r="B556" s="175"/>
      <c r="R556" s="176"/>
      <c r="U556" s="172" t="str">
        <f>IFERROR(__xludf.DUMMYFUNCTION("""COMPUTED_VALUE"""),"")</f>
        <v/>
      </c>
      <c r="V556" s="173" t="str">
        <f>IFERROR(__xludf.DUMMYFUNCTION("""COMPUTED_VALUE"""),"Gray Terracotta")</f>
        <v>Gray Terracotta</v>
      </c>
      <c r="W556" s="174"/>
    </row>
    <row r="557">
      <c r="B557" s="175"/>
      <c r="R557" s="176"/>
      <c r="U557" s="172" t="str">
        <f>IFERROR(__xludf.DUMMYFUNCTION("""COMPUTED_VALUE"""),"")</f>
        <v/>
      </c>
      <c r="V557" s="173" t="str">
        <f>IFERROR(__xludf.DUMMYFUNCTION("""COMPUTED_VALUE"""),"Gray Wool")</f>
        <v>Gray Wool</v>
      </c>
      <c r="W557" s="174"/>
    </row>
    <row r="558">
      <c r="B558" s="175"/>
      <c r="R558" s="176"/>
      <c r="U558" s="172" t="str">
        <f>IFERROR(__xludf.DUMMYFUNCTION("""COMPUTED_VALUE"""),"")</f>
        <v/>
      </c>
      <c r="V558" s="173" t="str">
        <f>IFERROR(__xludf.DUMMYFUNCTION("""COMPUTED_VALUE"""),"Green Banner")</f>
        <v>Green Banner</v>
      </c>
      <c r="W558" s="174"/>
    </row>
    <row r="559">
      <c r="B559" s="175"/>
      <c r="R559" s="176"/>
      <c r="U559" s="172" t="str">
        <f>IFERROR(__xludf.DUMMYFUNCTION("""COMPUTED_VALUE"""),"")</f>
        <v/>
      </c>
      <c r="V559" s="173" t="str">
        <f>IFERROR(__xludf.DUMMYFUNCTION("""COMPUTED_VALUE"""),"Green Bed")</f>
        <v>Green Bed</v>
      </c>
      <c r="W559" s="174"/>
    </row>
    <row r="560">
      <c r="B560" s="175"/>
      <c r="R560" s="176"/>
      <c r="U560" s="172" t="str">
        <f>IFERROR(__xludf.DUMMYFUNCTION("""COMPUTED_VALUE"""),"")</f>
        <v/>
      </c>
      <c r="V560" s="173" t="str">
        <f>IFERROR(__xludf.DUMMYFUNCTION("""COMPUTED_VALUE"""),"Green Candle")</f>
        <v>Green Candle</v>
      </c>
      <c r="W560" s="174"/>
    </row>
    <row r="561">
      <c r="B561" s="175"/>
      <c r="R561" s="176"/>
      <c r="U561" s="172" t="str">
        <f>IFERROR(__xludf.DUMMYFUNCTION("""COMPUTED_VALUE"""),"")</f>
        <v/>
      </c>
      <c r="V561" s="173" t="str">
        <f>IFERROR(__xludf.DUMMYFUNCTION("""COMPUTED_VALUE"""),"Green Carpet")</f>
        <v>Green Carpet</v>
      </c>
      <c r="W561" s="174"/>
    </row>
    <row r="562">
      <c r="B562" s="175"/>
      <c r="R562" s="176"/>
      <c r="U562" s="172" t="str">
        <f>IFERROR(__xludf.DUMMYFUNCTION("""COMPUTED_VALUE"""),"")</f>
        <v/>
      </c>
      <c r="V562" s="173" t="str">
        <f>IFERROR(__xludf.DUMMYFUNCTION("""COMPUTED_VALUE"""),"Green Concrete")</f>
        <v>Green Concrete</v>
      </c>
      <c r="W562" s="174"/>
    </row>
    <row r="563">
      <c r="B563" s="175"/>
      <c r="R563" s="176"/>
      <c r="U563" s="172" t="str">
        <f>IFERROR(__xludf.DUMMYFUNCTION("""COMPUTED_VALUE"""),"")</f>
        <v/>
      </c>
      <c r="V563" s="173" t="str">
        <f>IFERROR(__xludf.DUMMYFUNCTION("""COMPUTED_VALUE"""),"Green Concrete Powder")</f>
        <v>Green Concrete Powder</v>
      </c>
      <c r="W563" s="174"/>
    </row>
    <row r="564">
      <c r="B564" s="175"/>
      <c r="R564" s="176"/>
      <c r="U564" s="172" t="str">
        <f>IFERROR(__xludf.DUMMYFUNCTION("""COMPUTED_VALUE"""),"")</f>
        <v/>
      </c>
      <c r="V564" s="173" t="str">
        <f>IFERROR(__xludf.DUMMYFUNCTION("""COMPUTED_VALUE"""),"Green Dye")</f>
        <v>Green Dye</v>
      </c>
      <c r="W564" s="174"/>
    </row>
    <row r="565">
      <c r="B565" s="175"/>
      <c r="R565" s="176"/>
      <c r="U565" s="172" t="str">
        <f>IFERROR(__xludf.DUMMYFUNCTION("""COMPUTED_VALUE"""),"")</f>
        <v/>
      </c>
      <c r="V565" s="173" t="str">
        <f>IFERROR(__xludf.DUMMYFUNCTION("""COMPUTED_VALUE"""),"Green Glazed Terracotta")</f>
        <v>Green Glazed Terracotta</v>
      </c>
      <c r="W565" s="174"/>
    </row>
    <row r="566">
      <c r="B566" s="175"/>
      <c r="R566" s="176"/>
      <c r="U566" s="172" t="str">
        <f>IFERROR(__xludf.DUMMYFUNCTION("""COMPUTED_VALUE"""),"")</f>
        <v/>
      </c>
      <c r="V566" s="173" t="str">
        <f>IFERROR(__xludf.DUMMYFUNCTION("""COMPUTED_VALUE"""),"Green Shulker Box")</f>
        <v>Green Shulker Box</v>
      </c>
      <c r="W566" s="174"/>
    </row>
    <row r="567">
      <c r="B567" s="175"/>
      <c r="R567" s="176"/>
      <c r="U567" s="172" t="str">
        <f>IFERROR(__xludf.DUMMYFUNCTION("""COMPUTED_VALUE"""),"")</f>
        <v/>
      </c>
      <c r="V567" s="173" t="str">
        <f>IFERROR(__xludf.DUMMYFUNCTION("""COMPUTED_VALUE"""),"Green Stained Glass")</f>
        <v>Green Stained Glass</v>
      </c>
      <c r="W567" s="174"/>
    </row>
    <row r="568">
      <c r="B568" s="175"/>
      <c r="R568" s="176"/>
      <c r="U568" s="172" t="str">
        <f>IFERROR(__xludf.DUMMYFUNCTION("""COMPUTED_VALUE"""),"")</f>
        <v/>
      </c>
      <c r="V568" s="173" t="str">
        <f>IFERROR(__xludf.DUMMYFUNCTION("""COMPUTED_VALUE"""),"Green Stained Glass Pane")</f>
        <v>Green Stained Glass Pane</v>
      </c>
      <c r="W568" s="174"/>
    </row>
    <row r="569">
      <c r="B569" s="175"/>
      <c r="R569" s="176"/>
      <c r="U569" s="172" t="str">
        <f>IFERROR(__xludf.DUMMYFUNCTION("""COMPUTED_VALUE"""),"")</f>
        <v/>
      </c>
      <c r="V569" s="173" t="str">
        <f>IFERROR(__xludf.DUMMYFUNCTION("""COMPUTED_VALUE"""),"Green Terracotta")</f>
        <v>Green Terracotta</v>
      </c>
      <c r="W569" s="174"/>
    </row>
    <row r="570">
      <c r="B570" s="175"/>
      <c r="R570" s="176"/>
      <c r="U570" s="172" t="str">
        <f>IFERROR(__xludf.DUMMYFUNCTION("""COMPUTED_VALUE"""),"")</f>
        <v/>
      </c>
      <c r="V570" s="173" t="str">
        <f>IFERROR(__xludf.DUMMYFUNCTION("""COMPUTED_VALUE"""),"Green Wool")</f>
        <v>Green Wool</v>
      </c>
      <c r="W570" s="174"/>
    </row>
    <row r="571">
      <c r="B571" s="175"/>
      <c r="R571" s="176"/>
      <c r="U571" s="172" t="str">
        <f>IFERROR(__xludf.DUMMYFUNCTION("""COMPUTED_VALUE"""),"")</f>
        <v/>
      </c>
      <c r="V571" s="173" t="str">
        <f>IFERROR(__xludf.DUMMYFUNCTION("""COMPUTED_VALUE"""),"Grindstone")</f>
        <v>Grindstone</v>
      </c>
      <c r="W571" s="174"/>
    </row>
    <row r="572">
      <c r="B572" s="175"/>
      <c r="R572" s="176"/>
      <c r="U572" s="172" t="str">
        <f>IFERROR(__xludf.DUMMYFUNCTION("""COMPUTED_VALUE"""),"")</f>
        <v/>
      </c>
      <c r="V572" s="173" t="str">
        <f>IFERROR(__xludf.DUMMYFUNCTION("""COMPUTED_VALUE"""),"Gunpowder")</f>
        <v>Gunpowder</v>
      </c>
      <c r="W572" s="174"/>
    </row>
    <row r="573">
      <c r="B573" s="175"/>
      <c r="R573" s="176"/>
      <c r="U573" s="172" t="str">
        <f>IFERROR(__xludf.DUMMYFUNCTION("""COMPUTED_VALUE"""),"")</f>
        <v/>
      </c>
      <c r="V573" s="173" t="str">
        <f>IFERROR(__xludf.DUMMYFUNCTION("""COMPUTED_VALUE"""),"Guster Banner Pattern")</f>
        <v>Guster Banner Pattern</v>
      </c>
      <c r="W573" s="174"/>
    </row>
    <row r="574">
      <c r="B574" s="175"/>
      <c r="R574" s="176"/>
      <c r="U574" s="172" t="str">
        <f>IFERROR(__xludf.DUMMYFUNCTION("""COMPUTED_VALUE"""),"")</f>
        <v/>
      </c>
      <c r="V574" s="173" t="str">
        <f>IFERROR(__xludf.DUMMYFUNCTION("""COMPUTED_VALUE"""),"Guster Pottery Sherd")</f>
        <v>Guster Pottery Sherd</v>
      </c>
      <c r="W574" s="174"/>
    </row>
    <row r="575">
      <c r="B575" s="175"/>
      <c r="R575" s="176"/>
      <c r="U575" s="172" t="str">
        <f>IFERROR(__xludf.DUMMYFUNCTION("""COMPUTED_VALUE"""),"")</f>
        <v/>
      </c>
      <c r="V575" s="173" t="str">
        <f>IFERROR(__xludf.DUMMYFUNCTION("""COMPUTED_VALUE"""),"Hanging Roots")</f>
        <v>Hanging Roots</v>
      </c>
      <c r="W575" s="174"/>
    </row>
    <row r="576">
      <c r="B576" s="175"/>
      <c r="R576" s="176"/>
      <c r="U576" s="172" t="str">
        <f>IFERROR(__xludf.DUMMYFUNCTION("""COMPUTED_VALUE"""),"")</f>
        <v/>
      </c>
      <c r="V576" s="173" t="str">
        <f>IFERROR(__xludf.DUMMYFUNCTION("""COMPUTED_VALUE"""),"Hay Block")</f>
        <v>Hay Block</v>
      </c>
      <c r="W576" s="174"/>
    </row>
    <row r="577">
      <c r="B577" s="175"/>
      <c r="R577" s="176"/>
      <c r="U577" s="172" t="str">
        <f>IFERROR(__xludf.DUMMYFUNCTION("""COMPUTED_VALUE"""),"")</f>
        <v/>
      </c>
      <c r="V577" s="173" t="str">
        <f>IFERROR(__xludf.DUMMYFUNCTION("""COMPUTED_VALUE"""),"Heart Of The Sea")</f>
        <v>Heart Of The Sea</v>
      </c>
      <c r="W577" s="174"/>
    </row>
    <row r="578">
      <c r="B578" s="175"/>
      <c r="R578" s="176"/>
      <c r="U578" s="172" t="str">
        <f>IFERROR(__xludf.DUMMYFUNCTION("""COMPUTED_VALUE"""),"")</f>
        <v/>
      </c>
      <c r="V578" s="173" t="str">
        <f>IFERROR(__xludf.DUMMYFUNCTION("""COMPUTED_VALUE"""),"Heart Pottery Sherd")</f>
        <v>Heart Pottery Sherd</v>
      </c>
      <c r="W578" s="174"/>
    </row>
    <row r="579">
      <c r="B579" s="175"/>
      <c r="R579" s="176"/>
      <c r="U579" s="172" t="str">
        <f>IFERROR(__xludf.DUMMYFUNCTION("""COMPUTED_VALUE"""),"")</f>
        <v/>
      </c>
      <c r="V579" s="173" t="str">
        <f>IFERROR(__xludf.DUMMYFUNCTION("""COMPUTED_VALUE"""),"Heartbreak Pottery Sherd")</f>
        <v>Heartbreak Pottery Sherd</v>
      </c>
      <c r="W579" s="174"/>
    </row>
    <row r="580">
      <c r="B580" s="175"/>
      <c r="R580" s="176"/>
      <c r="U580" s="172" t="str">
        <f>IFERROR(__xludf.DUMMYFUNCTION("""COMPUTED_VALUE"""),"")</f>
        <v/>
      </c>
      <c r="V580" s="173" t="str">
        <f>IFERROR(__xludf.DUMMYFUNCTION("""COMPUTED_VALUE"""),"Heavy Core")</f>
        <v>Heavy Core</v>
      </c>
      <c r="W580" s="174"/>
    </row>
    <row r="581">
      <c r="B581" s="175"/>
      <c r="R581" s="176"/>
      <c r="U581" s="172" t="str">
        <f>IFERROR(__xludf.DUMMYFUNCTION("""COMPUTED_VALUE"""),"")</f>
        <v/>
      </c>
      <c r="V581" s="173" t="str">
        <f>IFERROR(__xludf.DUMMYFUNCTION("""COMPUTED_VALUE"""),"Heavy Weighted Pressure Plate")</f>
        <v>Heavy Weighted Pressure Plate</v>
      </c>
      <c r="W581" s="174"/>
    </row>
    <row r="582">
      <c r="B582" s="175"/>
      <c r="R582" s="176"/>
      <c r="U582" s="172" t="str">
        <f>IFERROR(__xludf.DUMMYFUNCTION("""COMPUTED_VALUE"""),"")</f>
        <v/>
      </c>
      <c r="V582" s="173" t="str">
        <f>IFERROR(__xludf.DUMMYFUNCTION("""COMPUTED_VALUE"""),"Honey Block")</f>
        <v>Honey Block</v>
      </c>
      <c r="W582" s="174"/>
    </row>
    <row r="583">
      <c r="B583" s="175"/>
      <c r="R583" s="176"/>
      <c r="U583" s="172" t="str">
        <f>IFERROR(__xludf.DUMMYFUNCTION("""COMPUTED_VALUE"""),"")</f>
        <v/>
      </c>
      <c r="V583" s="173" t="str">
        <f>IFERROR(__xludf.DUMMYFUNCTION("""COMPUTED_VALUE"""),"Honey Bottle")</f>
        <v>Honey Bottle</v>
      </c>
      <c r="W583" s="174"/>
    </row>
    <row r="584">
      <c r="B584" s="175"/>
      <c r="R584" s="176"/>
      <c r="U584" s="172" t="str">
        <f>IFERROR(__xludf.DUMMYFUNCTION("""COMPUTED_VALUE"""),"")</f>
        <v/>
      </c>
      <c r="V584" s="173" t="str">
        <f>IFERROR(__xludf.DUMMYFUNCTION("""COMPUTED_VALUE"""),"Honeycomb")</f>
        <v>Honeycomb</v>
      </c>
      <c r="W584" s="174"/>
    </row>
    <row r="585">
      <c r="B585" s="175"/>
      <c r="R585" s="176"/>
      <c r="U585" s="172" t="str">
        <f>IFERROR(__xludf.DUMMYFUNCTION("""COMPUTED_VALUE"""),"")</f>
        <v/>
      </c>
      <c r="V585" s="173" t="str">
        <f>IFERROR(__xludf.DUMMYFUNCTION("""COMPUTED_VALUE"""),"Honeycomb Block")</f>
        <v>Honeycomb Block</v>
      </c>
      <c r="W585" s="174"/>
    </row>
    <row r="586">
      <c r="B586" s="175"/>
      <c r="R586" s="176"/>
      <c r="U586" s="172" t="str">
        <f>IFERROR(__xludf.DUMMYFUNCTION("""COMPUTED_VALUE"""),"")</f>
        <v/>
      </c>
      <c r="V586" s="173" t="str">
        <f>IFERROR(__xludf.DUMMYFUNCTION("""COMPUTED_VALUE"""),"Hopper")</f>
        <v>Hopper</v>
      </c>
      <c r="W586" s="174"/>
    </row>
    <row r="587">
      <c r="B587" s="175"/>
      <c r="R587" s="176"/>
      <c r="U587" s="172" t="str">
        <f>IFERROR(__xludf.DUMMYFUNCTION("""COMPUTED_VALUE"""),"")</f>
        <v/>
      </c>
      <c r="V587" s="173" t="str">
        <f>IFERROR(__xludf.DUMMYFUNCTION("""COMPUTED_VALUE"""),"Hopper Minecart")</f>
        <v>Hopper Minecart</v>
      </c>
      <c r="W587" s="174"/>
    </row>
    <row r="588">
      <c r="B588" s="175"/>
      <c r="R588" s="176"/>
      <c r="U588" s="172" t="str">
        <f>IFERROR(__xludf.DUMMYFUNCTION("""COMPUTED_VALUE"""),"")</f>
        <v/>
      </c>
      <c r="V588" s="173" t="str">
        <f>IFERROR(__xludf.DUMMYFUNCTION("""COMPUTED_VALUE"""),"Horn Coral")</f>
        <v>Horn Coral</v>
      </c>
      <c r="W588" s="174"/>
    </row>
    <row r="589">
      <c r="B589" s="175"/>
      <c r="R589" s="176"/>
      <c r="U589" s="172" t="str">
        <f>IFERROR(__xludf.DUMMYFUNCTION("""COMPUTED_VALUE"""),"")</f>
        <v/>
      </c>
      <c r="V589" s="173" t="str">
        <f>IFERROR(__xludf.DUMMYFUNCTION("""COMPUTED_VALUE"""),"Horn Coral Block")</f>
        <v>Horn Coral Block</v>
      </c>
      <c r="W589" s="174"/>
    </row>
    <row r="590">
      <c r="B590" s="175"/>
      <c r="R590" s="176"/>
      <c r="U590" s="172" t="str">
        <f>IFERROR(__xludf.DUMMYFUNCTION("""COMPUTED_VALUE"""),"")</f>
        <v/>
      </c>
      <c r="V590" s="173" t="str">
        <f>IFERROR(__xludf.DUMMYFUNCTION("""COMPUTED_VALUE"""),"Horn Coral Fan")</f>
        <v>Horn Coral Fan</v>
      </c>
      <c r="W590" s="174"/>
    </row>
    <row r="591">
      <c r="B591" s="175"/>
      <c r="R591" s="176"/>
      <c r="U591" s="172" t="str">
        <f>IFERROR(__xludf.DUMMYFUNCTION("""COMPUTED_VALUE"""),"")</f>
        <v/>
      </c>
      <c r="V591" s="173" t="str">
        <f>IFERROR(__xludf.DUMMYFUNCTION("""COMPUTED_VALUE"""),"Host Armor Trim")</f>
        <v>Host Armor Trim</v>
      </c>
      <c r="W591" s="174"/>
    </row>
    <row r="592">
      <c r="B592" s="175"/>
      <c r="R592" s="176"/>
      <c r="U592" s="172" t="str">
        <f>IFERROR(__xludf.DUMMYFUNCTION("""COMPUTED_VALUE"""),"")</f>
        <v/>
      </c>
      <c r="V592" s="173" t="str">
        <f>IFERROR(__xludf.DUMMYFUNCTION("""COMPUTED_VALUE"""),"Howl Pottery Sherd")</f>
        <v>Howl Pottery Sherd</v>
      </c>
      <c r="W592" s="174"/>
    </row>
    <row r="593">
      <c r="B593" s="175"/>
      <c r="R593" s="176"/>
      <c r="U593" s="172" t="str">
        <f>IFERROR(__xludf.DUMMYFUNCTION("""COMPUTED_VALUE"""),"")</f>
        <v/>
      </c>
      <c r="V593" s="173" t="str">
        <f>IFERROR(__xludf.DUMMYFUNCTION("""COMPUTED_VALUE"""),"Ice")</f>
        <v>Ice</v>
      </c>
      <c r="W593" s="174"/>
    </row>
    <row r="594">
      <c r="B594" s="175"/>
      <c r="R594" s="176"/>
      <c r="U594" s="172" t="str">
        <f>IFERROR(__xludf.DUMMYFUNCTION("""COMPUTED_VALUE"""),"")</f>
        <v/>
      </c>
      <c r="V594" s="173" t="str">
        <f>IFERROR(__xludf.DUMMYFUNCTION("""COMPUTED_VALUE"""),"Ink Sac")</f>
        <v>Ink Sac</v>
      </c>
      <c r="W594" s="174"/>
    </row>
    <row r="595">
      <c r="B595" s="175"/>
      <c r="R595" s="176"/>
      <c r="U595" s="172" t="str">
        <f>IFERROR(__xludf.DUMMYFUNCTION("""COMPUTED_VALUE"""),"")</f>
        <v/>
      </c>
      <c r="V595" s="173" t="str">
        <f>IFERROR(__xludf.DUMMYFUNCTION("""COMPUTED_VALUE"""),"Iron Axe")</f>
        <v>Iron Axe</v>
      </c>
      <c r="W595" s="174"/>
    </row>
    <row r="596">
      <c r="B596" s="175"/>
      <c r="R596" s="176"/>
      <c r="U596" s="172" t="str">
        <f>IFERROR(__xludf.DUMMYFUNCTION("""COMPUTED_VALUE"""),"")</f>
        <v/>
      </c>
      <c r="V596" s="173" t="str">
        <f>IFERROR(__xludf.DUMMYFUNCTION("""COMPUTED_VALUE"""),"Iron Bars")</f>
        <v>Iron Bars</v>
      </c>
      <c r="W596" s="174"/>
    </row>
    <row r="597">
      <c r="B597" s="175"/>
      <c r="R597" s="176"/>
      <c r="U597" s="172" t="str">
        <f>IFERROR(__xludf.DUMMYFUNCTION("""COMPUTED_VALUE"""),"")</f>
        <v/>
      </c>
      <c r="V597" s="173" t="str">
        <f>IFERROR(__xludf.DUMMYFUNCTION("""COMPUTED_VALUE"""),"Iron Block")</f>
        <v>Iron Block</v>
      </c>
      <c r="W597" s="174"/>
    </row>
    <row r="598">
      <c r="B598" s="175"/>
      <c r="R598" s="176"/>
      <c r="U598" s="172" t="str">
        <f>IFERROR(__xludf.DUMMYFUNCTION("""COMPUTED_VALUE"""),"")</f>
        <v/>
      </c>
      <c r="V598" s="173" t="str">
        <f>IFERROR(__xludf.DUMMYFUNCTION("""COMPUTED_VALUE"""),"Iron Boots")</f>
        <v>Iron Boots</v>
      </c>
      <c r="W598" s="174"/>
    </row>
    <row r="599">
      <c r="B599" s="175"/>
      <c r="R599" s="176"/>
      <c r="U599" s="172" t="str">
        <f>IFERROR(__xludf.DUMMYFUNCTION("""COMPUTED_VALUE"""),"")</f>
        <v/>
      </c>
      <c r="V599" s="173" t="str">
        <f>IFERROR(__xludf.DUMMYFUNCTION("""COMPUTED_VALUE"""),"Iron Chestplate")</f>
        <v>Iron Chestplate</v>
      </c>
      <c r="W599" s="174"/>
    </row>
    <row r="600">
      <c r="B600" s="175"/>
      <c r="R600" s="176"/>
      <c r="U600" s="172" t="str">
        <f>IFERROR(__xludf.DUMMYFUNCTION("""COMPUTED_VALUE"""),"")</f>
        <v/>
      </c>
      <c r="V600" s="173" t="str">
        <f>IFERROR(__xludf.DUMMYFUNCTION("""COMPUTED_VALUE"""),"Iron Door")</f>
        <v>Iron Door</v>
      </c>
      <c r="W600" s="174"/>
    </row>
    <row r="601">
      <c r="B601" s="175"/>
      <c r="R601" s="176"/>
      <c r="U601" s="172" t="str">
        <f>IFERROR(__xludf.DUMMYFUNCTION("""COMPUTED_VALUE"""),"")</f>
        <v/>
      </c>
      <c r="V601" s="173" t="str">
        <f>IFERROR(__xludf.DUMMYFUNCTION("""COMPUTED_VALUE"""),"Iron Helmet")</f>
        <v>Iron Helmet</v>
      </c>
      <c r="W601" s="174"/>
    </row>
    <row r="602">
      <c r="B602" s="175"/>
      <c r="R602" s="176"/>
      <c r="U602" s="172" t="str">
        <f>IFERROR(__xludf.DUMMYFUNCTION("""COMPUTED_VALUE"""),"")</f>
        <v/>
      </c>
      <c r="V602" s="173" t="str">
        <f>IFERROR(__xludf.DUMMYFUNCTION("""COMPUTED_VALUE"""),"Iron Hoe")</f>
        <v>Iron Hoe</v>
      </c>
      <c r="W602" s="174"/>
    </row>
    <row r="603">
      <c r="B603" s="175"/>
      <c r="R603" s="176"/>
      <c r="U603" s="172" t="str">
        <f>IFERROR(__xludf.DUMMYFUNCTION("""COMPUTED_VALUE"""),"")</f>
        <v/>
      </c>
      <c r="V603" s="173" t="str">
        <f>IFERROR(__xludf.DUMMYFUNCTION("""COMPUTED_VALUE"""),"Iron Horse Armor")</f>
        <v>Iron Horse Armor</v>
      </c>
      <c r="W603" s="174"/>
    </row>
    <row r="604">
      <c r="B604" s="175"/>
      <c r="R604" s="176"/>
      <c r="U604" s="172" t="str">
        <f>IFERROR(__xludf.DUMMYFUNCTION("""COMPUTED_VALUE"""),"")</f>
        <v/>
      </c>
      <c r="V604" s="173" t="str">
        <f>IFERROR(__xludf.DUMMYFUNCTION("""COMPUTED_VALUE"""),"Iron Ingot")</f>
        <v>Iron Ingot</v>
      </c>
      <c r="W604" s="174"/>
    </row>
    <row r="605">
      <c r="B605" s="175"/>
      <c r="R605" s="176"/>
      <c r="U605" s="172" t="str">
        <f>IFERROR(__xludf.DUMMYFUNCTION("""COMPUTED_VALUE"""),"")</f>
        <v/>
      </c>
      <c r="V605" s="173" t="str">
        <f>IFERROR(__xludf.DUMMYFUNCTION("""COMPUTED_VALUE"""),"Iron Leggings")</f>
        <v>Iron Leggings</v>
      </c>
      <c r="W605" s="174"/>
    </row>
    <row r="606">
      <c r="B606" s="175"/>
      <c r="R606" s="176"/>
      <c r="U606" s="172" t="str">
        <f>IFERROR(__xludf.DUMMYFUNCTION("""COMPUTED_VALUE"""),"")</f>
        <v/>
      </c>
      <c r="V606" s="173" t="str">
        <f>IFERROR(__xludf.DUMMYFUNCTION("""COMPUTED_VALUE"""),"Iron Nugget")</f>
        <v>Iron Nugget</v>
      </c>
      <c r="W606" s="174"/>
    </row>
    <row r="607">
      <c r="B607" s="175"/>
      <c r="R607" s="176"/>
      <c r="U607" s="172" t="str">
        <f>IFERROR(__xludf.DUMMYFUNCTION("""COMPUTED_VALUE"""),"")</f>
        <v/>
      </c>
      <c r="V607" s="173" t="str">
        <f>IFERROR(__xludf.DUMMYFUNCTION("""COMPUTED_VALUE"""),"Iron Ore")</f>
        <v>Iron Ore</v>
      </c>
      <c r="W607" s="174"/>
    </row>
    <row r="608">
      <c r="B608" s="175"/>
      <c r="R608" s="176"/>
      <c r="U608" s="172" t="str">
        <f>IFERROR(__xludf.DUMMYFUNCTION("""COMPUTED_VALUE"""),"")</f>
        <v/>
      </c>
      <c r="V608" s="173" t="str">
        <f>IFERROR(__xludf.DUMMYFUNCTION("""COMPUTED_VALUE"""),"Iron Pickaxe")</f>
        <v>Iron Pickaxe</v>
      </c>
      <c r="W608" s="174"/>
    </row>
    <row r="609">
      <c r="B609" s="175"/>
      <c r="R609" s="176"/>
      <c r="U609" s="172" t="str">
        <f>IFERROR(__xludf.DUMMYFUNCTION("""COMPUTED_VALUE"""),"")</f>
        <v/>
      </c>
      <c r="V609" s="173" t="str">
        <f>IFERROR(__xludf.DUMMYFUNCTION("""COMPUTED_VALUE"""),"Iron Shovel")</f>
        <v>Iron Shovel</v>
      </c>
      <c r="W609" s="174"/>
    </row>
    <row r="610">
      <c r="B610" s="175"/>
      <c r="R610" s="176"/>
      <c r="U610" s="172" t="str">
        <f>IFERROR(__xludf.DUMMYFUNCTION("""COMPUTED_VALUE"""),"")</f>
        <v/>
      </c>
      <c r="V610" s="173" t="str">
        <f>IFERROR(__xludf.DUMMYFUNCTION("""COMPUTED_VALUE"""),"Iron Sword")</f>
        <v>Iron Sword</v>
      </c>
      <c r="W610" s="174"/>
    </row>
    <row r="611">
      <c r="B611" s="175"/>
      <c r="R611" s="176"/>
      <c r="U611" s="172" t="str">
        <f>IFERROR(__xludf.DUMMYFUNCTION("""COMPUTED_VALUE"""),"")</f>
        <v/>
      </c>
      <c r="V611" s="173" t="str">
        <f>IFERROR(__xludf.DUMMYFUNCTION("""COMPUTED_VALUE"""),"Iron Trapdoor")</f>
        <v>Iron Trapdoor</v>
      </c>
      <c r="W611" s="174"/>
    </row>
    <row r="612">
      <c r="B612" s="175"/>
      <c r="R612" s="176"/>
      <c r="U612" s="172" t="str">
        <f>IFERROR(__xludf.DUMMYFUNCTION("""COMPUTED_VALUE"""),"")</f>
        <v/>
      </c>
      <c r="V612" s="173" t="str">
        <f>IFERROR(__xludf.DUMMYFUNCTION("""COMPUTED_VALUE"""),"Item Frame")</f>
        <v>Item Frame</v>
      </c>
      <c r="W612" s="174"/>
    </row>
    <row r="613">
      <c r="B613" s="175"/>
      <c r="R613" s="176"/>
      <c r="U613" s="172" t="str">
        <f>IFERROR(__xludf.DUMMYFUNCTION("""COMPUTED_VALUE"""),"")</f>
        <v/>
      </c>
      <c r="V613" s="173" t="str">
        <f>IFERROR(__xludf.DUMMYFUNCTION("""COMPUTED_VALUE"""),"Jack O Lantern")</f>
        <v>Jack O Lantern</v>
      </c>
      <c r="W613" s="174"/>
    </row>
    <row r="614">
      <c r="B614" s="175"/>
      <c r="R614" s="176"/>
      <c r="U614" s="172" t="str">
        <f>IFERROR(__xludf.DUMMYFUNCTION("""COMPUTED_VALUE"""),"")</f>
        <v/>
      </c>
      <c r="V614" s="173" t="str">
        <f>IFERROR(__xludf.DUMMYFUNCTION("""COMPUTED_VALUE"""),"Jukebox")</f>
        <v>Jukebox</v>
      </c>
      <c r="W614" s="174"/>
    </row>
    <row r="615">
      <c r="B615" s="175"/>
      <c r="R615" s="176"/>
      <c r="U615" s="172" t="str">
        <f>IFERROR(__xludf.DUMMYFUNCTION("""COMPUTED_VALUE"""),"")</f>
        <v/>
      </c>
      <c r="V615" s="173" t="str">
        <f>IFERROR(__xludf.DUMMYFUNCTION("""COMPUTED_VALUE"""),"Jungle Boat")</f>
        <v>Jungle Boat</v>
      </c>
      <c r="W615" s="174"/>
    </row>
    <row r="616">
      <c r="B616" s="175"/>
      <c r="R616" s="176"/>
      <c r="U616" s="172" t="str">
        <f>IFERROR(__xludf.DUMMYFUNCTION("""COMPUTED_VALUE"""),"")</f>
        <v/>
      </c>
      <c r="V616" s="173" t="str">
        <f>IFERROR(__xludf.DUMMYFUNCTION("""COMPUTED_VALUE"""),"Jungle Button")</f>
        <v>Jungle Button</v>
      </c>
      <c r="W616" s="174"/>
    </row>
    <row r="617">
      <c r="B617" s="175"/>
      <c r="R617" s="176"/>
      <c r="U617" s="172" t="str">
        <f>IFERROR(__xludf.DUMMYFUNCTION("""COMPUTED_VALUE"""),"")</f>
        <v/>
      </c>
      <c r="V617" s="173" t="str">
        <f>IFERROR(__xludf.DUMMYFUNCTION("""COMPUTED_VALUE"""),"Jungle Chest Boat")</f>
        <v>Jungle Chest Boat</v>
      </c>
      <c r="W617" s="174"/>
    </row>
    <row r="618">
      <c r="B618" s="175"/>
      <c r="R618" s="176"/>
      <c r="U618" s="172" t="str">
        <f>IFERROR(__xludf.DUMMYFUNCTION("""COMPUTED_VALUE"""),"")</f>
        <v/>
      </c>
      <c r="V618" s="173" t="str">
        <f>IFERROR(__xludf.DUMMYFUNCTION("""COMPUTED_VALUE"""),"Jungle Door")</f>
        <v>Jungle Door</v>
      </c>
      <c r="W618" s="174"/>
    </row>
    <row r="619">
      <c r="B619" s="175"/>
      <c r="R619" s="176"/>
      <c r="U619" s="172" t="str">
        <f>IFERROR(__xludf.DUMMYFUNCTION("""COMPUTED_VALUE"""),"")</f>
        <v/>
      </c>
      <c r="V619" s="173" t="str">
        <f>IFERROR(__xludf.DUMMYFUNCTION("""COMPUTED_VALUE"""),"Jungle Fence")</f>
        <v>Jungle Fence</v>
      </c>
      <c r="W619" s="174"/>
    </row>
    <row r="620">
      <c r="B620" s="175"/>
      <c r="R620" s="176"/>
      <c r="U620" s="172" t="str">
        <f>IFERROR(__xludf.DUMMYFUNCTION("""COMPUTED_VALUE"""),"")</f>
        <v/>
      </c>
      <c r="V620" s="173" t="str">
        <f>IFERROR(__xludf.DUMMYFUNCTION("""COMPUTED_VALUE"""),"Jungle Fence Gate")</f>
        <v>Jungle Fence Gate</v>
      </c>
      <c r="W620" s="174"/>
    </row>
    <row r="621">
      <c r="B621" s="175"/>
      <c r="R621" s="176"/>
      <c r="U621" s="172" t="str">
        <f>IFERROR(__xludf.DUMMYFUNCTION("""COMPUTED_VALUE"""),"")</f>
        <v/>
      </c>
      <c r="V621" s="173" t="str">
        <f>IFERROR(__xludf.DUMMYFUNCTION("""COMPUTED_VALUE"""),"Jungle Hanging Sign")</f>
        <v>Jungle Hanging Sign</v>
      </c>
      <c r="W621" s="174"/>
    </row>
    <row r="622">
      <c r="B622" s="175"/>
      <c r="R622" s="176"/>
      <c r="U622" s="172" t="str">
        <f>IFERROR(__xludf.DUMMYFUNCTION("""COMPUTED_VALUE"""),"")</f>
        <v/>
      </c>
      <c r="V622" s="173" t="str">
        <f>IFERROR(__xludf.DUMMYFUNCTION("""COMPUTED_VALUE"""),"Jungle Leaves")</f>
        <v>Jungle Leaves</v>
      </c>
      <c r="W622" s="174"/>
    </row>
    <row r="623">
      <c r="B623" s="175"/>
      <c r="R623" s="176"/>
      <c r="U623" s="172" t="str">
        <f>IFERROR(__xludf.DUMMYFUNCTION("""COMPUTED_VALUE"""),"")</f>
        <v/>
      </c>
      <c r="V623" s="173" t="str">
        <f>IFERROR(__xludf.DUMMYFUNCTION("""COMPUTED_VALUE"""),"Jungle Log")</f>
        <v>Jungle Log</v>
      </c>
      <c r="W623" s="174"/>
    </row>
    <row r="624">
      <c r="B624" s="175"/>
      <c r="R624" s="176"/>
      <c r="U624" s="172" t="str">
        <f>IFERROR(__xludf.DUMMYFUNCTION("""COMPUTED_VALUE"""),"")</f>
        <v/>
      </c>
      <c r="V624" s="173" t="str">
        <f>IFERROR(__xludf.DUMMYFUNCTION("""COMPUTED_VALUE"""),"Jungle Planks")</f>
        <v>Jungle Planks</v>
      </c>
      <c r="W624" s="174"/>
    </row>
    <row r="625">
      <c r="B625" s="175"/>
      <c r="R625" s="176"/>
      <c r="U625" s="172" t="str">
        <f>IFERROR(__xludf.DUMMYFUNCTION("""COMPUTED_VALUE"""),"")</f>
        <v/>
      </c>
      <c r="V625" s="173" t="str">
        <f>IFERROR(__xludf.DUMMYFUNCTION("""COMPUTED_VALUE"""),"Jungle Pressure Plate")</f>
        <v>Jungle Pressure Plate</v>
      </c>
      <c r="W625" s="174"/>
    </row>
    <row r="626">
      <c r="B626" s="175"/>
      <c r="R626" s="176"/>
      <c r="U626" s="172" t="str">
        <f>IFERROR(__xludf.DUMMYFUNCTION("""COMPUTED_VALUE"""),"")</f>
        <v/>
      </c>
      <c r="V626" s="173" t="str">
        <f>IFERROR(__xludf.DUMMYFUNCTION("""COMPUTED_VALUE"""),"Jungle Sapling")</f>
        <v>Jungle Sapling</v>
      </c>
      <c r="W626" s="174"/>
    </row>
    <row r="627">
      <c r="B627" s="175"/>
      <c r="R627" s="176"/>
      <c r="U627" s="172" t="str">
        <f>IFERROR(__xludf.DUMMYFUNCTION("""COMPUTED_VALUE"""),"")</f>
        <v/>
      </c>
      <c r="V627" s="173" t="str">
        <f>IFERROR(__xludf.DUMMYFUNCTION("""COMPUTED_VALUE"""),"Jungle Sign")</f>
        <v>Jungle Sign</v>
      </c>
      <c r="W627" s="174"/>
    </row>
    <row r="628">
      <c r="B628" s="175"/>
      <c r="R628" s="176"/>
      <c r="U628" s="172" t="str">
        <f>IFERROR(__xludf.DUMMYFUNCTION("""COMPUTED_VALUE"""),"")</f>
        <v/>
      </c>
      <c r="V628" s="173" t="str">
        <f>IFERROR(__xludf.DUMMYFUNCTION("""COMPUTED_VALUE"""),"Jungle Slab")</f>
        <v>Jungle Slab</v>
      </c>
      <c r="W628" s="174"/>
    </row>
    <row r="629">
      <c r="B629" s="175"/>
      <c r="R629" s="176"/>
      <c r="U629" s="172" t="str">
        <f>IFERROR(__xludf.DUMMYFUNCTION("""COMPUTED_VALUE"""),"")</f>
        <v/>
      </c>
      <c r="V629" s="173" t="str">
        <f>IFERROR(__xludf.DUMMYFUNCTION("""COMPUTED_VALUE"""),"Jungle Stairs")</f>
        <v>Jungle Stairs</v>
      </c>
      <c r="W629" s="174"/>
    </row>
    <row r="630">
      <c r="B630" s="175"/>
      <c r="R630" s="176"/>
      <c r="U630" s="172" t="str">
        <f>IFERROR(__xludf.DUMMYFUNCTION("""COMPUTED_VALUE"""),"")</f>
        <v/>
      </c>
      <c r="V630" s="173" t="str">
        <f>IFERROR(__xludf.DUMMYFUNCTION("""COMPUTED_VALUE"""),"Jungle Trapdoor")</f>
        <v>Jungle Trapdoor</v>
      </c>
      <c r="W630" s="174"/>
    </row>
    <row r="631">
      <c r="B631" s="175"/>
      <c r="R631" s="176"/>
      <c r="U631" s="172" t="str">
        <f>IFERROR(__xludf.DUMMYFUNCTION("""COMPUTED_VALUE"""),"")</f>
        <v/>
      </c>
      <c r="V631" s="173" t="str">
        <f>IFERROR(__xludf.DUMMYFUNCTION("""COMPUTED_VALUE"""),"Jungle Wood")</f>
        <v>Jungle Wood</v>
      </c>
      <c r="W631" s="174"/>
    </row>
    <row r="632">
      <c r="B632" s="175"/>
      <c r="R632" s="176"/>
      <c r="U632" s="172" t="str">
        <f>IFERROR(__xludf.DUMMYFUNCTION("""COMPUTED_VALUE"""),"")</f>
        <v/>
      </c>
      <c r="V632" s="173" t="str">
        <f>IFERROR(__xludf.DUMMYFUNCTION("""COMPUTED_VALUE"""),"Kelp")</f>
        <v>Kelp</v>
      </c>
      <c r="W632" s="174"/>
    </row>
    <row r="633">
      <c r="B633" s="175"/>
      <c r="R633" s="176"/>
      <c r="U633" s="172" t="str">
        <f>IFERROR(__xludf.DUMMYFUNCTION("""COMPUTED_VALUE"""),"")</f>
        <v/>
      </c>
      <c r="V633" s="173" t="str">
        <f>IFERROR(__xludf.DUMMYFUNCTION("""COMPUTED_VALUE"""),"Ladder")</f>
        <v>Ladder</v>
      </c>
      <c r="W633" s="174"/>
    </row>
    <row r="634">
      <c r="B634" s="175"/>
      <c r="R634" s="176"/>
      <c r="U634" s="172" t="str">
        <f>IFERROR(__xludf.DUMMYFUNCTION("""COMPUTED_VALUE"""),"")</f>
        <v/>
      </c>
      <c r="V634" s="173" t="str">
        <f>IFERROR(__xludf.DUMMYFUNCTION("""COMPUTED_VALUE"""),"Lantern")</f>
        <v>Lantern</v>
      </c>
      <c r="W634" s="174"/>
    </row>
    <row r="635">
      <c r="B635" s="175"/>
      <c r="R635" s="176"/>
      <c r="U635" s="172" t="str">
        <f>IFERROR(__xludf.DUMMYFUNCTION("""COMPUTED_VALUE"""),"")</f>
        <v/>
      </c>
      <c r="V635" s="173" t="str">
        <f>IFERROR(__xludf.DUMMYFUNCTION("""COMPUTED_VALUE"""),"Lapis Block")</f>
        <v>Lapis Block</v>
      </c>
      <c r="W635" s="174"/>
    </row>
    <row r="636">
      <c r="B636" s="175"/>
      <c r="R636" s="176"/>
      <c r="U636" s="172" t="str">
        <f>IFERROR(__xludf.DUMMYFUNCTION("""COMPUTED_VALUE"""),"")</f>
        <v/>
      </c>
      <c r="V636" s="173" t="str">
        <f>IFERROR(__xludf.DUMMYFUNCTION("""COMPUTED_VALUE"""),"Lapis Lazuli")</f>
        <v>Lapis Lazuli</v>
      </c>
      <c r="W636" s="174"/>
    </row>
    <row r="637">
      <c r="B637" s="175"/>
      <c r="R637" s="176"/>
      <c r="U637" s="172" t="str">
        <f>IFERROR(__xludf.DUMMYFUNCTION("""COMPUTED_VALUE"""),"")</f>
        <v/>
      </c>
      <c r="V637" s="173" t="str">
        <f>IFERROR(__xludf.DUMMYFUNCTION("""COMPUTED_VALUE"""),"Lapis Ore")</f>
        <v>Lapis Ore</v>
      </c>
      <c r="W637" s="174"/>
    </row>
    <row r="638">
      <c r="B638" s="175"/>
      <c r="R638" s="176"/>
      <c r="U638" s="172" t="str">
        <f>IFERROR(__xludf.DUMMYFUNCTION("""COMPUTED_VALUE"""),"")</f>
        <v/>
      </c>
      <c r="V638" s="173" t="str">
        <f>IFERROR(__xludf.DUMMYFUNCTION("""COMPUTED_VALUE"""),"Large Amethyst Bud")</f>
        <v>Large Amethyst Bud</v>
      </c>
      <c r="W638" s="174"/>
    </row>
    <row r="639">
      <c r="B639" s="175"/>
      <c r="R639" s="176"/>
      <c r="U639" s="172" t="str">
        <f>IFERROR(__xludf.DUMMYFUNCTION("""COMPUTED_VALUE"""),"")</f>
        <v/>
      </c>
      <c r="V639" s="173" t="str">
        <f>IFERROR(__xludf.DUMMYFUNCTION("""COMPUTED_VALUE"""),"Large Fern")</f>
        <v>Large Fern</v>
      </c>
      <c r="W639" s="174"/>
    </row>
    <row r="640">
      <c r="B640" s="175"/>
      <c r="R640" s="176"/>
      <c r="U640" s="172" t="str">
        <f>IFERROR(__xludf.DUMMYFUNCTION("""COMPUTED_VALUE"""),"")</f>
        <v/>
      </c>
      <c r="V640" s="173" t="str">
        <f>IFERROR(__xludf.DUMMYFUNCTION("""COMPUTED_VALUE"""),"Lava Bucket")</f>
        <v>Lava Bucket</v>
      </c>
      <c r="W640" s="174"/>
    </row>
    <row r="641">
      <c r="B641" s="175"/>
      <c r="R641" s="176"/>
      <c r="U641" s="172" t="str">
        <f>IFERROR(__xludf.DUMMYFUNCTION("""COMPUTED_VALUE"""),"")</f>
        <v/>
      </c>
      <c r="V641" s="173" t="str">
        <f>IFERROR(__xludf.DUMMYFUNCTION("""COMPUTED_VALUE"""),"Lead")</f>
        <v>Lead</v>
      </c>
      <c r="W641" s="174"/>
    </row>
    <row r="642">
      <c r="B642" s="175"/>
      <c r="R642" s="176"/>
      <c r="U642" s="172" t="str">
        <f>IFERROR(__xludf.DUMMYFUNCTION("""COMPUTED_VALUE"""),"")</f>
        <v/>
      </c>
      <c r="V642" s="173" t="str">
        <f>IFERROR(__xludf.DUMMYFUNCTION("""COMPUTED_VALUE"""),"Leather")</f>
        <v>Leather</v>
      </c>
      <c r="W642" s="174"/>
    </row>
    <row r="643">
      <c r="B643" s="175"/>
      <c r="R643" s="176"/>
      <c r="U643" s="172" t="str">
        <f>IFERROR(__xludf.DUMMYFUNCTION("""COMPUTED_VALUE"""),"")</f>
        <v/>
      </c>
      <c r="V643" s="173" t="str">
        <f>IFERROR(__xludf.DUMMYFUNCTION("""COMPUTED_VALUE"""),"Leather Boots")</f>
        <v>Leather Boots</v>
      </c>
      <c r="W643" s="174"/>
    </row>
    <row r="644">
      <c r="B644" s="175"/>
      <c r="R644" s="176"/>
      <c r="U644" s="172" t="str">
        <f>IFERROR(__xludf.DUMMYFUNCTION("""COMPUTED_VALUE"""),"")</f>
        <v/>
      </c>
      <c r="V644" s="173" t="str">
        <f>IFERROR(__xludf.DUMMYFUNCTION("""COMPUTED_VALUE"""),"Leather Chestplate")</f>
        <v>Leather Chestplate</v>
      </c>
      <c r="W644" s="174"/>
    </row>
    <row r="645">
      <c r="B645" s="175"/>
      <c r="R645" s="176"/>
      <c r="U645" s="172" t="str">
        <f>IFERROR(__xludf.DUMMYFUNCTION("""COMPUTED_VALUE"""),"")</f>
        <v/>
      </c>
      <c r="V645" s="173" t="str">
        <f>IFERROR(__xludf.DUMMYFUNCTION("""COMPUTED_VALUE"""),"Leather Helmet")</f>
        <v>Leather Helmet</v>
      </c>
      <c r="W645" s="174"/>
    </row>
    <row r="646">
      <c r="B646" s="175"/>
      <c r="R646" s="176"/>
      <c r="U646" s="172" t="str">
        <f>IFERROR(__xludf.DUMMYFUNCTION("""COMPUTED_VALUE"""),"")</f>
        <v/>
      </c>
      <c r="V646" s="173" t="str">
        <f>IFERROR(__xludf.DUMMYFUNCTION("""COMPUTED_VALUE"""),"Leather Horse Armor")</f>
        <v>Leather Horse Armor</v>
      </c>
      <c r="W646" s="174"/>
    </row>
    <row r="647">
      <c r="B647" s="175"/>
      <c r="R647" s="176"/>
      <c r="U647" s="172" t="str">
        <f>IFERROR(__xludf.DUMMYFUNCTION("""COMPUTED_VALUE"""),"")</f>
        <v/>
      </c>
      <c r="V647" s="173" t="str">
        <f>IFERROR(__xludf.DUMMYFUNCTION("""COMPUTED_VALUE"""),"Leather Leggings")</f>
        <v>Leather Leggings</v>
      </c>
      <c r="W647" s="174"/>
    </row>
    <row r="648">
      <c r="B648" s="175"/>
      <c r="R648" s="176"/>
      <c r="U648" s="172" t="str">
        <f>IFERROR(__xludf.DUMMYFUNCTION("""COMPUTED_VALUE"""),"")</f>
        <v/>
      </c>
      <c r="V648" s="173" t="str">
        <f>IFERROR(__xludf.DUMMYFUNCTION("""COMPUTED_VALUE"""),"Lectern")</f>
        <v>Lectern</v>
      </c>
      <c r="W648" s="174"/>
    </row>
    <row r="649">
      <c r="B649" s="175"/>
      <c r="R649" s="176"/>
      <c r="U649" s="172" t="str">
        <f>IFERROR(__xludf.DUMMYFUNCTION("""COMPUTED_VALUE"""),"")</f>
        <v/>
      </c>
      <c r="V649" s="173" t="str">
        <f>IFERROR(__xludf.DUMMYFUNCTION("""COMPUTED_VALUE"""),"Lever")</f>
        <v>Lever</v>
      </c>
      <c r="W649" s="174"/>
    </row>
    <row r="650">
      <c r="B650" s="175"/>
      <c r="R650" s="176"/>
      <c r="U650" s="172" t="str">
        <f>IFERROR(__xludf.DUMMYFUNCTION("""COMPUTED_VALUE"""),"")</f>
        <v/>
      </c>
      <c r="V650" s="173" t="str">
        <f>IFERROR(__xludf.DUMMYFUNCTION("""COMPUTED_VALUE"""),"Light Blue Banner")</f>
        <v>Light Blue Banner</v>
      </c>
      <c r="W650" s="174"/>
    </row>
    <row r="651">
      <c r="B651" s="175"/>
      <c r="R651" s="176"/>
      <c r="U651" s="172" t="str">
        <f>IFERROR(__xludf.DUMMYFUNCTION("""COMPUTED_VALUE"""),"")</f>
        <v/>
      </c>
      <c r="V651" s="173" t="str">
        <f>IFERROR(__xludf.DUMMYFUNCTION("""COMPUTED_VALUE"""),"Light Blue Bed")</f>
        <v>Light Blue Bed</v>
      </c>
      <c r="W651" s="174"/>
    </row>
    <row r="652">
      <c r="B652" s="175"/>
      <c r="R652" s="176"/>
      <c r="U652" s="172" t="str">
        <f>IFERROR(__xludf.DUMMYFUNCTION("""COMPUTED_VALUE"""),"")</f>
        <v/>
      </c>
      <c r="V652" s="173" t="str">
        <f>IFERROR(__xludf.DUMMYFUNCTION("""COMPUTED_VALUE"""),"Light Blue Candle")</f>
        <v>Light Blue Candle</v>
      </c>
      <c r="W652" s="174"/>
    </row>
    <row r="653">
      <c r="B653" s="175"/>
      <c r="R653" s="176"/>
      <c r="U653" s="172" t="str">
        <f>IFERROR(__xludf.DUMMYFUNCTION("""COMPUTED_VALUE"""),"")</f>
        <v/>
      </c>
      <c r="V653" s="173" t="str">
        <f>IFERROR(__xludf.DUMMYFUNCTION("""COMPUTED_VALUE"""),"Light Blue Carpet")</f>
        <v>Light Blue Carpet</v>
      </c>
      <c r="W653" s="174"/>
    </row>
    <row r="654">
      <c r="B654" s="175"/>
      <c r="R654" s="176"/>
      <c r="U654" s="172" t="str">
        <f>IFERROR(__xludf.DUMMYFUNCTION("""COMPUTED_VALUE"""),"")</f>
        <v/>
      </c>
      <c r="V654" s="173" t="str">
        <f>IFERROR(__xludf.DUMMYFUNCTION("""COMPUTED_VALUE"""),"Light Blue Concrete")</f>
        <v>Light Blue Concrete</v>
      </c>
      <c r="W654" s="174"/>
    </row>
    <row r="655">
      <c r="B655" s="175"/>
      <c r="R655" s="176"/>
      <c r="U655" s="172" t="str">
        <f>IFERROR(__xludf.DUMMYFUNCTION("""COMPUTED_VALUE"""),"")</f>
        <v/>
      </c>
      <c r="V655" s="173" t="str">
        <f>IFERROR(__xludf.DUMMYFUNCTION("""COMPUTED_VALUE"""),"Light Blue Concrete Powder")</f>
        <v>Light Blue Concrete Powder</v>
      </c>
      <c r="W655" s="174"/>
    </row>
    <row r="656">
      <c r="B656" s="175"/>
      <c r="R656" s="176"/>
      <c r="U656" s="172" t="str">
        <f>IFERROR(__xludf.DUMMYFUNCTION("""COMPUTED_VALUE"""),"")</f>
        <v/>
      </c>
      <c r="V656" s="173" t="str">
        <f>IFERROR(__xludf.DUMMYFUNCTION("""COMPUTED_VALUE"""),"Light Blue Dye")</f>
        <v>Light Blue Dye</v>
      </c>
      <c r="W656" s="174"/>
    </row>
    <row r="657">
      <c r="B657" s="175"/>
      <c r="R657" s="176"/>
      <c r="U657" s="172" t="str">
        <f>IFERROR(__xludf.DUMMYFUNCTION("""COMPUTED_VALUE"""),"")</f>
        <v/>
      </c>
      <c r="V657" s="173" t="str">
        <f>IFERROR(__xludf.DUMMYFUNCTION("""COMPUTED_VALUE"""),"Light Blue Glazed Terracotta")</f>
        <v>Light Blue Glazed Terracotta</v>
      </c>
      <c r="W657" s="174"/>
    </row>
    <row r="658">
      <c r="B658" s="175"/>
      <c r="R658" s="176"/>
      <c r="U658" s="172" t="str">
        <f>IFERROR(__xludf.DUMMYFUNCTION("""COMPUTED_VALUE"""),"")</f>
        <v/>
      </c>
      <c r="V658" s="173" t="str">
        <f>IFERROR(__xludf.DUMMYFUNCTION("""COMPUTED_VALUE"""),"Light Blue Shulker Box")</f>
        <v>Light Blue Shulker Box</v>
      </c>
      <c r="W658" s="174"/>
    </row>
    <row r="659">
      <c r="B659" s="175"/>
      <c r="R659" s="176"/>
      <c r="U659" s="172" t="str">
        <f>IFERROR(__xludf.DUMMYFUNCTION("""COMPUTED_VALUE"""),"")</f>
        <v/>
      </c>
      <c r="V659" s="173" t="str">
        <f>IFERROR(__xludf.DUMMYFUNCTION("""COMPUTED_VALUE"""),"Light Blue Stained Glass")</f>
        <v>Light Blue Stained Glass</v>
      </c>
      <c r="W659" s="174"/>
    </row>
    <row r="660">
      <c r="B660" s="175"/>
      <c r="R660" s="176"/>
      <c r="U660" s="172" t="str">
        <f>IFERROR(__xludf.DUMMYFUNCTION("""COMPUTED_VALUE"""),"")</f>
        <v/>
      </c>
      <c r="V660" s="173" t="str">
        <f>IFERROR(__xludf.DUMMYFUNCTION("""COMPUTED_VALUE"""),"Light Blue Stained Glass Pane")</f>
        <v>Light Blue Stained Glass Pane</v>
      </c>
      <c r="W660" s="174"/>
    </row>
    <row r="661">
      <c r="B661" s="175"/>
      <c r="R661" s="176"/>
      <c r="U661" s="172" t="str">
        <f>IFERROR(__xludf.DUMMYFUNCTION("""COMPUTED_VALUE"""),"")</f>
        <v/>
      </c>
      <c r="V661" s="173" t="str">
        <f>IFERROR(__xludf.DUMMYFUNCTION("""COMPUTED_VALUE"""),"Light Blue Terracotta")</f>
        <v>Light Blue Terracotta</v>
      </c>
      <c r="W661" s="174"/>
    </row>
    <row r="662">
      <c r="B662" s="175"/>
      <c r="R662" s="176"/>
      <c r="U662" s="172" t="str">
        <f>IFERROR(__xludf.DUMMYFUNCTION("""COMPUTED_VALUE"""),"")</f>
        <v/>
      </c>
      <c r="V662" s="173" t="str">
        <f>IFERROR(__xludf.DUMMYFUNCTION("""COMPUTED_VALUE"""),"Light Blue Wool")</f>
        <v>Light Blue Wool</v>
      </c>
      <c r="W662" s="174"/>
    </row>
    <row r="663">
      <c r="B663" s="175"/>
      <c r="R663" s="176"/>
      <c r="U663" s="172" t="str">
        <f>IFERROR(__xludf.DUMMYFUNCTION("""COMPUTED_VALUE"""),"")</f>
        <v/>
      </c>
      <c r="V663" s="173" t="str">
        <f>IFERROR(__xludf.DUMMYFUNCTION("""COMPUTED_VALUE"""),"Light Gray Banner")</f>
        <v>Light Gray Banner</v>
      </c>
      <c r="W663" s="174"/>
    </row>
    <row r="664">
      <c r="B664" s="175"/>
      <c r="R664" s="176"/>
      <c r="U664" s="172" t="str">
        <f>IFERROR(__xludf.DUMMYFUNCTION("""COMPUTED_VALUE"""),"")</f>
        <v/>
      </c>
      <c r="V664" s="173" t="str">
        <f>IFERROR(__xludf.DUMMYFUNCTION("""COMPUTED_VALUE"""),"Light Gray Bed")</f>
        <v>Light Gray Bed</v>
      </c>
      <c r="W664" s="174"/>
    </row>
    <row r="665">
      <c r="B665" s="175"/>
      <c r="R665" s="176"/>
      <c r="U665" s="172" t="str">
        <f>IFERROR(__xludf.DUMMYFUNCTION("""COMPUTED_VALUE"""),"")</f>
        <v/>
      </c>
      <c r="V665" s="173" t="str">
        <f>IFERROR(__xludf.DUMMYFUNCTION("""COMPUTED_VALUE"""),"Light Gray Candle")</f>
        <v>Light Gray Candle</v>
      </c>
      <c r="W665" s="174"/>
    </row>
    <row r="666">
      <c r="B666" s="175"/>
      <c r="R666" s="176"/>
      <c r="U666" s="172" t="str">
        <f>IFERROR(__xludf.DUMMYFUNCTION("""COMPUTED_VALUE"""),"")</f>
        <v/>
      </c>
      <c r="V666" s="173" t="str">
        <f>IFERROR(__xludf.DUMMYFUNCTION("""COMPUTED_VALUE"""),"Light Gray Carpet")</f>
        <v>Light Gray Carpet</v>
      </c>
      <c r="W666" s="174"/>
    </row>
    <row r="667">
      <c r="B667" s="175"/>
      <c r="R667" s="176"/>
      <c r="U667" s="172" t="str">
        <f>IFERROR(__xludf.DUMMYFUNCTION("""COMPUTED_VALUE"""),"")</f>
        <v/>
      </c>
      <c r="V667" s="173" t="str">
        <f>IFERROR(__xludf.DUMMYFUNCTION("""COMPUTED_VALUE"""),"Light Gray Concrete")</f>
        <v>Light Gray Concrete</v>
      </c>
      <c r="W667" s="174"/>
    </row>
    <row r="668">
      <c r="B668" s="175"/>
      <c r="R668" s="176"/>
      <c r="U668" s="172" t="str">
        <f>IFERROR(__xludf.DUMMYFUNCTION("""COMPUTED_VALUE"""),"")</f>
        <v/>
      </c>
      <c r="V668" s="173" t="str">
        <f>IFERROR(__xludf.DUMMYFUNCTION("""COMPUTED_VALUE"""),"Light Gray Concrete Powder")</f>
        <v>Light Gray Concrete Powder</v>
      </c>
      <c r="W668" s="174"/>
    </row>
    <row r="669">
      <c r="B669" s="175"/>
      <c r="R669" s="176"/>
      <c r="U669" s="172" t="str">
        <f>IFERROR(__xludf.DUMMYFUNCTION("""COMPUTED_VALUE"""),"")</f>
        <v/>
      </c>
      <c r="V669" s="173" t="str">
        <f>IFERROR(__xludf.DUMMYFUNCTION("""COMPUTED_VALUE"""),"Light Gray Dye")</f>
        <v>Light Gray Dye</v>
      </c>
      <c r="W669" s="174"/>
    </row>
    <row r="670">
      <c r="B670" s="175"/>
      <c r="R670" s="176"/>
      <c r="U670" s="172" t="str">
        <f>IFERROR(__xludf.DUMMYFUNCTION("""COMPUTED_VALUE"""),"")</f>
        <v/>
      </c>
      <c r="V670" s="173" t="str">
        <f>IFERROR(__xludf.DUMMYFUNCTION("""COMPUTED_VALUE"""),"Light Gray Glazed Terracotta")</f>
        <v>Light Gray Glazed Terracotta</v>
      </c>
      <c r="W670" s="174"/>
    </row>
    <row r="671">
      <c r="B671" s="175"/>
      <c r="R671" s="176"/>
      <c r="U671" s="172" t="str">
        <f>IFERROR(__xludf.DUMMYFUNCTION("""COMPUTED_VALUE"""),"")</f>
        <v/>
      </c>
      <c r="V671" s="173" t="str">
        <f>IFERROR(__xludf.DUMMYFUNCTION("""COMPUTED_VALUE"""),"Light Gray Shulker Box")</f>
        <v>Light Gray Shulker Box</v>
      </c>
      <c r="W671" s="174"/>
    </row>
    <row r="672">
      <c r="B672" s="175"/>
      <c r="R672" s="176"/>
      <c r="U672" s="172" t="str">
        <f>IFERROR(__xludf.DUMMYFUNCTION("""COMPUTED_VALUE"""),"")</f>
        <v/>
      </c>
      <c r="V672" s="173" t="str">
        <f>IFERROR(__xludf.DUMMYFUNCTION("""COMPUTED_VALUE"""),"Light Gray Stained Glass")</f>
        <v>Light Gray Stained Glass</v>
      </c>
      <c r="W672" s="174"/>
    </row>
    <row r="673">
      <c r="B673" s="175"/>
      <c r="R673" s="176"/>
      <c r="U673" s="172" t="str">
        <f>IFERROR(__xludf.DUMMYFUNCTION("""COMPUTED_VALUE"""),"")</f>
        <v/>
      </c>
      <c r="V673" s="173" t="str">
        <f>IFERROR(__xludf.DUMMYFUNCTION("""COMPUTED_VALUE"""),"Light Gray Stained Glass Pane")</f>
        <v>Light Gray Stained Glass Pane</v>
      </c>
      <c r="W673" s="174"/>
    </row>
    <row r="674">
      <c r="B674" s="175"/>
      <c r="R674" s="176"/>
      <c r="U674" s="172" t="str">
        <f>IFERROR(__xludf.DUMMYFUNCTION("""COMPUTED_VALUE"""),"")</f>
        <v/>
      </c>
      <c r="V674" s="173" t="str">
        <f>IFERROR(__xludf.DUMMYFUNCTION("""COMPUTED_VALUE"""),"Light Gray Terracotta")</f>
        <v>Light Gray Terracotta</v>
      </c>
      <c r="W674" s="174"/>
    </row>
    <row r="675">
      <c r="B675" s="175"/>
      <c r="R675" s="176"/>
      <c r="U675" s="172" t="str">
        <f>IFERROR(__xludf.DUMMYFUNCTION("""COMPUTED_VALUE"""),"")</f>
        <v/>
      </c>
      <c r="V675" s="173" t="str">
        <f>IFERROR(__xludf.DUMMYFUNCTION("""COMPUTED_VALUE"""),"Light Gray Wool")</f>
        <v>Light Gray Wool</v>
      </c>
      <c r="W675" s="174"/>
    </row>
    <row r="676">
      <c r="B676" s="175"/>
      <c r="R676" s="176"/>
      <c r="U676" s="172" t="str">
        <f>IFERROR(__xludf.DUMMYFUNCTION("""COMPUTED_VALUE"""),"")</f>
        <v/>
      </c>
      <c r="V676" s="173" t="str">
        <f>IFERROR(__xludf.DUMMYFUNCTION("""COMPUTED_VALUE"""),"Light Weighted Pressure Plate")</f>
        <v>Light Weighted Pressure Plate</v>
      </c>
      <c r="W676" s="174"/>
    </row>
    <row r="677">
      <c r="B677" s="175"/>
      <c r="R677" s="176"/>
      <c r="U677" s="172" t="str">
        <f>IFERROR(__xludf.DUMMYFUNCTION("""COMPUTED_VALUE"""),"")</f>
        <v/>
      </c>
      <c r="V677" s="173" t="str">
        <f>IFERROR(__xludf.DUMMYFUNCTION("""COMPUTED_VALUE"""),"Lightning Rod")</f>
        <v>Lightning Rod</v>
      </c>
      <c r="W677" s="174"/>
    </row>
    <row r="678">
      <c r="B678" s="175"/>
      <c r="R678" s="176"/>
      <c r="U678" s="172" t="str">
        <f>IFERROR(__xludf.DUMMYFUNCTION("""COMPUTED_VALUE"""),"")</f>
        <v/>
      </c>
      <c r="V678" s="173" t="str">
        <f>IFERROR(__xludf.DUMMYFUNCTION("""COMPUTED_VALUE"""),"Lilac")</f>
        <v>Lilac</v>
      </c>
      <c r="W678" s="174"/>
    </row>
    <row r="679">
      <c r="B679" s="175"/>
      <c r="R679" s="176"/>
      <c r="U679" s="172" t="str">
        <f>IFERROR(__xludf.DUMMYFUNCTION("""COMPUTED_VALUE"""),"")</f>
        <v/>
      </c>
      <c r="V679" s="173" t="str">
        <f>IFERROR(__xludf.DUMMYFUNCTION("""COMPUTED_VALUE"""),"Lily Of The Valley")</f>
        <v>Lily Of The Valley</v>
      </c>
      <c r="W679" s="174"/>
    </row>
    <row r="680">
      <c r="B680" s="175"/>
      <c r="R680" s="176"/>
      <c r="U680" s="172" t="str">
        <f>IFERROR(__xludf.DUMMYFUNCTION("""COMPUTED_VALUE"""),"")</f>
        <v/>
      </c>
      <c r="V680" s="173" t="str">
        <f>IFERROR(__xludf.DUMMYFUNCTION("""COMPUTED_VALUE"""),"Lily Pad")</f>
        <v>Lily Pad</v>
      </c>
      <c r="W680" s="174"/>
    </row>
    <row r="681">
      <c r="B681" s="175"/>
      <c r="R681" s="176"/>
      <c r="U681" s="172" t="str">
        <f>IFERROR(__xludf.DUMMYFUNCTION("""COMPUTED_VALUE"""),"")</f>
        <v/>
      </c>
      <c r="V681" s="173" t="str">
        <f>IFERROR(__xludf.DUMMYFUNCTION("""COMPUTED_VALUE"""),"Lime Banner")</f>
        <v>Lime Banner</v>
      </c>
      <c r="W681" s="174"/>
    </row>
    <row r="682">
      <c r="B682" s="175"/>
      <c r="R682" s="176"/>
      <c r="U682" s="172" t="str">
        <f>IFERROR(__xludf.DUMMYFUNCTION("""COMPUTED_VALUE"""),"")</f>
        <v/>
      </c>
      <c r="V682" s="173" t="str">
        <f>IFERROR(__xludf.DUMMYFUNCTION("""COMPUTED_VALUE"""),"Lime Bed")</f>
        <v>Lime Bed</v>
      </c>
      <c r="W682" s="174"/>
    </row>
    <row r="683">
      <c r="B683" s="175"/>
      <c r="R683" s="176"/>
      <c r="U683" s="172" t="str">
        <f>IFERROR(__xludf.DUMMYFUNCTION("""COMPUTED_VALUE"""),"")</f>
        <v/>
      </c>
      <c r="V683" s="173" t="str">
        <f>IFERROR(__xludf.DUMMYFUNCTION("""COMPUTED_VALUE"""),"Lime Candle")</f>
        <v>Lime Candle</v>
      </c>
      <c r="W683" s="174"/>
    </row>
    <row r="684">
      <c r="B684" s="175"/>
      <c r="R684" s="176"/>
      <c r="U684" s="172" t="str">
        <f>IFERROR(__xludf.DUMMYFUNCTION("""COMPUTED_VALUE"""),"")</f>
        <v/>
      </c>
      <c r="V684" s="173" t="str">
        <f>IFERROR(__xludf.DUMMYFUNCTION("""COMPUTED_VALUE"""),"Lime Carpet")</f>
        <v>Lime Carpet</v>
      </c>
      <c r="W684" s="174"/>
    </row>
    <row r="685">
      <c r="B685" s="175"/>
      <c r="R685" s="176"/>
      <c r="U685" s="172" t="str">
        <f>IFERROR(__xludf.DUMMYFUNCTION("""COMPUTED_VALUE"""),"")</f>
        <v/>
      </c>
      <c r="V685" s="173" t="str">
        <f>IFERROR(__xludf.DUMMYFUNCTION("""COMPUTED_VALUE"""),"Lime Concrete")</f>
        <v>Lime Concrete</v>
      </c>
      <c r="W685" s="174"/>
    </row>
    <row r="686">
      <c r="B686" s="175"/>
      <c r="R686" s="176"/>
      <c r="U686" s="172" t="str">
        <f>IFERROR(__xludf.DUMMYFUNCTION("""COMPUTED_VALUE"""),"")</f>
        <v/>
      </c>
      <c r="V686" s="173" t="str">
        <f>IFERROR(__xludf.DUMMYFUNCTION("""COMPUTED_VALUE"""),"Lime Concrete Powder")</f>
        <v>Lime Concrete Powder</v>
      </c>
      <c r="W686" s="174"/>
    </row>
    <row r="687">
      <c r="B687" s="175"/>
      <c r="R687" s="176"/>
      <c r="U687" s="172" t="str">
        <f>IFERROR(__xludf.DUMMYFUNCTION("""COMPUTED_VALUE"""),"")</f>
        <v/>
      </c>
      <c r="V687" s="173" t="str">
        <f>IFERROR(__xludf.DUMMYFUNCTION("""COMPUTED_VALUE"""),"Lime Dye")</f>
        <v>Lime Dye</v>
      </c>
      <c r="W687" s="174"/>
    </row>
    <row r="688">
      <c r="B688" s="175"/>
      <c r="R688" s="176"/>
      <c r="U688" s="172" t="str">
        <f>IFERROR(__xludf.DUMMYFUNCTION("""COMPUTED_VALUE"""),"")</f>
        <v/>
      </c>
      <c r="V688" s="173" t="str">
        <f>IFERROR(__xludf.DUMMYFUNCTION("""COMPUTED_VALUE"""),"Lime Glazed Terracotta")</f>
        <v>Lime Glazed Terracotta</v>
      </c>
      <c r="W688" s="174"/>
    </row>
    <row r="689">
      <c r="B689" s="175"/>
      <c r="R689" s="176"/>
      <c r="U689" s="172" t="str">
        <f>IFERROR(__xludf.DUMMYFUNCTION("""COMPUTED_VALUE"""),"")</f>
        <v/>
      </c>
      <c r="V689" s="173" t="str">
        <f>IFERROR(__xludf.DUMMYFUNCTION("""COMPUTED_VALUE"""),"Lime Shulker Box")</f>
        <v>Lime Shulker Box</v>
      </c>
      <c r="W689" s="174"/>
    </row>
    <row r="690">
      <c r="B690" s="175"/>
      <c r="R690" s="176"/>
      <c r="U690" s="172" t="str">
        <f>IFERROR(__xludf.DUMMYFUNCTION("""COMPUTED_VALUE"""),"")</f>
        <v/>
      </c>
      <c r="V690" s="173" t="str">
        <f>IFERROR(__xludf.DUMMYFUNCTION("""COMPUTED_VALUE"""),"Lime Stained Glass")</f>
        <v>Lime Stained Glass</v>
      </c>
      <c r="W690" s="174"/>
    </row>
    <row r="691">
      <c r="B691" s="175"/>
      <c r="R691" s="176"/>
      <c r="U691" s="172" t="str">
        <f>IFERROR(__xludf.DUMMYFUNCTION("""COMPUTED_VALUE"""),"")</f>
        <v/>
      </c>
      <c r="V691" s="173" t="str">
        <f>IFERROR(__xludf.DUMMYFUNCTION("""COMPUTED_VALUE"""),"Lime Stained Glass Pane")</f>
        <v>Lime Stained Glass Pane</v>
      </c>
      <c r="W691" s="174"/>
    </row>
    <row r="692">
      <c r="B692" s="175"/>
      <c r="R692" s="176"/>
      <c r="U692" s="172" t="str">
        <f>IFERROR(__xludf.DUMMYFUNCTION("""COMPUTED_VALUE"""),"")</f>
        <v/>
      </c>
      <c r="V692" s="173" t="str">
        <f>IFERROR(__xludf.DUMMYFUNCTION("""COMPUTED_VALUE"""),"Lime Terracotta")</f>
        <v>Lime Terracotta</v>
      </c>
      <c r="W692" s="174"/>
    </row>
    <row r="693">
      <c r="B693" s="175"/>
      <c r="R693" s="176"/>
      <c r="U693" s="172" t="str">
        <f>IFERROR(__xludf.DUMMYFUNCTION("""COMPUTED_VALUE"""),"")</f>
        <v/>
      </c>
      <c r="V693" s="173" t="str">
        <f>IFERROR(__xludf.DUMMYFUNCTION("""COMPUTED_VALUE"""),"Lime Wool")</f>
        <v>Lime Wool</v>
      </c>
      <c r="W693" s="174"/>
    </row>
    <row r="694">
      <c r="B694" s="175"/>
      <c r="R694" s="176"/>
      <c r="U694" s="172" t="str">
        <f>IFERROR(__xludf.DUMMYFUNCTION("""COMPUTED_VALUE"""),"")</f>
        <v/>
      </c>
      <c r="V694" s="173" t="str">
        <f>IFERROR(__xludf.DUMMYFUNCTION("""COMPUTED_VALUE"""),"Lingering Potion")</f>
        <v>Lingering Potion</v>
      </c>
      <c r="W694" s="174"/>
    </row>
    <row r="695">
      <c r="B695" s="175"/>
      <c r="R695" s="176"/>
      <c r="U695" s="172" t="str">
        <f>IFERROR(__xludf.DUMMYFUNCTION("""COMPUTED_VALUE"""),"")</f>
        <v/>
      </c>
      <c r="V695" s="173" t="str">
        <f>IFERROR(__xludf.DUMMYFUNCTION("""COMPUTED_VALUE"""),"Lodestone")</f>
        <v>Lodestone</v>
      </c>
      <c r="W695" s="174"/>
    </row>
    <row r="696">
      <c r="B696" s="175"/>
      <c r="R696" s="176"/>
      <c r="U696" s="172" t="str">
        <f>IFERROR(__xludf.DUMMYFUNCTION("""COMPUTED_VALUE"""),"")</f>
        <v/>
      </c>
      <c r="V696" s="173" t="str">
        <f>IFERROR(__xludf.DUMMYFUNCTION("""COMPUTED_VALUE"""),"Loom")</f>
        <v>Loom</v>
      </c>
      <c r="W696" s="174"/>
    </row>
    <row r="697">
      <c r="B697" s="175"/>
      <c r="R697" s="176"/>
      <c r="U697" s="172" t="str">
        <f>IFERROR(__xludf.DUMMYFUNCTION("""COMPUTED_VALUE"""),"")</f>
        <v/>
      </c>
      <c r="V697" s="173" t="str">
        <f>IFERROR(__xludf.DUMMYFUNCTION("""COMPUTED_VALUE"""),"Mace")</f>
        <v>Mace</v>
      </c>
      <c r="W697" s="174"/>
    </row>
    <row r="698">
      <c r="B698" s="175"/>
      <c r="R698" s="176"/>
      <c r="U698" s="172" t="str">
        <f>IFERROR(__xludf.DUMMYFUNCTION("""COMPUTED_VALUE"""),"")</f>
        <v/>
      </c>
      <c r="V698" s="173" t="str">
        <f>IFERROR(__xludf.DUMMYFUNCTION("""COMPUTED_VALUE"""),"Magenta Banner")</f>
        <v>Magenta Banner</v>
      </c>
      <c r="W698" s="174"/>
    </row>
    <row r="699">
      <c r="B699" s="175"/>
      <c r="R699" s="176"/>
      <c r="U699" s="172" t="str">
        <f>IFERROR(__xludf.DUMMYFUNCTION("""COMPUTED_VALUE"""),"")</f>
        <v/>
      </c>
      <c r="V699" s="173" t="str">
        <f>IFERROR(__xludf.DUMMYFUNCTION("""COMPUTED_VALUE"""),"Magenta Bed")</f>
        <v>Magenta Bed</v>
      </c>
      <c r="W699" s="174"/>
    </row>
    <row r="700">
      <c r="B700" s="175"/>
      <c r="R700" s="176"/>
      <c r="U700" s="172" t="str">
        <f>IFERROR(__xludf.DUMMYFUNCTION("""COMPUTED_VALUE"""),"")</f>
        <v/>
      </c>
      <c r="V700" s="173" t="str">
        <f>IFERROR(__xludf.DUMMYFUNCTION("""COMPUTED_VALUE"""),"Magenta Candle")</f>
        <v>Magenta Candle</v>
      </c>
      <c r="W700" s="174"/>
    </row>
    <row r="701">
      <c r="B701" s="175"/>
      <c r="R701" s="176"/>
      <c r="U701" s="172" t="str">
        <f>IFERROR(__xludf.DUMMYFUNCTION("""COMPUTED_VALUE"""),"")</f>
        <v/>
      </c>
      <c r="V701" s="173" t="str">
        <f>IFERROR(__xludf.DUMMYFUNCTION("""COMPUTED_VALUE"""),"Magenta Carpet")</f>
        <v>Magenta Carpet</v>
      </c>
      <c r="W701" s="174"/>
    </row>
    <row r="702">
      <c r="B702" s="175"/>
      <c r="R702" s="176"/>
      <c r="U702" s="172" t="str">
        <f>IFERROR(__xludf.DUMMYFUNCTION("""COMPUTED_VALUE"""),"")</f>
        <v/>
      </c>
      <c r="V702" s="173" t="str">
        <f>IFERROR(__xludf.DUMMYFUNCTION("""COMPUTED_VALUE"""),"Magenta Concrete")</f>
        <v>Magenta Concrete</v>
      </c>
      <c r="W702" s="174"/>
    </row>
    <row r="703">
      <c r="B703" s="175"/>
      <c r="R703" s="176"/>
      <c r="U703" s="172" t="str">
        <f>IFERROR(__xludf.DUMMYFUNCTION("""COMPUTED_VALUE"""),"")</f>
        <v/>
      </c>
      <c r="V703" s="173" t="str">
        <f>IFERROR(__xludf.DUMMYFUNCTION("""COMPUTED_VALUE"""),"Magenta Concrete Powder")</f>
        <v>Magenta Concrete Powder</v>
      </c>
      <c r="W703" s="174"/>
    </row>
    <row r="704">
      <c r="B704" s="175"/>
      <c r="R704" s="176"/>
      <c r="U704" s="172" t="str">
        <f>IFERROR(__xludf.DUMMYFUNCTION("""COMPUTED_VALUE"""),"")</f>
        <v/>
      </c>
      <c r="V704" s="173" t="str">
        <f>IFERROR(__xludf.DUMMYFUNCTION("""COMPUTED_VALUE"""),"Magenta Dye")</f>
        <v>Magenta Dye</v>
      </c>
      <c r="W704" s="174"/>
    </row>
    <row r="705">
      <c r="B705" s="175"/>
      <c r="R705" s="176"/>
      <c r="U705" s="172" t="str">
        <f>IFERROR(__xludf.DUMMYFUNCTION("""COMPUTED_VALUE"""),"")</f>
        <v/>
      </c>
      <c r="V705" s="173" t="str">
        <f>IFERROR(__xludf.DUMMYFUNCTION("""COMPUTED_VALUE"""),"Magenta Glazed Terracotta")</f>
        <v>Magenta Glazed Terracotta</v>
      </c>
      <c r="W705" s="174"/>
    </row>
    <row r="706">
      <c r="B706" s="175"/>
      <c r="R706" s="176"/>
      <c r="U706" s="172" t="str">
        <f>IFERROR(__xludf.DUMMYFUNCTION("""COMPUTED_VALUE"""),"")</f>
        <v/>
      </c>
      <c r="V706" s="173" t="str">
        <f>IFERROR(__xludf.DUMMYFUNCTION("""COMPUTED_VALUE"""),"Magenta Shulker Box")</f>
        <v>Magenta Shulker Box</v>
      </c>
      <c r="W706" s="174"/>
    </row>
    <row r="707">
      <c r="B707" s="175"/>
      <c r="R707" s="176"/>
      <c r="U707" s="172" t="str">
        <f>IFERROR(__xludf.DUMMYFUNCTION("""COMPUTED_VALUE"""),"")</f>
        <v/>
      </c>
      <c r="V707" s="173" t="str">
        <f>IFERROR(__xludf.DUMMYFUNCTION("""COMPUTED_VALUE"""),"Magenta Stained Glass")</f>
        <v>Magenta Stained Glass</v>
      </c>
      <c r="W707" s="174"/>
    </row>
    <row r="708">
      <c r="B708" s="175"/>
      <c r="R708" s="176"/>
      <c r="U708" s="172" t="str">
        <f>IFERROR(__xludf.DUMMYFUNCTION("""COMPUTED_VALUE"""),"")</f>
        <v/>
      </c>
      <c r="V708" s="173" t="str">
        <f>IFERROR(__xludf.DUMMYFUNCTION("""COMPUTED_VALUE"""),"Magenta Stained Glass Pane")</f>
        <v>Magenta Stained Glass Pane</v>
      </c>
      <c r="W708" s="174"/>
    </row>
    <row r="709">
      <c r="B709" s="175"/>
      <c r="R709" s="176"/>
      <c r="U709" s="172" t="str">
        <f>IFERROR(__xludf.DUMMYFUNCTION("""COMPUTED_VALUE"""),"")</f>
        <v/>
      </c>
      <c r="V709" s="173" t="str">
        <f>IFERROR(__xludf.DUMMYFUNCTION("""COMPUTED_VALUE"""),"Magenta Terracotta")</f>
        <v>Magenta Terracotta</v>
      </c>
      <c r="W709" s="174"/>
    </row>
    <row r="710">
      <c r="B710" s="175"/>
      <c r="R710" s="176"/>
      <c r="U710" s="172" t="str">
        <f>IFERROR(__xludf.DUMMYFUNCTION("""COMPUTED_VALUE"""),"")</f>
        <v/>
      </c>
      <c r="V710" s="173" t="str">
        <f>IFERROR(__xludf.DUMMYFUNCTION("""COMPUTED_VALUE"""),"Magenta Wool")</f>
        <v>Magenta Wool</v>
      </c>
      <c r="W710" s="174"/>
    </row>
    <row r="711">
      <c r="B711" s="175"/>
      <c r="R711" s="176"/>
      <c r="U711" s="172" t="str">
        <f>IFERROR(__xludf.DUMMYFUNCTION("""COMPUTED_VALUE"""),"")</f>
        <v/>
      </c>
      <c r="V711" s="173" t="str">
        <f>IFERROR(__xludf.DUMMYFUNCTION("""COMPUTED_VALUE"""),"Magma Block")</f>
        <v>Magma Block</v>
      </c>
      <c r="W711" s="174"/>
    </row>
    <row r="712">
      <c r="B712" s="175"/>
      <c r="R712" s="176"/>
      <c r="U712" s="172" t="str">
        <f>IFERROR(__xludf.DUMMYFUNCTION("""COMPUTED_VALUE"""),"")</f>
        <v/>
      </c>
      <c r="V712" s="173" t="str">
        <f>IFERROR(__xludf.DUMMYFUNCTION("""COMPUTED_VALUE"""),"Magma Cream")</f>
        <v>Magma Cream</v>
      </c>
      <c r="W712" s="174"/>
    </row>
    <row r="713">
      <c r="B713" s="175"/>
      <c r="R713" s="176"/>
      <c r="U713" s="172" t="str">
        <f>IFERROR(__xludf.DUMMYFUNCTION("""COMPUTED_VALUE"""),"")</f>
        <v/>
      </c>
      <c r="V713" s="173" t="str">
        <f>IFERROR(__xludf.DUMMYFUNCTION("""COMPUTED_VALUE"""),"Mangrove Boat")</f>
        <v>Mangrove Boat</v>
      </c>
      <c r="W713" s="174"/>
    </row>
    <row r="714">
      <c r="B714" s="175"/>
      <c r="R714" s="176"/>
      <c r="U714" s="172" t="str">
        <f>IFERROR(__xludf.DUMMYFUNCTION("""COMPUTED_VALUE"""),"")</f>
        <v/>
      </c>
      <c r="V714" s="173" t="str">
        <f>IFERROR(__xludf.DUMMYFUNCTION("""COMPUTED_VALUE"""),"Mangrove Button")</f>
        <v>Mangrove Button</v>
      </c>
      <c r="W714" s="174"/>
    </row>
    <row r="715">
      <c r="B715" s="175"/>
      <c r="R715" s="176"/>
      <c r="U715" s="172" t="str">
        <f>IFERROR(__xludf.DUMMYFUNCTION("""COMPUTED_VALUE"""),"")</f>
        <v/>
      </c>
      <c r="V715" s="173" t="str">
        <f>IFERROR(__xludf.DUMMYFUNCTION("""COMPUTED_VALUE"""),"Mangrove Chest Boat")</f>
        <v>Mangrove Chest Boat</v>
      </c>
      <c r="W715" s="174"/>
    </row>
    <row r="716">
      <c r="B716" s="175"/>
      <c r="R716" s="176"/>
      <c r="U716" s="172" t="str">
        <f>IFERROR(__xludf.DUMMYFUNCTION("""COMPUTED_VALUE"""),"")</f>
        <v/>
      </c>
      <c r="V716" s="173" t="str">
        <f>IFERROR(__xludf.DUMMYFUNCTION("""COMPUTED_VALUE"""),"Mangrove Door")</f>
        <v>Mangrove Door</v>
      </c>
      <c r="W716" s="174"/>
    </row>
    <row r="717">
      <c r="B717" s="175"/>
      <c r="R717" s="176"/>
      <c r="U717" s="172" t="str">
        <f>IFERROR(__xludf.DUMMYFUNCTION("""COMPUTED_VALUE"""),"")</f>
        <v/>
      </c>
      <c r="V717" s="173" t="str">
        <f>IFERROR(__xludf.DUMMYFUNCTION("""COMPUTED_VALUE"""),"Mangrove Fence")</f>
        <v>Mangrove Fence</v>
      </c>
      <c r="W717" s="174"/>
    </row>
    <row r="718">
      <c r="B718" s="175"/>
      <c r="R718" s="176"/>
      <c r="U718" s="172" t="str">
        <f>IFERROR(__xludf.DUMMYFUNCTION("""COMPUTED_VALUE"""),"")</f>
        <v/>
      </c>
      <c r="V718" s="173" t="str">
        <f>IFERROR(__xludf.DUMMYFUNCTION("""COMPUTED_VALUE"""),"Mangrove Fence Gate")</f>
        <v>Mangrove Fence Gate</v>
      </c>
      <c r="W718" s="174"/>
    </row>
    <row r="719">
      <c r="B719" s="175"/>
      <c r="R719" s="176"/>
      <c r="U719" s="172" t="str">
        <f>IFERROR(__xludf.DUMMYFUNCTION("""COMPUTED_VALUE"""),"")</f>
        <v/>
      </c>
      <c r="V719" s="173" t="str">
        <f>IFERROR(__xludf.DUMMYFUNCTION("""COMPUTED_VALUE"""),"Mangrove Hanging Sign")</f>
        <v>Mangrove Hanging Sign</v>
      </c>
      <c r="W719" s="174"/>
    </row>
    <row r="720">
      <c r="B720" s="175"/>
      <c r="R720" s="176"/>
      <c r="U720" s="172" t="str">
        <f>IFERROR(__xludf.DUMMYFUNCTION("""COMPUTED_VALUE"""),"")</f>
        <v/>
      </c>
      <c r="V720" s="173" t="str">
        <f>IFERROR(__xludf.DUMMYFUNCTION("""COMPUTED_VALUE"""),"Mangrove Leaves")</f>
        <v>Mangrove Leaves</v>
      </c>
      <c r="W720" s="174"/>
    </row>
    <row r="721">
      <c r="B721" s="175"/>
      <c r="R721" s="176"/>
      <c r="U721" s="172" t="str">
        <f>IFERROR(__xludf.DUMMYFUNCTION("""COMPUTED_VALUE"""),"")</f>
        <v/>
      </c>
      <c r="V721" s="173" t="str">
        <f>IFERROR(__xludf.DUMMYFUNCTION("""COMPUTED_VALUE"""),"Mangrove Log")</f>
        <v>Mangrove Log</v>
      </c>
      <c r="W721" s="174"/>
    </row>
    <row r="722">
      <c r="B722" s="175"/>
      <c r="R722" s="176"/>
      <c r="U722" s="172" t="str">
        <f>IFERROR(__xludf.DUMMYFUNCTION("""COMPUTED_VALUE"""),"")</f>
        <v/>
      </c>
      <c r="V722" s="173" t="str">
        <f>IFERROR(__xludf.DUMMYFUNCTION("""COMPUTED_VALUE"""),"Mangrove Planks")</f>
        <v>Mangrove Planks</v>
      </c>
      <c r="W722" s="174"/>
    </row>
    <row r="723">
      <c r="B723" s="175"/>
      <c r="R723" s="176"/>
      <c r="U723" s="172" t="str">
        <f>IFERROR(__xludf.DUMMYFUNCTION("""COMPUTED_VALUE"""),"")</f>
        <v/>
      </c>
      <c r="V723" s="173" t="str">
        <f>IFERROR(__xludf.DUMMYFUNCTION("""COMPUTED_VALUE"""),"Mangrove Pressure Plate")</f>
        <v>Mangrove Pressure Plate</v>
      </c>
      <c r="W723" s="174"/>
    </row>
    <row r="724">
      <c r="B724" s="175"/>
      <c r="R724" s="176"/>
      <c r="U724" s="172" t="str">
        <f>IFERROR(__xludf.DUMMYFUNCTION("""COMPUTED_VALUE"""),"")</f>
        <v/>
      </c>
      <c r="V724" s="173" t="str">
        <f>IFERROR(__xludf.DUMMYFUNCTION("""COMPUTED_VALUE"""),"Mangrove Propagule")</f>
        <v>Mangrove Propagule</v>
      </c>
      <c r="W724" s="174"/>
    </row>
    <row r="725">
      <c r="B725" s="175"/>
      <c r="R725" s="176"/>
      <c r="U725" s="172" t="str">
        <f>IFERROR(__xludf.DUMMYFUNCTION("""COMPUTED_VALUE"""),"")</f>
        <v/>
      </c>
      <c r="V725" s="173" t="str">
        <f>IFERROR(__xludf.DUMMYFUNCTION("""COMPUTED_VALUE"""),"Mangrove Roots")</f>
        <v>Mangrove Roots</v>
      </c>
      <c r="W725" s="174"/>
    </row>
    <row r="726">
      <c r="B726" s="175"/>
      <c r="R726" s="176"/>
      <c r="U726" s="172" t="str">
        <f>IFERROR(__xludf.DUMMYFUNCTION("""COMPUTED_VALUE"""),"")</f>
        <v/>
      </c>
      <c r="V726" s="173" t="str">
        <f>IFERROR(__xludf.DUMMYFUNCTION("""COMPUTED_VALUE"""),"Mangrove Sign")</f>
        <v>Mangrove Sign</v>
      </c>
      <c r="W726" s="174"/>
    </row>
    <row r="727">
      <c r="B727" s="175"/>
      <c r="R727" s="176"/>
      <c r="U727" s="172" t="str">
        <f>IFERROR(__xludf.DUMMYFUNCTION("""COMPUTED_VALUE"""),"")</f>
        <v/>
      </c>
      <c r="V727" s="173" t="str">
        <f>IFERROR(__xludf.DUMMYFUNCTION("""COMPUTED_VALUE"""),"Mangrove Slab")</f>
        <v>Mangrove Slab</v>
      </c>
      <c r="W727" s="174"/>
    </row>
    <row r="728">
      <c r="B728" s="175"/>
      <c r="R728" s="176"/>
      <c r="U728" s="172" t="str">
        <f>IFERROR(__xludf.DUMMYFUNCTION("""COMPUTED_VALUE"""),"")</f>
        <v/>
      </c>
      <c r="V728" s="173" t="str">
        <f>IFERROR(__xludf.DUMMYFUNCTION("""COMPUTED_VALUE"""),"Mangrove Stairs")</f>
        <v>Mangrove Stairs</v>
      </c>
      <c r="W728" s="174"/>
    </row>
    <row r="729">
      <c r="B729" s="175"/>
      <c r="R729" s="176"/>
      <c r="U729" s="172" t="str">
        <f>IFERROR(__xludf.DUMMYFUNCTION("""COMPUTED_VALUE"""),"")</f>
        <v/>
      </c>
      <c r="V729" s="173" t="str">
        <f>IFERROR(__xludf.DUMMYFUNCTION("""COMPUTED_VALUE"""),"Mangrove Trapdoor")</f>
        <v>Mangrove Trapdoor</v>
      </c>
      <c r="W729" s="174"/>
    </row>
    <row r="730">
      <c r="B730" s="175"/>
      <c r="R730" s="176"/>
      <c r="U730" s="172" t="str">
        <f>IFERROR(__xludf.DUMMYFUNCTION("""COMPUTED_VALUE"""),"")</f>
        <v/>
      </c>
      <c r="V730" s="173" t="str">
        <f>IFERROR(__xludf.DUMMYFUNCTION("""COMPUTED_VALUE"""),"Mangrove Wood")</f>
        <v>Mangrove Wood</v>
      </c>
      <c r="W730" s="174"/>
    </row>
    <row r="731">
      <c r="B731" s="175"/>
      <c r="R731" s="176"/>
      <c r="U731" s="172" t="str">
        <f>IFERROR(__xludf.DUMMYFUNCTION("""COMPUTED_VALUE"""),"")</f>
        <v/>
      </c>
      <c r="V731" s="173" t="str">
        <f>IFERROR(__xludf.DUMMYFUNCTION("""COMPUTED_VALUE"""),"Map")</f>
        <v>Map</v>
      </c>
      <c r="W731" s="174"/>
    </row>
    <row r="732">
      <c r="B732" s="175"/>
      <c r="R732" s="176"/>
      <c r="U732" s="172" t="str">
        <f>IFERROR(__xludf.DUMMYFUNCTION("""COMPUTED_VALUE"""),"")</f>
        <v/>
      </c>
      <c r="V732" s="173" t="str">
        <f>IFERROR(__xludf.DUMMYFUNCTION("""COMPUTED_VALUE"""),"Medium Amethyst Bud")</f>
        <v>Medium Amethyst Bud</v>
      </c>
      <c r="W732" s="174"/>
    </row>
    <row r="733">
      <c r="B733" s="175"/>
      <c r="R733" s="176"/>
      <c r="U733" s="172" t="str">
        <f>IFERROR(__xludf.DUMMYFUNCTION("""COMPUTED_VALUE"""),"")</f>
        <v/>
      </c>
      <c r="V733" s="173" t="str">
        <f>IFERROR(__xludf.DUMMYFUNCTION("""COMPUTED_VALUE"""),"Melon")</f>
        <v>Melon</v>
      </c>
      <c r="W733" s="174"/>
    </row>
    <row r="734">
      <c r="B734" s="175"/>
      <c r="R734" s="176"/>
      <c r="U734" s="172" t="str">
        <f>IFERROR(__xludf.DUMMYFUNCTION("""COMPUTED_VALUE"""),"")</f>
        <v/>
      </c>
      <c r="V734" s="173" t="str">
        <f>IFERROR(__xludf.DUMMYFUNCTION("""COMPUTED_VALUE"""),"Melon Seeds")</f>
        <v>Melon Seeds</v>
      </c>
      <c r="W734" s="174"/>
    </row>
    <row r="735">
      <c r="B735" s="175"/>
      <c r="R735" s="176"/>
      <c r="U735" s="172" t="str">
        <f>IFERROR(__xludf.DUMMYFUNCTION("""COMPUTED_VALUE"""),"")</f>
        <v/>
      </c>
      <c r="V735" s="173" t="str">
        <f>IFERROR(__xludf.DUMMYFUNCTION("""COMPUTED_VALUE"""),"Melon Slice")</f>
        <v>Melon Slice</v>
      </c>
      <c r="W735" s="174"/>
    </row>
    <row r="736">
      <c r="B736" s="175"/>
      <c r="R736" s="176"/>
      <c r="U736" s="172" t="str">
        <f>IFERROR(__xludf.DUMMYFUNCTION("""COMPUTED_VALUE"""),"")</f>
        <v/>
      </c>
      <c r="V736" s="173" t="str">
        <f>IFERROR(__xludf.DUMMYFUNCTION("""COMPUTED_VALUE"""),"Milk Bucket")</f>
        <v>Milk Bucket</v>
      </c>
      <c r="W736" s="174"/>
    </row>
    <row r="737">
      <c r="B737" s="175"/>
      <c r="R737" s="176"/>
      <c r="U737" s="172" t="str">
        <f>IFERROR(__xludf.DUMMYFUNCTION("""COMPUTED_VALUE"""),"")</f>
        <v/>
      </c>
      <c r="V737" s="173" t="str">
        <f>IFERROR(__xludf.DUMMYFUNCTION("""COMPUTED_VALUE"""),"Minecart")</f>
        <v>Minecart</v>
      </c>
      <c r="W737" s="174"/>
    </row>
    <row r="738">
      <c r="B738" s="175"/>
      <c r="R738" s="176"/>
      <c r="U738" s="172" t="str">
        <f>IFERROR(__xludf.DUMMYFUNCTION("""COMPUTED_VALUE"""),"")</f>
        <v/>
      </c>
      <c r="V738" s="173" t="str">
        <f>IFERROR(__xludf.DUMMYFUNCTION("""COMPUTED_VALUE"""),"Miner Pottery Sherd")</f>
        <v>Miner Pottery Sherd</v>
      </c>
      <c r="W738" s="174"/>
    </row>
    <row r="739">
      <c r="B739" s="175"/>
      <c r="R739" s="176"/>
      <c r="U739" s="172" t="str">
        <f>IFERROR(__xludf.DUMMYFUNCTION("""COMPUTED_VALUE"""),"")</f>
        <v/>
      </c>
      <c r="V739" s="173" t="str">
        <f>IFERROR(__xludf.DUMMYFUNCTION("""COMPUTED_VALUE"""),"Mojang Banner Pattern")</f>
        <v>Mojang Banner Pattern</v>
      </c>
      <c r="W739" s="174"/>
    </row>
    <row r="740">
      <c r="B740" s="175"/>
      <c r="R740" s="176"/>
      <c r="U740" s="172" t="str">
        <f>IFERROR(__xludf.DUMMYFUNCTION("""COMPUTED_VALUE"""),"")</f>
        <v/>
      </c>
      <c r="V740" s="173" t="str">
        <f>IFERROR(__xludf.DUMMYFUNCTION("""COMPUTED_VALUE"""),"Moss Block")</f>
        <v>Moss Block</v>
      </c>
      <c r="W740" s="174"/>
    </row>
    <row r="741">
      <c r="B741" s="175"/>
      <c r="R741" s="176"/>
      <c r="U741" s="172" t="str">
        <f>IFERROR(__xludf.DUMMYFUNCTION("""COMPUTED_VALUE"""),"")</f>
        <v/>
      </c>
      <c r="V741" s="173" t="str">
        <f>IFERROR(__xludf.DUMMYFUNCTION("""COMPUTED_VALUE"""),"Moss Carpet")</f>
        <v>Moss Carpet</v>
      </c>
      <c r="W741" s="174"/>
    </row>
    <row r="742">
      <c r="B742" s="175"/>
      <c r="R742" s="176"/>
      <c r="U742" s="172" t="str">
        <f>IFERROR(__xludf.DUMMYFUNCTION("""COMPUTED_VALUE"""),"")</f>
        <v/>
      </c>
      <c r="V742" s="173" t="str">
        <f>IFERROR(__xludf.DUMMYFUNCTION("""COMPUTED_VALUE"""),"Mossy Cobblestone")</f>
        <v>Mossy Cobblestone</v>
      </c>
      <c r="W742" s="174"/>
    </row>
    <row r="743">
      <c r="B743" s="175"/>
      <c r="R743" s="176"/>
      <c r="U743" s="172" t="str">
        <f>IFERROR(__xludf.DUMMYFUNCTION("""COMPUTED_VALUE"""),"")</f>
        <v/>
      </c>
      <c r="V743" s="173" t="str">
        <f>IFERROR(__xludf.DUMMYFUNCTION("""COMPUTED_VALUE"""),"Mossy Cobblestone Slab")</f>
        <v>Mossy Cobblestone Slab</v>
      </c>
      <c r="W743" s="174"/>
    </row>
    <row r="744">
      <c r="B744" s="175"/>
      <c r="R744" s="176"/>
      <c r="U744" s="172" t="str">
        <f>IFERROR(__xludf.DUMMYFUNCTION("""COMPUTED_VALUE"""),"")</f>
        <v/>
      </c>
      <c r="V744" s="173" t="str">
        <f>IFERROR(__xludf.DUMMYFUNCTION("""COMPUTED_VALUE"""),"Mossy Cobblestone Stairs")</f>
        <v>Mossy Cobblestone Stairs</v>
      </c>
      <c r="W744" s="174"/>
    </row>
    <row r="745">
      <c r="B745" s="175"/>
      <c r="R745" s="176"/>
      <c r="U745" s="172" t="str">
        <f>IFERROR(__xludf.DUMMYFUNCTION("""COMPUTED_VALUE"""),"")</f>
        <v/>
      </c>
      <c r="V745" s="173" t="str">
        <f>IFERROR(__xludf.DUMMYFUNCTION("""COMPUTED_VALUE"""),"Mossy Cobblestone Wall")</f>
        <v>Mossy Cobblestone Wall</v>
      </c>
      <c r="W745" s="174"/>
    </row>
    <row r="746">
      <c r="B746" s="175"/>
      <c r="R746" s="176"/>
      <c r="U746" s="172" t="str">
        <f>IFERROR(__xludf.DUMMYFUNCTION("""COMPUTED_VALUE"""),"")</f>
        <v/>
      </c>
      <c r="V746" s="173" t="str">
        <f>IFERROR(__xludf.DUMMYFUNCTION("""COMPUTED_VALUE"""),"Mossy Stone Brick Slab")</f>
        <v>Mossy Stone Brick Slab</v>
      </c>
      <c r="W746" s="174"/>
    </row>
    <row r="747">
      <c r="B747" s="175"/>
      <c r="R747" s="176"/>
      <c r="U747" s="172" t="str">
        <f>IFERROR(__xludf.DUMMYFUNCTION("""COMPUTED_VALUE"""),"")</f>
        <v/>
      </c>
      <c r="V747" s="173" t="str">
        <f>IFERROR(__xludf.DUMMYFUNCTION("""COMPUTED_VALUE"""),"Mossy Stone Brick Stairs")</f>
        <v>Mossy Stone Brick Stairs</v>
      </c>
      <c r="W747" s="174"/>
    </row>
    <row r="748">
      <c r="B748" s="175"/>
      <c r="R748" s="176"/>
      <c r="U748" s="172" t="str">
        <f>IFERROR(__xludf.DUMMYFUNCTION("""COMPUTED_VALUE"""),"")</f>
        <v/>
      </c>
      <c r="V748" s="173" t="str">
        <f>IFERROR(__xludf.DUMMYFUNCTION("""COMPUTED_VALUE"""),"Mossy Stone Brick Wall")</f>
        <v>Mossy Stone Brick Wall</v>
      </c>
      <c r="W748" s="174"/>
    </row>
    <row r="749">
      <c r="B749" s="175"/>
      <c r="R749" s="176"/>
      <c r="U749" s="172" t="str">
        <f>IFERROR(__xludf.DUMMYFUNCTION("""COMPUTED_VALUE"""),"")</f>
        <v/>
      </c>
      <c r="V749" s="173" t="str">
        <f>IFERROR(__xludf.DUMMYFUNCTION("""COMPUTED_VALUE"""),"Mossy Stone Bricks")</f>
        <v>Mossy Stone Bricks</v>
      </c>
      <c r="W749" s="174"/>
    </row>
    <row r="750">
      <c r="B750" s="175"/>
      <c r="R750" s="176"/>
      <c r="U750" s="172" t="str">
        <f>IFERROR(__xludf.DUMMYFUNCTION("""COMPUTED_VALUE"""),"")</f>
        <v/>
      </c>
      <c r="V750" s="173" t="str">
        <f>IFERROR(__xludf.DUMMYFUNCTION("""COMPUTED_VALUE"""),"Mourner Pottery Sherd")</f>
        <v>Mourner Pottery Sherd</v>
      </c>
      <c r="W750" s="174"/>
    </row>
    <row r="751">
      <c r="B751" s="175"/>
      <c r="R751" s="176"/>
      <c r="U751" s="172" t="str">
        <f>IFERROR(__xludf.DUMMYFUNCTION("""COMPUTED_VALUE"""),"")</f>
        <v/>
      </c>
      <c r="V751" s="173" t="str">
        <f>IFERROR(__xludf.DUMMYFUNCTION("""COMPUTED_VALUE"""),"Mud")</f>
        <v>Mud</v>
      </c>
      <c r="W751" s="174"/>
    </row>
    <row r="752">
      <c r="B752" s="175"/>
      <c r="R752" s="176"/>
      <c r="U752" s="172" t="str">
        <f>IFERROR(__xludf.DUMMYFUNCTION("""COMPUTED_VALUE"""),"")</f>
        <v/>
      </c>
      <c r="V752" s="173" t="str">
        <f>IFERROR(__xludf.DUMMYFUNCTION("""COMPUTED_VALUE"""),"Mud Brick Slab")</f>
        <v>Mud Brick Slab</v>
      </c>
      <c r="W752" s="174"/>
    </row>
    <row r="753">
      <c r="B753" s="175"/>
      <c r="R753" s="176"/>
      <c r="U753" s="172" t="str">
        <f>IFERROR(__xludf.DUMMYFUNCTION("""COMPUTED_VALUE"""),"")</f>
        <v/>
      </c>
      <c r="V753" s="173" t="str">
        <f>IFERROR(__xludf.DUMMYFUNCTION("""COMPUTED_VALUE"""),"Mud Brick Stairs")</f>
        <v>Mud Brick Stairs</v>
      </c>
      <c r="W753" s="174"/>
    </row>
    <row r="754">
      <c r="B754" s="175"/>
      <c r="R754" s="176"/>
      <c r="U754" s="172" t="str">
        <f>IFERROR(__xludf.DUMMYFUNCTION("""COMPUTED_VALUE"""),"")</f>
        <v/>
      </c>
      <c r="V754" s="173" t="str">
        <f>IFERROR(__xludf.DUMMYFUNCTION("""COMPUTED_VALUE"""),"Mud Brick Wall")</f>
        <v>Mud Brick Wall</v>
      </c>
      <c r="W754" s="174"/>
    </row>
    <row r="755">
      <c r="B755" s="175"/>
      <c r="R755" s="176"/>
      <c r="U755" s="172" t="str">
        <f>IFERROR(__xludf.DUMMYFUNCTION("""COMPUTED_VALUE"""),"")</f>
        <v/>
      </c>
      <c r="V755" s="173" t="str">
        <f>IFERROR(__xludf.DUMMYFUNCTION("""COMPUTED_VALUE"""),"Mud Bricks")</f>
        <v>Mud Bricks</v>
      </c>
      <c r="W755" s="174"/>
    </row>
    <row r="756">
      <c r="B756" s="175"/>
      <c r="R756" s="176"/>
      <c r="U756" s="172" t="str">
        <f>IFERROR(__xludf.DUMMYFUNCTION("""COMPUTED_VALUE"""),"")</f>
        <v/>
      </c>
      <c r="V756" s="173" t="str">
        <f>IFERROR(__xludf.DUMMYFUNCTION("""COMPUTED_VALUE"""),"Muddy Mangrove Roots")</f>
        <v>Muddy Mangrove Roots</v>
      </c>
      <c r="W756" s="174"/>
    </row>
    <row r="757">
      <c r="B757" s="175"/>
      <c r="R757" s="176"/>
      <c r="U757" s="172" t="str">
        <f>IFERROR(__xludf.DUMMYFUNCTION("""COMPUTED_VALUE"""),"")</f>
        <v/>
      </c>
      <c r="V757" s="173" t="str">
        <f>IFERROR(__xludf.DUMMYFUNCTION("""COMPUTED_VALUE"""),"Mushroom Stem")</f>
        <v>Mushroom Stem</v>
      </c>
      <c r="W757" s="174"/>
    </row>
    <row r="758">
      <c r="B758" s="175"/>
      <c r="R758" s="176"/>
      <c r="U758" s="172" t="str">
        <f>IFERROR(__xludf.DUMMYFUNCTION("""COMPUTED_VALUE"""),"")</f>
        <v/>
      </c>
      <c r="V758" s="173" t="str">
        <f>IFERROR(__xludf.DUMMYFUNCTION("""COMPUTED_VALUE"""),"Mushroom Stew")</f>
        <v>Mushroom Stew</v>
      </c>
      <c r="W758" s="174"/>
    </row>
    <row r="759">
      <c r="B759" s="175"/>
      <c r="R759" s="176"/>
      <c r="U759" s="172" t="str">
        <f>IFERROR(__xludf.DUMMYFUNCTION("""COMPUTED_VALUE"""),"")</f>
        <v/>
      </c>
      <c r="V759" s="173" t="str">
        <f>IFERROR(__xludf.DUMMYFUNCTION("""COMPUTED_VALUE"""),"Music Disc 11")</f>
        <v>Music Disc 11</v>
      </c>
      <c r="W759" s="174"/>
    </row>
    <row r="760">
      <c r="B760" s="175"/>
      <c r="R760" s="176"/>
      <c r="U760" s="172" t="str">
        <f>IFERROR(__xludf.DUMMYFUNCTION("""COMPUTED_VALUE"""),"")</f>
        <v/>
      </c>
      <c r="V760" s="173" t="str">
        <f>IFERROR(__xludf.DUMMYFUNCTION("""COMPUTED_VALUE"""),"Music Disc 13")</f>
        <v>Music Disc 13</v>
      </c>
      <c r="W760" s="174"/>
    </row>
    <row r="761">
      <c r="B761" s="175"/>
      <c r="R761" s="176"/>
      <c r="U761" s="172" t="str">
        <f>IFERROR(__xludf.DUMMYFUNCTION("""COMPUTED_VALUE"""),"")</f>
        <v/>
      </c>
      <c r="V761" s="173" t="str">
        <f>IFERROR(__xludf.DUMMYFUNCTION("""COMPUTED_VALUE"""),"Music Disc 5")</f>
        <v>Music Disc 5</v>
      </c>
      <c r="W761" s="174"/>
    </row>
    <row r="762">
      <c r="B762" s="175"/>
      <c r="R762" s="176"/>
      <c r="U762" s="172" t="str">
        <f>IFERROR(__xludf.DUMMYFUNCTION("""COMPUTED_VALUE"""),"")</f>
        <v/>
      </c>
      <c r="V762" s="173" t="str">
        <f>IFERROR(__xludf.DUMMYFUNCTION("""COMPUTED_VALUE"""),"Music Disc Blocks")</f>
        <v>Music Disc Blocks</v>
      </c>
      <c r="W762" s="174"/>
    </row>
    <row r="763">
      <c r="B763" s="175"/>
      <c r="R763" s="176"/>
      <c r="U763" s="172" t="str">
        <f>IFERROR(__xludf.DUMMYFUNCTION("""COMPUTED_VALUE"""),"")</f>
        <v/>
      </c>
      <c r="V763" s="173" t="str">
        <f>IFERROR(__xludf.DUMMYFUNCTION("""COMPUTED_VALUE"""),"Music Disc Cat")</f>
        <v>Music Disc Cat</v>
      </c>
      <c r="W763" s="174"/>
    </row>
    <row r="764">
      <c r="B764" s="175"/>
      <c r="R764" s="176"/>
      <c r="U764" s="172" t="str">
        <f>IFERROR(__xludf.DUMMYFUNCTION("""COMPUTED_VALUE"""),"")</f>
        <v/>
      </c>
      <c r="V764" s="173" t="str">
        <f>IFERROR(__xludf.DUMMYFUNCTION("""COMPUTED_VALUE"""),"Music Disc Chirp")</f>
        <v>Music Disc Chirp</v>
      </c>
      <c r="W764" s="174"/>
    </row>
    <row r="765">
      <c r="B765" s="175"/>
      <c r="R765" s="176"/>
      <c r="U765" s="172" t="str">
        <f>IFERROR(__xludf.DUMMYFUNCTION("""COMPUTED_VALUE"""),"")</f>
        <v/>
      </c>
      <c r="V765" s="173" t="str">
        <f>IFERROR(__xludf.DUMMYFUNCTION("""COMPUTED_VALUE"""),"Music Disc Creator")</f>
        <v>Music Disc Creator</v>
      </c>
      <c r="W765" s="174"/>
    </row>
    <row r="766">
      <c r="B766" s="175"/>
      <c r="R766" s="176"/>
      <c r="U766" s="172" t="str">
        <f>IFERROR(__xludf.DUMMYFUNCTION("""COMPUTED_VALUE"""),"")</f>
        <v/>
      </c>
      <c r="V766" s="173" t="str">
        <f>IFERROR(__xludf.DUMMYFUNCTION("""COMPUTED_VALUE"""),"Music Disc Creator Music Box")</f>
        <v>Music Disc Creator Music Box</v>
      </c>
      <c r="W766" s="174"/>
    </row>
    <row r="767">
      <c r="B767" s="175"/>
      <c r="R767" s="176"/>
      <c r="U767" s="172" t="str">
        <f>IFERROR(__xludf.DUMMYFUNCTION("""COMPUTED_VALUE"""),"")</f>
        <v/>
      </c>
      <c r="V767" s="173" t="str">
        <f>IFERROR(__xludf.DUMMYFUNCTION("""COMPUTED_VALUE"""),"Music Disc Far")</f>
        <v>Music Disc Far</v>
      </c>
      <c r="W767" s="174"/>
    </row>
    <row r="768">
      <c r="B768" s="175"/>
      <c r="R768" s="176"/>
      <c r="U768" s="172" t="str">
        <f>IFERROR(__xludf.DUMMYFUNCTION("""COMPUTED_VALUE"""),"")</f>
        <v/>
      </c>
      <c r="V768" s="173" t="str">
        <f>IFERROR(__xludf.DUMMYFUNCTION("""COMPUTED_VALUE"""),"Music Disc Mall")</f>
        <v>Music Disc Mall</v>
      </c>
      <c r="W768" s="174"/>
    </row>
    <row r="769">
      <c r="B769" s="175"/>
      <c r="R769" s="176"/>
      <c r="U769" s="172" t="str">
        <f>IFERROR(__xludf.DUMMYFUNCTION("""COMPUTED_VALUE"""),"")</f>
        <v/>
      </c>
      <c r="V769" s="173" t="str">
        <f>IFERROR(__xludf.DUMMYFUNCTION("""COMPUTED_VALUE"""),"Music Disc Mellohi")</f>
        <v>Music Disc Mellohi</v>
      </c>
      <c r="W769" s="174"/>
    </row>
    <row r="770">
      <c r="B770" s="175"/>
      <c r="R770" s="176"/>
      <c r="U770" s="172" t="str">
        <f>IFERROR(__xludf.DUMMYFUNCTION("""COMPUTED_VALUE"""),"")</f>
        <v/>
      </c>
      <c r="V770" s="173" t="str">
        <f>IFERROR(__xludf.DUMMYFUNCTION("""COMPUTED_VALUE"""),"Music Disc Otherside")</f>
        <v>Music Disc Otherside</v>
      </c>
      <c r="W770" s="174"/>
    </row>
    <row r="771">
      <c r="B771" s="175"/>
      <c r="R771" s="176"/>
      <c r="U771" s="172" t="str">
        <f>IFERROR(__xludf.DUMMYFUNCTION("""COMPUTED_VALUE"""),"")</f>
        <v/>
      </c>
      <c r="V771" s="173" t="str">
        <f>IFERROR(__xludf.DUMMYFUNCTION("""COMPUTED_VALUE"""),"Music Disc Pigstep")</f>
        <v>Music Disc Pigstep</v>
      </c>
      <c r="W771" s="174"/>
    </row>
    <row r="772">
      <c r="B772" s="175"/>
      <c r="R772" s="176"/>
      <c r="U772" s="172" t="str">
        <f>IFERROR(__xludf.DUMMYFUNCTION("""COMPUTED_VALUE"""),"")</f>
        <v/>
      </c>
      <c r="V772" s="173" t="str">
        <f>IFERROR(__xludf.DUMMYFUNCTION("""COMPUTED_VALUE"""),"Music Disc Precipice")</f>
        <v>Music Disc Precipice</v>
      </c>
      <c r="W772" s="174"/>
    </row>
    <row r="773">
      <c r="B773" s="175"/>
      <c r="R773" s="176"/>
      <c r="U773" s="172" t="str">
        <f>IFERROR(__xludf.DUMMYFUNCTION("""COMPUTED_VALUE"""),"")</f>
        <v/>
      </c>
      <c r="V773" s="173" t="str">
        <f>IFERROR(__xludf.DUMMYFUNCTION("""COMPUTED_VALUE"""),"Music Disc Relic")</f>
        <v>Music Disc Relic</v>
      </c>
      <c r="W773" s="174"/>
    </row>
    <row r="774">
      <c r="B774" s="175"/>
      <c r="R774" s="176"/>
      <c r="U774" s="172" t="str">
        <f>IFERROR(__xludf.DUMMYFUNCTION("""COMPUTED_VALUE"""),"")</f>
        <v/>
      </c>
      <c r="V774" s="173" t="str">
        <f>IFERROR(__xludf.DUMMYFUNCTION("""COMPUTED_VALUE"""),"Music Disc Stal")</f>
        <v>Music Disc Stal</v>
      </c>
      <c r="W774" s="174"/>
    </row>
    <row r="775">
      <c r="B775" s="175"/>
      <c r="R775" s="176"/>
      <c r="U775" s="172" t="str">
        <f>IFERROR(__xludf.DUMMYFUNCTION("""COMPUTED_VALUE"""),"")</f>
        <v/>
      </c>
      <c r="V775" s="173" t="str">
        <f>IFERROR(__xludf.DUMMYFUNCTION("""COMPUTED_VALUE"""),"Music Disc Strad")</f>
        <v>Music Disc Strad</v>
      </c>
      <c r="W775" s="174"/>
    </row>
    <row r="776">
      <c r="B776" s="175"/>
      <c r="R776" s="176"/>
      <c r="U776" s="172" t="str">
        <f>IFERROR(__xludf.DUMMYFUNCTION("""COMPUTED_VALUE"""),"")</f>
        <v/>
      </c>
      <c r="V776" s="173" t="str">
        <f>IFERROR(__xludf.DUMMYFUNCTION("""COMPUTED_VALUE"""),"Music Disc Wait")</f>
        <v>Music Disc Wait</v>
      </c>
      <c r="W776" s="174"/>
    </row>
    <row r="777">
      <c r="B777" s="175"/>
      <c r="R777" s="176"/>
      <c r="U777" s="172" t="str">
        <f>IFERROR(__xludf.DUMMYFUNCTION("""COMPUTED_VALUE"""),"")</f>
        <v/>
      </c>
      <c r="V777" s="173" t="str">
        <f>IFERROR(__xludf.DUMMYFUNCTION("""COMPUTED_VALUE"""),"Music Disc Ward")</f>
        <v>Music Disc Ward</v>
      </c>
      <c r="W777" s="174"/>
    </row>
    <row r="778">
      <c r="B778" s="175"/>
      <c r="R778" s="176"/>
      <c r="U778" s="172" t="str">
        <f>IFERROR(__xludf.DUMMYFUNCTION("""COMPUTED_VALUE"""),"")</f>
        <v/>
      </c>
      <c r="V778" s="173" t="str">
        <f>IFERROR(__xludf.DUMMYFUNCTION("""COMPUTED_VALUE"""),"Mutton")</f>
        <v>Mutton</v>
      </c>
      <c r="W778" s="174"/>
    </row>
    <row r="779">
      <c r="B779" s="175"/>
      <c r="R779" s="176"/>
      <c r="U779" s="172" t="str">
        <f>IFERROR(__xludf.DUMMYFUNCTION("""COMPUTED_VALUE"""),"")</f>
        <v/>
      </c>
      <c r="V779" s="173" t="str">
        <f>IFERROR(__xludf.DUMMYFUNCTION("""COMPUTED_VALUE"""),"Mycelium")</f>
        <v>Mycelium</v>
      </c>
      <c r="W779" s="174"/>
    </row>
    <row r="780">
      <c r="B780" s="175"/>
      <c r="R780" s="176"/>
      <c r="U780" s="172" t="str">
        <f>IFERROR(__xludf.DUMMYFUNCTION("""COMPUTED_VALUE"""),"")</f>
        <v/>
      </c>
      <c r="V780" s="173" t="str">
        <f>IFERROR(__xludf.DUMMYFUNCTION("""COMPUTED_VALUE"""),"Name Tag")</f>
        <v>Name Tag</v>
      </c>
      <c r="W780" s="174"/>
    </row>
    <row r="781">
      <c r="B781" s="175"/>
      <c r="R781" s="176"/>
      <c r="U781" s="172" t="str">
        <f>IFERROR(__xludf.DUMMYFUNCTION("""COMPUTED_VALUE"""),"")</f>
        <v/>
      </c>
      <c r="V781" s="173" t="str">
        <f>IFERROR(__xludf.DUMMYFUNCTION("""COMPUTED_VALUE"""),"Nautilus Shell")</f>
        <v>Nautilus Shell</v>
      </c>
      <c r="W781" s="174"/>
    </row>
    <row r="782">
      <c r="B782" s="175"/>
      <c r="R782" s="176"/>
      <c r="U782" s="172" t="str">
        <f>IFERROR(__xludf.DUMMYFUNCTION("""COMPUTED_VALUE"""),"")</f>
        <v/>
      </c>
      <c r="V782" s="173" t="str">
        <f>IFERROR(__xludf.DUMMYFUNCTION("""COMPUTED_VALUE"""),"Nether Brick")</f>
        <v>Nether Brick</v>
      </c>
      <c r="W782" s="174"/>
    </row>
    <row r="783">
      <c r="B783" s="175"/>
      <c r="R783" s="176"/>
      <c r="U783" s="172" t="str">
        <f>IFERROR(__xludf.DUMMYFUNCTION("""COMPUTED_VALUE"""),"")</f>
        <v/>
      </c>
      <c r="V783" s="173" t="str">
        <f>IFERROR(__xludf.DUMMYFUNCTION("""COMPUTED_VALUE"""),"Nether Brick Fence")</f>
        <v>Nether Brick Fence</v>
      </c>
      <c r="W783" s="174"/>
    </row>
    <row r="784">
      <c r="B784" s="175"/>
      <c r="R784" s="176"/>
      <c r="U784" s="172" t="str">
        <f>IFERROR(__xludf.DUMMYFUNCTION("""COMPUTED_VALUE"""),"")</f>
        <v/>
      </c>
      <c r="V784" s="173" t="str">
        <f>IFERROR(__xludf.DUMMYFUNCTION("""COMPUTED_VALUE"""),"Nether Brick Slab")</f>
        <v>Nether Brick Slab</v>
      </c>
      <c r="W784" s="174"/>
    </row>
    <row r="785">
      <c r="B785" s="175"/>
      <c r="R785" s="176"/>
      <c r="U785" s="172" t="str">
        <f>IFERROR(__xludf.DUMMYFUNCTION("""COMPUTED_VALUE"""),"")</f>
        <v/>
      </c>
      <c r="V785" s="173" t="str">
        <f>IFERROR(__xludf.DUMMYFUNCTION("""COMPUTED_VALUE"""),"Nether Brick Stairs")</f>
        <v>Nether Brick Stairs</v>
      </c>
      <c r="W785" s="174"/>
    </row>
    <row r="786">
      <c r="B786" s="175"/>
      <c r="R786" s="176"/>
      <c r="U786" s="172" t="str">
        <f>IFERROR(__xludf.DUMMYFUNCTION("""COMPUTED_VALUE"""),"")</f>
        <v/>
      </c>
      <c r="V786" s="173" t="str">
        <f>IFERROR(__xludf.DUMMYFUNCTION("""COMPUTED_VALUE"""),"Nether Brick Wall")</f>
        <v>Nether Brick Wall</v>
      </c>
      <c r="W786" s="174"/>
    </row>
    <row r="787">
      <c r="B787" s="175"/>
      <c r="R787" s="176"/>
      <c r="U787" s="172" t="str">
        <f>IFERROR(__xludf.DUMMYFUNCTION("""COMPUTED_VALUE"""),"")</f>
        <v/>
      </c>
      <c r="V787" s="173" t="str">
        <f>IFERROR(__xludf.DUMMYFUNCTION("""COMPUTED_VALUE"""),"Nether Bricks")</f>
        <v>Nether Bricks</v>
      </c>
      <c r="W787" s="174"/>
    </row>
    <row r="788">
      <c r="B788" s="175"/>
      <c r="R788" s="176"/>
      <c r="U788" s="172" t="str">
        <f>IFERROR(__xludf.DUMMYFUNCTION("""COMPUTED_VALUE"""),"")</f>
        <v/>
      </c>
      <c r="V788" s="173" t="str">
        <f>IFERROR(__xludf.DUMMYFUNCTION("""COMPUTED_VALUE"""),"Nether Gold Ore")</f>
        <v>Nether Gold Ore</v>
      </c>
      <c r="W788" s="174"/>
    </row>
    <row r="789">
      <c r="B789" s="175"/>
      <c r="R789" s="176"/>
      <c r="U789" s="172" t="str">
        <f>IFERROR(__xludf.DUMMYFUNCTION("""COMPUTED_VALUE"""),"")</f>
        <v/>
      </c>
      <c r="V789" s="173" t="str">
        <f>IFERROR(__xludf.DUMMYFUNCTION("""COMPUTED_VALUE"""),"Nether Quartz Ore")</f>
        <v>Nether Quartz Ore</v>
      </c>
      <c r="W789" s="174"/>
    </row>
    <row r="790">
      <c r="B790" s="175"/>
      <c r="R790" s="176"/>
      <c r="U790" s="172" t="str">
        <f>IFERROR(__xludf.DUMMYFUNCTION("""COMPUTED_VALUE"""),"")</f>
        <v/>
      </c>
      <c r="V790" s="173" t="str">
        <f>IFERROR(__xludf.DUMMYFUNCTION("""COMPUTED_VALUE"""),"Nether Sprouts")</f>
        <v>Nether Sprouts</v>
      </c>
      <c r="W790" s="174"/>
    </row>
    <row r="791">
      <c r="B791" s="175"/>
      <c r="R791" s="176"/>
      <c r="U791" s="172" t="str">
        <f>IFERROR(__xludf.DUMMYFUNCTION("""COMPUTED_VALUE"""),"")</f>
        <v/>
      </c>
      <c r="V791" s="173" t="str">
        <f>IFERROR(__xludf.DUMMYFUNCTION("""COMPUTED_VALUE"""),"Nether Star")</f>
        <v>Nether Star</v>
      </c>
      <c r="W791" s="174"/>
    </row>
    <row r="792">
      <c r="B792" s="175"/>
      <c r="R792" s="176"/>
      <c r="U792" s="172" t="str">
        <f>IFERROR(__xludf.DUMMYFUNCTION("""COMPUTED_VALUE"""),"")</f>
        <v/>
      </c>
      <c r="V792" s="173" t="str">
        <f>IFERROR(__xludf.DUMMYFUNCTION("""COMPUTED_VALUE"""),"Nether Wart")</f>
        <v>Nether Wart</v>
      </c>
      <c r="W792" s="174"/>
    </row>
    <row r="793">
      <c r="B793" s="175"/>
      <c r="R793" s="176"/>
      <c r="U793" s="172" t="str">
        <f>IFERROR(__xludf.DUMMYFUNCTION("""COMPUTED_VALUE"""),"")</f>
        <v/>
      </c>
      <c r="V793" s="173" t="str">
        <f>IFERROR(__xludf.DUMMYFUNCTION("""COMPUTED_VALUE"""),"Nether Wart Block")</f>
        <v>Nether Wart Block</v>
      </c>
      <c r="W793" s="174"/>
    </row>
    <row r="794">
      <c r="B794" s="175"/>
      <c r="R794" s="176"/>
      <c r="U794" s="172" t="str">
        <f>IFERROR(__xludf.DUMMYFUNCTION("""COMPUTED_VALUE"""),"")</f>
        <v/>
      </c>
      <c r="V794" s="173" t="str">
        <f>IFERROR(__xludf.DUMMYFUNCTION("""COMPUTED_VALUE"""),"Netherite Axe")</f>
        <v>Netherite Axe</v>
      </c>
      <c r="W794" s="174"/>
    </row>
    <row r="795">
      <c r="B795" s="175"/>
      <c r="R795" s="176"/>
      <c r="U795" s="172" t="str">
        <f>IFERROR(__xludf.DUMMYFUNCTION("""COMPUTED_VALUE"""),"")</f>
        <v/>
      </c>
      <c r="V795" s="173" t="str">
        <f>IFERROR(__xludf.DUMMYFUNCTION("""COMPUTED_VALUE"""),"Netherite Block")</f>
        <v>Netherite Block</v>
      </c>
      <c r="W795" s="174"/>
    </row>
    <row r="796">
      <c r="B796" s="175"/>
      <c r="R796" s="176"/>
      <c r="U796" s="172" t="str">
        <f>IFERROR(__xludf.DUMMYFUNCTION("""COMPUTED_VALUE"""),"")</f>
        <v/>
      </c>
      <c r="V796" s="173" t="str">
        <f>IFERROR(__xludf.DUMMYFUNCTION("""COMPUTED_VALUE"""),"Netherite Boots")</f>
        <v>Netherite Boots</v>
      </c>
      <c r="W796" s="174"/>
    </row>
    <row r="797">
      <c r="B797" s="175"/>
      <c r="R797" s="176"/>
      <c r="U797" s="172" t="str">
        <f>IFERROR(__xludf.DUMMYFUNCTION("""COMPUTED_VALUE"""),"")</f>
        <v/>
      </c>
      <c r="V797" s="173" t="str">
        <f>IFERROR(__xludf.DUMMYFUNCTION("""COMPUTED_VALUE"""),"Netherite Chestplate")</f>
        <v>Netherite Chestplate</v>
      </c>
      <c r="W797" s="174"/>
    </row>
    <row r="798">
      <c r="B798" s="175"/>
      <c r="R798" s="176"/>
      <c r="U798" s="172" t="str">
        <f>IFERROR(__xludf.DUMMYFUNCTION("""COMPUTED_VALUE"""),"")</f>
        <v/>
      </c>
      <c r="V798" s="173" t="str">
        <f>IFERROR(__xludf.DUMMYFUNCTION("""COMPUTED_VALUE"""),"Netherite Helmet")</f>
        <v>Netherite Helmet</v>
      </c>
      <c r="W798" s="174"/>
    </row>
    <row r="799">
      <c r="B799" s="175"/>
      <c r="R799" s="176"/>
      <c r="U799" s="172" t="str">
        <f>IFERROR(__xludf.DUMMYFUNCTION("""COMPUTED_VALUE"""),"")</f>
        <v/>
      </c>
      <c r="V799" s="173" t="str">
        <f>IFERROR(__xludf.DUMMYFUNCTION("""COMPUTED_VALUE"""),"Netherite Hoe")</f>
        <v>Netherite Hoe</v>
      </c>
      <c r="W799" s="174"/>
    </row>
    <row r="800">
      <c r="B800" s="175"/>
      <c r="R800" s="176"/>
      <c r="U800" s="172" t="str">
        <f>IFERROR(__xludf.DUMMYFUNCTION("""COMPUTED_VALUE"""),"")</f>
        <v/>
      </c>
      <c r="V800" s="173" t="str">
        <f>IFERROR(__xludf.DUMMYFUNCTION("""COMPUTED_VALUE"""),"Netherite Ingot")</f>
        <v>Netherite Ingot</v>
      </c>
      <c r="W800" s="174"/>
    </row>
    <row r="801">
      <c r="B801" s="175"/>
      <c r="R801" s="176"/>
      <c r="U801" s="172" t="str">
        <f>IFERROR(__xludf.DUMMYFUNCTION("""COMPUTED_VALUE"""),"")</f>
        <v/>
      </c>
      <c r="V801" s="173" t="str">
        <f>IFERROR(__xludf.DUMMYFUNCTION("""COMPUTED_VALUE"""),"Netherite Leggings")</f>
        <v>Netherite Leggings</v>
      </c>
      <c r="W801" s="174"/>
    </row>
    <row r="802">
      <c r="B802" s="175"/>
      <c r="R802" s="176"/>
      <c r="U802" s="172" t="str">
        <f>IFERROR(__xludf.DUMMYFUNCTION("""COMPUTED_VALUE"""),"")</f>
        <v/>
      </c>
      <c r="V802" s="173" t="str">
        <f>IFERROR(__xludf.DUMMYFUNCTION("""COMPUTED_VALUE"""),"Netherite Pickaxe")</f>
        <v>Netherite Pickaxe</v>
      </c>
      <c r="W802" s="174"/>
    </row>
    <row r="803">
      <c r="B803" s="175"/>
      <c r="R803" s="176"/>
      <c r="U803" s="172" t="str">
        <f>IFERROR(__xludf.DUMMYFUNCTION("""COMPUTED_VALUE"""),"")</f>
        <v/>
      </c>
      <c r="V803" s="173" t="str">
        <f>IFERROR(__xludf.DUMMYFUNCTION("""COMPUTED_VALUE"""),"Netherite Scrap")</f>
        <v>Netherite Scrap</v>
      </c>
      <c r="W803" s="174"/>
    </row>
    <row r="804">
      <c r="B804" s="175"/>
      <c r="R804" s="176"/>
      <c r="U804" s="172" t="str">
        <f>IFERROR(__xludf.DUMMYFUNCTION("""COMPUTED_VALUE"""),"")</f>
        <v/>
      </c>
      <c r="V804" s="173" t="str">
        <f>IFERROR(__xludf.DUMMYFUNCTION("""COMPUTED_VALUE"""),"Netherite Shovel")</f>
        <v>Netherite Shovel</v>
      </c>
      <c r="W804" s="174"/>
    </row>
    <row r="805">
      <c r="B805" s="175"/>
      <c r="R805" s="176"/>
      <c r="U805" s="172" t="str">
        <f>IFERROR(__xludf.DUMMYFUNCTION("""COMPUTED_VALUE"""),"")</f>
        <v/>
      </c>
      <c r="V805" s="173" t="str">
        <f>IFERROR(__xludf.DUMMYFUNCTION("""COMPUTED_VALUE"""),"Netherite Sword")</f>
        <v>Netherite Sword</v>
      </c>
      <c r="W805" s="174"/>
    </row>
    <row r="806">
      <c r="B806" s="175"/>
      <c r="R806" s="176"/>
      <c r="U806" s="172" t="str">
        <f>IFERROR(__xludf.DUMMYFUNCTION("""COMPUTED_VALUE"""),"")</f>
        <v/>
      </c>
      <c r="V806" s="173" t="str">
        <f>IFERROR(__xludf.DUMMYFUNCTION("""COMPUTED_VALUE"""),"Netherite Upgrade")</f>
        <v>Netherite Upgrade</v>
      </c>
      <c r="W806" s="174"/>
    </row>
    <row r="807">
      <c r="B807" s="175"/>
      <c r="R807" s="176"/>
      <c r="U807" s="172" t="str">
        <f>IFERROR(__xludf.DUMMYFUNCTION("""COMPUTED_VALUE"""),"")</f>
        <v/>
      </c>
      <c r="V807" s="173" t="str">
        <f>IFERROR(__xludf.DUMMYFUNCTION("""COMPUTED_VALUE"""),"Netherrack")</f>
        <v>Netherrack</v>
      </c>
      <c r="W807" s="174"/>
    </row>
    <row r="808">
      <c r="B808" s="175"/>
      <c r="R808" s="176"/>
      <c r="U808" s="172" t="str">
        <f>IFERROR(__xludf.DUMMYFUNCTION("""COMPUTED_VALUE"""),"")</f>
        <v/>
      </c>
      <c r="V808" s="173" t="str">
        <f>IFERROR(__xludf.DUMMYFUNCTION("""COMPUTED_VALUE"""),"Note Block")</f>
        <v>Note Block</v>
      </c>
      <c r="W808" s="174"/>
    </row>
    <row r="809">
      <c r="B809" s="175"/>
      <c r="R809" s="176"/>
      <c r="U809" s="172" t="str">
        <f>IFERROR(__xludf.DUMMYFUNCTION("""COMPUTED_VALUE"""),"")</f>
        <v/>
      </c>
      <c r="V809" s="173" t="str">
        <f>IFERROR(__xludf.DUMMYFUNCTION("""COMPUTED_VALUE"""),"Oak Boat")</f>
        <v>Oak Boat</v>
      </c>
      <c r="W809" s="174"/>
    </row>
    <row r="810">
      <c r="B810" s="175"/>
      <c r="R810" s="176"/>
      <c r="U810" s="172" t="str">
        <f>IFERROR(__xludf.DUMMYFUNCTION("""COMPUTED_VALUE"""),"")</f>
        <v/>
      </c>
      <c r="V810" s="173" t="str">
        <f>IFERROR(__xludf.DUMMYFUNCTION("""COMPUTED_VALUE"""),"Oak Button")</f>
        <v>Oak Button</v>
      </c>
      <c r="W810" s="174"/>
    </row>
    <row r="811">
      <c r="B811" s="175"/>
      <c r="R811" s="176"/>
      <c r="U811" s="172" t="str">
        <f>IFERROR(__xludf.DUMMYFUNCTION("""COMPUTED_VALUE"""),"")</f>
        <v/>
      </c>
      <c r="V811" s="173" t="str">
        <f>IFERROR(__xludf.DUMMYFUNCTION("""COMPUTED_VALUE"""),"Oak Chest Boat")</f>
        <v>Oak Chest Boat</v>
      </c>
      <c r="W811" s="174"/>
    </row>
    <row r="812">
      <c r="B812" s="175"/>
      <c r="R812" s="176"/>
      <c r="U812" s="172" t="str">
        <f>IFERROR(__xludf.DUMMYFUNCTION("""COMPUTED_VALUE"""),"")</f>
        <v/>
      </c>
      <c r="V812" s="173" t="str">
        <f>IFERROR(__xludf.DUMMYFUNCTION("""COMPUTED_VALUE"""),"Oak Door")</f>
        <v>Oak Door</v>
      </c>
      <c r="W812" s="174"/>
    </row>
    <row r="813">
      <c r="B813" s="175"/>
      <c r="R813" s="176"/>
      <c r="U813" s="172" t="str">
        <f>IFERROR(__xludf.DUMMYFUNCTION("""COMPUTED_VALUE"""),"")</f>
        <v/>
      </c>
      <c r="V813" s="173" t="str">
        <f>IFERROR(__xludf.DUMMYFUNCTION("""COMPUTED_VALUE"""),"Oak Fence")</f>
        <v>Oak Fence</v>
      </c>
      <c r="W813" s="174"/>
    </row>
    <row r="814">
      <c r="B814" s="175"/>
      <c r="R814" s="176"/>
      <c r="U814" s="172" t="str">
        <f>IFERROR(__xludf.DUMMYFUNCTION("""COMPUTED_VALUE"""),"")</f>
        <v/>
      </c>
      <c r="V814" s="173" t="str">
        <f>IFERROR(__xludf.DUMMYFUNCTION("""COMPUTED_VALUE"""),"Oak Fence Gate")</f>
        <v>Oak Fence Gate</v>
      </c>
      <c r="W814" s="174"/>
    </row>
    <row r="815">
      <c r="B815" s="175"/>
      <c r="R815" s="176"/>
      <c r="U815" s="172" t="str">
        <f>IFERROR(__xludf.DUMMYFUNCTION("""COMPUTED_VALUE"""),"")</f>
        <v/>
      </c>
      <c r="V815" s="173" t="str">
        <f>IFERROR(__xludf.DUMMYFUNCTION("""COMPUTED_VALUE"""),"Oak Hanging Sign")</f>
        <v>Oak Hanging Sign</v>
      </c>
      <c r="W815" s="174"/>
    </row>
    <row r="816">
      <c r="B816" s="175"/>
      <c r="R816" s="176"/>
      <c r="U816" s="172" t="str">
        <f>IFERROR(__xludf.DUMMYFUNCTION("""COMPUTED_VALUE"""),"")</f>
        <v/>
      </c>
      <c r="V816" s="173" t="str">
        <f>IFERROR(__xludf.DUMMYFUNCTION("""COMPUTED_VALUE"""),"Oak Leaves")</f>
        <v>Oak Leaves</v>
      </c>
      <c r="W816" s="174"/>
    </row>
    <row r="817">
      <c r="B817" s="175"/>
      <c r="R817" s="176"/>
      <c r="U817" s="172" t="str">
        <f>IFERROR(__xludf.DUMMYFUNCTION("""COMPUTED_VALUE"""),"")</f>
        <v/>
      </c>
      <c r="V817" s="173" t="str">
        <f>IFERROR(__xludf.DUMMYFUNCTION("""COMPUTED_VALUE"""),"Oak Log")</f>
        <v>Oak Log</v>
      </c>
      <c r="W817" s="174"/>
    </row>
    <row r="818">
      <c r="B818" s="175"/>
      <c r="R818" s="176"/>
      <c r="U818" s="172" t="str">
        <f>IFERROR(__xludf.DUMMYFUNCTION("""COMPUTED_VALUE"""),"")</f>
        <v/>
      </c>
      <c r="V818" s="173" t="str">
        <f>IFERROR(__xludf.DUMMYFUNCTION("""COMPUTED_VALUE"""),"Oak Planks")</f>
        <v>Oak Planks</v>
      </c>
      <c r="W818" s="174"/>
    </row>
    <row r="819">
      <c r="B819" s="175"/>
      <c r="R819" s="176"/>
      <c r="U819" s="172" t="str">
        <f>IFERROR(__xludf.DUMMYFUNCTION("""COMPUTED_VALUE"""),"")</f>
        <v/>
      </c>
      <c r="V819" s="173" t="str">
        <f>IFERROR(__xludf.DUMMYFUNCTION("""COMPUTED_VALUE"""),"Oak Pressure Plate")</f>
        <v>Oak Pressure Plate</v>
      </c>
      <c r="W819" s="174"/>
    </row>
    <row r="820">
      <c r="B820" s="175"/>
      <c r="R820" s="176"/>
      <c r="U820" s="172" t="str">
        <f>IFERROR(__xludf.DUMMYFUNCTION("""COMPUTED_VALUE"""),"")</f>
        <v/>
      </c>
      <c r="V820" s="173" t="str">
        <f>IFERROR(__xludf.DUMMYFUNCTION("""COMPUTED_VALUE"""),"Oak Sapling")</f>
        <v>Oak Sapling</v>
      </c>
      <c r="W820" s="174"/>
    </row>
    <row r="821">
      <c r="B821" s="175"/>
      <c r="R821" s="176"/>
      <c r="U821" s="172" t="str">
        <f>IFERROR(__xludf.DUMMYFUNCTION("""COMPUTED_VALUE"""),"")</f>
        <v/>
      </c>
      <c r="V821" s="173" t="str">
        <f>IFERROR(__xludf.DUMMYFUNCTION("""COMPUTED_VALUE"""),"Oak Sign")</f>
        <v>Oak Sign</v>
      </c>
      <c r="W821" s="174"/>
    </row>
    <row r="822">
      <c r="B822" s="175"/>
      <c r="R822" s="176"/>
      <c r="U822" s="172" t="str">
        <f>IFERROR(__xludf.DUMMYFUNCTION("""COMPUTED_VALUE"""),"")</f>
        <v/>
      </c>
      <c r="V822" s="173" t="str">
        <f>IFERROR(__xludf.DUMMYFUNCTION("""COMPUTED_VALUE"""),"Oak Slab")</f>
        <v>Oak Slab</v>
      </c>
      <c r="W822" s="174"/>
    </row>
    <row r="823">
      <c r="B823" s="175"/>
      <c r="R823" s="176"/>
      <c r="U823" s="172" t="str">
        <f>IFERROR(__xludf.DUMMYFUNCTION("""COMPUTED_VALUE"""),"")</f>
        <v/>
      </c>
      <c r="V823" s="173" t="str">
        <f>IFERROR(__xludf.DUMMYFUNCTION("""COMPUTED_VALUE"""),"Oak Stairs")</f>
        <v>Oak Stairs</v>
      </c>
      <c r="W823" s="174"/>
    </row>
    <row r="824">
      <c r="B824" s="175"/>
      <c r="R824" s="176"/>
      <c r="U824" s="172" t="str">
        <f>IFERROR(__xludf.DUMMYFUNCTION("""COMPUTED_VALUE"""),"")</f>
        <v/>
      </c>
      <c r="V824" s="173" t="str">
        <f>IFERROR(__xludf.DUMMYFUNCTION("""COMPUTED_VALUE"""),"Oak Trapdoor")</f>
        <v>Oak Trapdoor</v>
      </c>
      <c r="W824" s="174"/>
    </row>
    <row r="825">
      <c r="B825" s="175"/>
      <c r="R825" s="176"/>
      <c r="U825" s="172" t="str">
        <f>IFERROR(__xludf.DUMMYFUNCTION("""COMPUTED_VALUE"""),"")</f>
        <v/>
      </c>
      <c r="V825" s="173" t="str">
        <f>IFERROR(__xludf.DUMMYFUNCTION("""COMPUTED_VALUE"""),"Oak Wood")</f>
        <v>Oak Wood</v>
      </c>
      <c r="W825" s="174"/>
    </row>
    <row r="826">
      <c r="B826" s="175"/>
      <c r="R826" s="176"/>
      <c r="U826" s="172" t="str">
        <f>IFERROR(__xludf.DUMMYFUNCTION("""COMPUTED_VALUE"""),"")</f>
        <v/>
      </c>
      <c r="V826" s="173" t="str">
        <f>IFERROR(__xludf.DUMMYFUNCTION("""COMPUTED_VALUE"""),"Observer")</f>
        <v>Observer</v>
      </c>
      <c r="W826" s="174"/>
    </row>
    <row r="827">
      <c r="B827" s="175"/>
      <c r="R827" s="176"/>
      <c r="U827" s="172" t="str">
        <f>IFERROR(__xludf.DUMMYFUNCTION("""COMPUTED_VALUE"""),"")</f>
        <v/>
      </c>
      <c r="V827" s="173" t="str">
        <f>IFERROR(__xludf.DUMMYFUNCTION("""COMPUTED_VALUE"""),"Obsidian")</f>
        <v>Obsidian</v>
      </c>
      <c r="W827" s="174"/>
    </row>
    <row r="828">
      <c r="B828" s="175"/>
      <c r="R828" s="176"/>
      <c r="U828" s="172" t="str">
        <f>IFERROR(__xludf.DUMMYFUNCTION("""COMPUTED_VALUE"""),"")</f>
        <v/>
      </c>
      <c r="V828" s="173" t="str">
        <f>IFERROR(__xludf.DUMMYFUNCTION("""COMPUTED_VALUE"""),"Ochre Froglight")</f>
        <v>Ochre Froglight</v>
      </c>
      <c r="W828" s="174"/>
    </row>
    <row r="829">
      <c r="B829" s="175"/>
      <c r="R829" s="176"/>
      <c r="U829" s="172" t="str">
        <f>IFERROR(__xludf.DUMMYFUNCTION("""COMPUTED_VALUE"""),"")</f>
        <v/>
      </c>
      <c r="V829" s="173" t="str">
        <f>IFERROR(__xludf.DUMMYFUNCTION("""COMPUTED_VALUE"""),"Ominous Bottle")</f>
        <v>Ominous Bottle</v>
      </c>
      <c r="W829" s="174"/>
    </row>
    <row r="830">
      <c r="B830" s="175"/>
      <c r="R830" s="176"/>
      <c r="U830" s="172" t="str">
        <f>IFERROR(__xludf.DUMMYFUNCTION("""COMPUTED_VALUE"""),"")</f>
        <v/>
      </c>
      <c r="V830" s="173" t="str">
        <f>IFERROR(__xludf.DUMMYFUNCTION("""COMPUTED_VALUE"""),"Ominous Trial Key")</f>
        <v>Ominous Trial Key</v>
      </c>
      <c r="W830" s="174"/>
    </row>
    <row r="831">
      <c r="B831" s="175"/>
      <c r="R831" s="176"/>
      <c r="U831" s="172" t="str">
        <f>IFERROR(__xludf.DUMMYFUNCTION("""COMPUTED_VALUE"""),"")</f>
        <v/>
      </c>
      <c r="V831" s="173" t="str">
        <f>IFERROR(__xludf.DUMMYFUNCTION("""COMPUTED_VALUE"""),"Orange Banner")</f>
        <v>Orange Banner</v>
      </c>
      <c r="W831" s="174"/>
    </row>
    <row r="832">
      <c r="B832" s="175"/>
      <c r="R832" s="176"/>
      <c r="U832" s="172" t="str">
        <f>IFERROR(__xludf.DUMMYFUNCTION("""COMPUTED_VALUE"""),"")</f>
        <v/>
      </c>
      <c r="V832" s="173" t="str">
        <f>IFERROR(__xludf.DUMMYFUNCTION("""COMPUTED_VALUE"""),"Orange Bed")</f>
        <v>Orange Bed</v>
      </c>
      <c r="W832" s="174"/>
    </row>
    <row r="833">
      <c r="B833" s="175"/>
      <c r="R833" s="176"/>
      <c r="U833" s="172" t="str">
        <f>IFERROR(__xludf.DUMMYFUNCTION("""COMPUTED_VALUE"""),"")</f>
        <v/>
      </c>
      <c r="V833" s="173" t="str">
        <f>IFERROR(__xludf.DUMMYFUNCTION("""COMPUTED_VALUE"""),"Orange Candle")</f>
        <v>Orange Candle</v>
      </c>
      <c r="W833" s="174"/>
    </row>
    <row r="834">
      <c r="B834" s="175"/>
      <c r="R834" s="176"/>
      <c r="U834" s="172" t="str">
        <f>IFERROR(__xludf.DUMMYFUNCTION("""COMPUTED_VALUE"""),"")</f>
        <v/>
      </c>
      <c r="V834" s="173" t="str">
        <f>IFERROR(__xludf.DUMMYFUNCTION("""COMPUTED_VALUE"""),"Orange Carpet")</f>
        <v>Orange Carpet</v>
      </c>
      <c r="W834" s="174"/>
    </row>
    <row r="835">
      <c r="B835" s="175"/>
      <c r="R835" s="176"/>
      <c r="U835" s="172" t="str">
        <f>IFERROR(__xludf.DUMMYFUNCTION("""COMPUTED_VALUE"""),"")</f>
        <v/>
      </c>
      <c r="V835" s="173" t="str">
        <f>IFERROR(__xludf.DUMMYFUNCTION("""COMPUTED_VALUE"""),"Orange Concrete")</f>
        <v>Orange Concrete</v>
      </c>
      <c r="W835" s="174"/>
    </row>
    <row r="836">
      <c r="B836" s="175"/>
      <c r="R836" s="176"/>
      <c r="U836" s="172" t="str">
        <f>IFERROR(__xludf.DUMMYFUNCTION("""COMPUTED_VALUE"""),"")</f>
        <v/>
      </c>
      <c r="V836" s="173" t="str">
        <f>IFERROR(__xludf.DUMMYFUNCTION("""COMPUTED_VALUE"""),"Orange Concrete Powder")</f>
        <v>Orange Concrete Powder</v>
      </c>
      <c r="W836" s="174"/>
    </row>
    <row r="837">
      <c r="B837" s="175"/>
      <c r="R837" s="176"/>
      <c r="U837" s="172" t="str">
        <f>IFERROR(__xludf.DUMMYFUNCTION("""COMPUTED_VALUE"""),"")</f>
        <v/>
      </c>
      <c r="V837" s="173" t="str">
        <f>IFERROR(__xludf.DUMMYFUNCTION("""COMPUTED_VALUE"""),"Orange Dye")</f>
        <v>Orange Dye</v>
      </c>
      <c r="W837" s="174"/>
    </row>
    <row r="838">
      <c r="B838" s="175"/>
      <c r="R838" s="176"/>
      <c r="U838" s="172" t="str">
        <f>IFERROR(__xludf.DUMMYFUNCTION("""COMPUTED_VALUE"""),"")</f>
        <v/>
      </c>
      <c r="V838" s="173" t="str">
        <f>IFERROR(__xludf.DUMMYFUNCTION("""COMPUTED_VALUE"""),"Orange Glazed Terracotta")</f>
        <v>Orange Glazed Terracotta</v>
      </c>
      <c r="W838" s="174"/>
    </row>
    <row r="839">
      <c r="B839" s="175"/>
      <c r="R839" s="176"/>
      <c r="U839" s="172" t="str">
        <f>IFERROR(__xludf.DUMMYFUNCTION("""COMPUTED_VALUE"""),"")</f>
        <v/>
      </c>
      <c r="V839" s="173" t="str">
        <f>IFERROR(__xludf.DUMMYFUNCTION("""COMPUTED_VALUE"""),"Orange Shulker Box")</f>
        <v>Orange Shulker Box</v>
      </c>
      <c r="W839" s="174"/>
    </row>
    <row r="840">
      <c r="B840" s="175"/>
      <c r="R840" s="176"/>
      <c r="U840" s="172" t="str">
        <f>IFERROR(__xludf.DUMMYFUNCTION("""COMPUTED_VALUE"""),"")</f>
        <v/>
      </c>
      <c r="V840" s="173" t="str">
        <f>IFERROR(__xludf.DUMMYFUNCTION("""COMPUTED_VALUE"""),"Orange Stained Glass")</f>
        <v>Orange Stained Glass</v>
      </c>
      <c r="W840" s="174"/>
    </row>
    <row r="841">
      <c r="B841" s="175"/>
      <c r="R841" s="176"/>
      <c r="U841" s="172" t="str">
        <f>IFERROR(__xludf.DUMMYFUNCTION("""COMPUTED_VALUE"""),"")</f>
        <v/>
      </c>
      <c r="V841" s="173" t="str">
        <f>IFERROR(__xludf.DUMMYFUNCTION("""COMPUTED_VALUE"""),"Orange Stained Glass Pane")</f>
        <v>Orange Stained Glass Pane</v>
      </c>
      <c r="W841" s="174"/>
    </row>
    <row r="842">
      <c r="B842" s="175"/>
      <c r="R842" s="176"/>
      <c r="U842" s="172" t="str">
        <f>IFERROR(__xludf.DUMMYFUNCTION("""COMPUTED_VALUE"""),"")</f>
        <v/>
      </c>
      <c r="V842" s="173" t="str">
        <f>IFERROR(__xludf.DUMMYFUNCTION("""COMPUTED_VALUE"""),"Orange Terracotta")</f>
        <v>Orange Terracotta</v>
      </c>
      <c r="W842" s="174"/>
    </row>
    <row r="843">
      <c r="B843" s="175"/>
      <c r="R843" s="176"/>
      <c r="U843" s="172" t="str">
        <f>IFERROR(__xludf.DUMMYFUNCTION("""COMPUTED_VALUE"""),"")</f>
        <v/>
      </c>
      <c r="V843" s="173" t="str">
        <f>IFERROR(__xludf.DUMMYFUNCTION("""COMPUTED_VALUE"""),"Orange Tulip")</f>
        <v>Orange Tulip</v>
      </c>
      <c r="W843" s="174"/>
    </row>
    <row r="844">
      <c r="B844" s="175"/>
      <c r="R844" s="176"/>
      <c r="U844" s="172" t="str">
        <f>IFERROR(__xludf.DUMMYFUNCTION("""COMPUTED_VALUE"""),"")</f>
        <v/>
      </c>
      <c r="V844" s="173" t="str">
        <f>IFERROR(__xludf.DUMMYFUNCTION("""COMPUTED_VALUE"""),"Orange Wool")</f>
        <v>Orange Wool</v>
      </c>
      <c r="W844" s="174"/>
    </row>
    <row r="845">
      <c r="B845" s="175"/>
      <c r="R845" s="176"/>
      <c r="U845" s="172" t="str">
        <f>IFERROR(__xludf.DUMMYFUNCTION("""COMPUTED_VALUE"""),"")</f>
        <v/>
      </c>
      <c r="V845" s="173" t="str">
        <f>IFERROR(__xludf.DUMMYFUNCTION("""COMPUTED_VALUE"""),"Oxeye Daisy")</f>
        <v>Oxeye Daisy</v>
      </c>
      <c r="W845" s="174"/>
    </row>
    <row r="846">
      <c r="B846" s="175"/>
      <c r="R846" s="176"/>
      <c r="U846" s="172" t="str">
        <f>IFERROR(__xludf.DUMMYFUNCTION("""COMPUTED_VALUE"""),"")</f>
        <v/>
      </c>
      <c r="V846" s="173" t="str">
        <f>IFERROR(__xludf.DUMMYFUNCTION("""COMPUTED_VALUE"""),"Oxidized Chiseled Copper")</f>
        <v>Oxidized Chiseled Copper</v>
      </c>
      <c r="W846" s="174"/>
    </row>
    <row r="847">
      <c r="B847" s="175"/>
      <c r="R847" s="176"/>
      <c r="U847" s="172" t="str">
        <f>IFERROR(__xludf.DUMMYFUNCTION("""COMPUTED_VALUE"""),"")</f>
        <v/>
      </c>
      <c r="V847" s="173" t="str">
        <f>IFERROR(__xludf.DUMMYFUNCTION("""COMPUTED_VALUE"""),"Oxidized Copper")</f>
        <v>Oxidized Copper</v>
      </c>
      <c r="W847" s="174"/>
    </row>
    <row r="848">
      <c r="B848" s="175"/>
      <c r="R848" s="176"/>
      <c r="U848" s="172" t="str">
        <f>IFERROR(__xludf.DUMMYFUNCTION("""COMPUTED_VALUE"""),"")</f>
        <v/>
      </c>
      <c r="V848" s="173" t="str">
        <f>IFERROR(__xludf.DUMMYFUNCTION("""COMPUTED_VALUE"""),"Oxidized Copper Bulb")</f>
        <v>Oxidized Copper Bulb</v>
      </c>
      <c r="W848" s="174"/>
    </row>
    <row r="849">
      <c r="B849" s="175"/>
      <c r="R849" s="176"/>
      <c r="U849" s="172" t="str">
        <f>IFERROR(__xludf.DUMMYFUNCTION("""COMPUTED_VALUE"""),"")</f>
        <v/>
      </c>
      <c r="V849" s="173" t="str">
        <f>IFERROR(__xludf.DUMMYFUNCTION("""COMPUTED_VALUE"""),"Oxidized Copper Door")</f>
        <v>Oxidized Copper Door</v>
      </c>
      <c r="W849" s="174"/>
    </row>
    <row r="850">
      <c r="B850" s="175"/>
      <c r="R850" s="176"/>
      <c r="U850" s="172" t="str">
        <f>IFERROR(__xludf.DUMMYFUNCTION("""COMPUTED_VALUE"""),"")</f>
        <v/>
      </c>
      <c r="V850" s="173" t="str">
        <f>IFERROR(__xludf.DUMMYFUNCTION("""COMPUTED_VALUE"""),"Oxidized Copper Grate")</f>
        <v>Oxidized Copper Grate</v>
      </c>
      <c r="W850" s="174"/>
    </row>
    <row r="851">
      <c r="B851" s="175"/>
      <c r="R851" s="176"/>
      <c r="U851" s="172" t="str">
        <f>IFERROR(__xludf.DUMMYFUNCTION("""COMPUTED_VALUE"""),"")</f>
        <v/>
      </c>
      <c r="V851" s="173" t="str">
        <f>IFERROR(__xludf.DUMMYFUNCTION("""COMPUTED_VALUE"""),"Oxidized Copper Trapdoor")</f>
        <v>Oxidized Copper Trapdoor</v>
      </c>
      <c r="W851" s="174"/>
    </row>
    <row r="852">
      <c r="B852" s="175"/>
      <c r="R852" s="176"/>
      <c r="U852" s="172" t="str">
        <f>IFERROR(__xludf.DUMMYFUNCTION("""COMPUTED_VALUE"""),"")</f>
        <v/>
      </c>
      <c r="V852" s="173" t="str">
        <f>IFERROR(__xludf.DUMMYFUNCTION("""COMPUTED_VALUE"""),"Oxidized Cut Copper")</f>
        <v>Oxidized Cut Copper</v>
      </c>
      <c r="W852" s="174"/>
    </row>
    <row r="853">
      <c r="B853" s="175"/>
      <c r="R853" s="176"/>
      <c r="U853" s="172" t="str">
        <f>IFERROR(__xludf.DUMMYFUNCTION("""COMPUTED_VALUE"""),"")</f>
        <v/>
      </c>
      <c r="V853" s="173" t="str">
        <f>IFERROR(__xludf.DUMMYFUNCTION("""COMPUTED_VALUE"""),"Oxidized Cut Copper Slab")</f>
        <v>Oxidized Cut Copper Slab</v>
      </c>
      <c r="W853" s="174"/>
    </row>
    <row r="854">
      <c r="B854" s="175"/>
      <c r="R854" s="176"/>
      <c r="U854" s="172" t="str">
        <f>IFERROR(__xludf.DUMMYFUNCTION("""COMPUTED_VALUE"""),"")</f>
        <v/>
      </c>
      <c r="V854" s="173" t="str">
        <f>IFERROR(__xludf.DUMMYFUNCTION("""COMPUTED_VALUE"""),"Oxidized Cut Copper Stairs")</f>
        <v>Oxidized Cut Copper Stairs</v>
      </c>
      <c r="W854" s="174"/>
    </row>
    <row r="855">
      <c r="B855" s="175"/>
      <c r="R855" s="176"/>
      <c r="U855" s="172" t="str">
        <f>IFERROR(__xludf.DUMMYFUNCTION("""COMPUTED_VALUE"""),"")</f>
        <v/>
      </c>
      <c r="V855" s="173" t="str">
        <f>IFERROR(__xludf.DUMMYFUNCTION("""COMPUTED_VALUE"""),"Packed Ice")</f>
        <v>Packed Ice</v>
      </c>
      <c r="W855" s="174"/>
    </row>
    <row r="856">
      <c r="B856" s="175"/>
      <c r="R856" s="176"/>
      <c r="U856" s="172" t="str">
        <f>IFERROR(__xludf.DUMMYFUNCTION("""COMPUTED_VALUE"""),"")</f>
        <v/>
      </c>
      <c r="V856" s="173" t="str">
        <f>IFERROR(__xludf.DUMMYFUNCTION("""COMPUTED_VALUE"""),"Packed Mud")</f>
        <v>Packed Mud</v>
      </c>
      <c r="W856" s="174"/>
    </row>
    <row r="857">
      <c r="B857" s="175"/>
      <c r="R857" s="176"/>
      <c r="U857" s="172" t="str">
        <f>IFERROR(__xludf.DUMMYFUNCTION("""COMPUTED_VALUE"""),"")</f>
        <v/>
      </c>
      <c r="V857" s="173" t="str">
        <f>IFERROR(__xludf.DUMMYFUNCTION("""COMPUTED_VALUE"""),"Painting")</f>
        <v>Painting</v>
      </c>
      <c r="W857" s="174"/>
    </row>
    <row r="858">
      <c r="B858" s="175"/>
      <c r="R858" s="176"/>
      <c r="U858" s="172" t="str">
        <f>IFERROR(__xludf.DUMMYFUNCTION("""COMPUTED_VALUE"""),"")</f>
        <v/>
      </c>
      <c r="V858" s="173" t="str">
        <f>IFERROR(__xludf.DUMMYFUNCTION("""COMPUTED_VALUE"""),"Paper")</f>
        <v>Paper</v>
      </c>
      <c r="W858" s="174"/>
    </row>
    <row r="859">
      <c r="B859" s="175"/>
      <c r="R859" s="176"/>
      <c r="U859" s="172" t="str">
        <f>IFERROR(__xludf.DUMMYFUNCTION("""COMPUTED_VALUE"""),"")</f>
        <v/>
      </c>
      <c r="V859" s="173" t="str">
        <f>IFERROR(__xludf.DUMMYFUNCTION("""COMPUTED_VALUE"""),"Pearlescent Froglight")</f>
        <v>Pearlescent Froglight</v>
      </c>
      <c r="W859" s="174"/>
    </row>
    <row r="860">
      <c r="B860" s="175"/>
      <c r="R860" s="176"/>
      <c r="U860" s="172" t="str">
        <f>IFERROR(__xludf.DUMMYFUNCTION("""COMPUTED_VALUE"""),"")</f>
        <v/>
      </c>
      <c r="V860" s="173" t="str">
        <f>IFERROR(__xludf.DUMMYFUNCTION("""COMPUTED_VALUE"""),"Peony")</f>
        <v>Peony</v>
      </c>
      <c r="W860" s="174"/>
    </row>
    <row r="861">
      <c r="B861" s="175"/>
      <c r="R861" s="176"/>
      <c r="U861" s="172" t="str">
        <f>IFERROR(__xludf.DUMMYFUNCTION("""COMPUTED_VALUE"""),"")</f>
        <v/>
      </c>
      <c r="V861" s="173" t="str">
        <f>IFERROR(__xludf.DUMMYFUNCTION("""COMPUTED_VALUE"""),"Phantom Membrane")</f>
        <v>Phantom Membrane</v>
      </c>
      <c r="W861" s="174"/>
    </row>
    <row r="862">
      <c r="B862" s="175"/>
      <c r="R862" s="176"/>
      <c r="U862" s="172" t="str">
        <f>IFERROR(__xludf.DUMMYFUNCTION("""COMPUTED_VALUE"""),"")</f>
        <v/>
      </c>
      <c r="V862" s="173" t="str">
        <f>IFERROR(__xludf.DUMMYFUNCTION("""COMPUTED_VALUE"""),"Piglin Banner Pattern")</f>
        <v>Piglin Banner Pattern</v>
      </c>
      <c r="W862" s="174"/>
    </row>
    <row r="863">
      <c r="B863" s="175"/>
      <c r="R863" s="176"/>
      <c r="U863" s="172" t="str">
        <f>IFERROR(__xludf.DUMMYFUNCTION("""COMPUTED_VALUE"""),"")</f>
        <v/>
      </c>
      <c r="V863" s="173" t="str">
        <f>IFERROR(__xludf.DUMMYFUNCTION("""COMPUTED_VALUE"""),"Piglin Head")</f>
        <v>Piglin Head</v>
      </c>
      <c r="W863" s="174"/>
    </row>
    <row r="864">
      <c r="B864" s="175"/>
      <c r="R864" s="176"/>
      <c r="U864" s="172" t="str">
        <f>IFERROR(__xludf.DUMMYFUNCTION("""COMPUTED_VALUE"""),"")</f>
        <v/>
      </c>
      <c r="V864" s="173" t="str">
        <f>IFERROR(__xludf.DUMMYFUNCTION("""COMPUTED_VALUE"""),"Pink Banner")</f>
        <v>Pink Banner</v>
      </c>
      <c r="W864" s="174"/>
    </row>
    <row r="865">
      <c r="B865" s="175"/>
      <c r="R865" s="176"/>
      <c r="U865" s="172" t="str">
        <f>IFERROR(__xludf.DUMMYFUNCTION("""COMPUTED_VALUE"""),"")</f>
        <v/>
      </c>
      <c r="V865" s="173" t="str">
        <f>IFERROR(__xludf.DUMMYFUNCTION("""COMPUTED_VALUE"""),"Pink Bed")</f>
        <v>Pink Bed</v>
      </c>
      <c r="W865" s="174"/>
    </row>
    <row r="866">
      <c r="B866" s="175"/>
      <c r="R866" s="176"/>
      <c r="U866" s="172" t="str">
        <f>IFERROR(__xludf.DUMMYFUNCTION("""COMPUTED_VALUE"""),"")</f>
        <v/>
      </c>
      <c r="V866" s="173" t="str">
        <f>IFERROR(__xludf.DUMMYFUNCTION("""COMPUTED_VALUE"""),"Pink Candle")</f>
        <v>Pink Candle</v>
      </c>
      <c r="W866" s="174"/>
    </row>
    <row r="867">
      <c r="B867" s="175"/>
      <c r="R867" s="176"/>
      <c r="U867" s="172" t="str">
        <f>IFERROR(__xludf.DUMMYFUNCTION("""COMPUTED_VALUE"""),"")</f>
        <v/>
      </c>
      <c r="V867" s="173" t="str">
        <f>IFERROR(__xludf.DUMMYFUNCTION("""COMPUTED_VALUE"""),"Pink Carpet")</f>
        <v>Pink Carpet</v>
      </c>
      <c r="W867" s="174"/>
    </row>
    <row r="868">
      <c r="B868" s="175"/>
      <c r="R868" s="176"/>
      <c r="U868" s="172" t="str">
        <f>IFERROR(__xludf.DUMMYFUNCTION("""COMPUTED_VALUE"""),"")</f>
        <v/>
      </c>
      <c r="V868" s="173" t="str">
        <f>IFERROR(__xludf.DUMMYFUNCTION("""COMPUTED_VALUE"""),"Pink Concrete")</f>
        <v>Pink Concrete</v>
      </c>
      <c r="W868" s="174"/>
    </row>
    <row r="869">
      <c r="B869" s="175"/>
      <c r="R869" s="176"/>
      <c r="U869" s="172" t="str">
        <f>IFERROR(__xludf.DUMMYFUNCTION("""COMPUTED_VALUE"""),"")</f>
        <v/>
      </c>
      <c r="V869" s="173" t="str">
        <f>IFERROR(__xludf.DUMMYFUNCTION("""COMPUTED_VALUE"""),"Pink Concrete Powder")</f>
        <v>Pink Concrete Powder</v>
      </c>
      <c r="W869" s="174"/>
    </row>
    <row r="870">
      <c r="B870" s="175"/>
      <c r="R870" s="176"/>
      <c r="U870" s="172" t="str">
        <f>IFERROR(__xludf.DUMMYFUNCTION("""COMPUTED_VALUE"""),"")</f>
        <v/>
      </c>
      <c r="V870" s="173" t="str">
        <f>IFERROR(__xludf.DUMMYFUNCTION("""COMPUTED_VALUE"""),"Pink Dye")</f>
        <v>Pink Dye</v>
      </c>
      <c r="W870" s="174"/>
    </row>
    <row r="871">
      <c r="B871" s="175"/>
      <c r="R871" s="176"/>
      <c r="U871" s="172" t="str">
        <f>IFERROR(__xludf.DUMMYFUNCTION("""COMPUTED_VALUE"""),"")</f>
        <v/>
      </c>
      <c r="V871" s="173" t="str">
        <f>IFERROR(__xludf.DUMMYFUNCTION("""COMPUTED_VALUE"""),"Pink Glazed Terracotta")</f>
        <v>Pink Glazed Terracotta</v>
      </c>
      <c r="W871" s="174"/>
    </row>
    <row r="872">
      <c r="B872" s="175"/>
      <c r="R872" s="176"/>
      <c r="U872" s="172" t="str">
        <f>IFERROR(__xludf.DUMMYFUNCTION("""COMPUTED_VALUE"""),"")</f>
        <v/>
      </c>
      <c r="V872" s="173" t="str">
        <f>IFERROR(__xludf.DUMMYFUNCTION("""COMPUTED_VALUE"""),"Pink Petals")</f>
        <v>Pink Petals</v>
      </c>
      <c r="W872" s="174"/>
    </row>
    <row r="873">
      <c r="B873" s="175"/>
      <c r="R873" s="176"/>
      <c r="U873" s="172" t="str">
        <f>IFERROR(__xludf.DUMMYFUNCTION("""COMPUTED_VALUE"""),"")</f>
        <v/>
      </c>
      <c r="V873" s="173" t="str">
        <f>IFERROR(__xludf.DUMMYFUNCTION("""COMPUTED_VALUE"""),"Pink Shulker Box")</f>
        <v>Pink Shulker Box</v>
      </c>
      <c r="W873" s="174"/>
    </row>
    <row r="874">
      <c r="B874" s="175"/>
      <c r="R874" s="176"/>
      <c r="U874" s="172" t="str">
        <f>IFERROR(__xludf.DUMMYFUNCTION("""COMPUTED_VALUE"""),"")</f>
        <v/>
      </c>
      <c r="V874" s="173" t="str">
        <f>IFERROR(__xludf.DUMMYFUNCTION("""COMPUTED_VALUE"""),"Pink Stained Glass")</f>
        <v>Pink Stained Glass</v>
      </c>
      <c r="W874" s="174"/>
    </row>
    <row r="875">
      <c r="B875" s="175"/>
      <c r="R875" s="176"/>
      <c r="U875" s="172" t="str">
        <f>IFERROR(__xludf.DUMMYFUNCTION("""COMPUTED_VALUE"""),"")</f>
        <v/>
      </c>
      <c r="V875" s="173" t="str">
        <f>IFERROR(__xludf.DUMMYFUNCTION("""COMPUTED_VALUE"""),"Pink Stained Glass Pane")</f>
        <v>Pink Stained Glass Pane</v>
      </c>
      <c r="W875" s="174"/>
    </row>
    <row r="876">
      <c r="B876" s="175"/>
      <c r="R876" s="176"/>
      <c r="U876" s="172" t="str">
        <f>IFERROR(__xludf.DUMMYFUNCTION("""COMPUTED_VALUE"""),"")</f>
        <v/>
      </c>
      <c r="V876" s="173" t="str">
        <f>IFERROR(__xludf.DUMMYFUNCTION("""COMPUTED_VALUE"""),"Pink Terracotta")</f>
        <v>Pink Terracotta</v>
      </c>
      <c r="W876" s="174"/>
    </row>
    <row r="877">
      <c r="B877" s="175"/>
      <c r="R877" s="176"/>
      <c r="U877" s="172" t="str">
        <f>IFERROR(__xludf.DUMMYFUNCTION("""COMPUTED_VALUE"""),"")</f>
        <v/>
      </c>
      <c r="V877" s="173" t="str">
        <f>IFERROR(__xludf.DUMMYFUNCTION("""COMPUTED_VALUE"""),"Pink Tulip")</f>
        <v>Pink Tulip</v>
      </c>
      <c r="W877" s="174"/>
    </row>
    <row r="878">
      <c r="B878" s="175"/>
      <c r="R878" s="176"/>
      <c r="U878" s="172" t="str">
        <f>IFERROR(__xludf.DUMMYFUNCTION("""COMPUTED_VALUE"""),"")</f>
        <v/>
      </c>
      <c r="V878" s="173" t="str">
        <f>IFERROR(__xludf.DUMMYFUNCTION("""COMPUTED_VALUE"""),"Pink Wool")</f>
        <v>Pink Wool</v>
      </c>
      <c r="W878" s="174"/>
    </row>
    <row r="879">
      <c r="B879" s="175"/>
      <c r="R879" s="176"/>
      <c r="U879" s="172" t="str">
        <f>IFERROR(__xludf.DUMMYFUNCTION("""COMPUTED_VALUE"""),"")</f>
        <v/>
      </c>
      <c r="V879" s="173" t="str">
        <f>IFERROR(__xludf.DUMMYFUNCTION("""COMPUTED_VALUE"""),"Piston")</f>
        <v>Piston</v>
      </c>
      <c r="W879" s="174"/>
    </row>
    <row r="880">
      <c r="B880" s="175"/>
      <c r="R880" s="176"/>
      <c r="U880" s="172" t="str">
        <f>IFERROR(__xludf.DUMMYFUNCTION("""COMPUTED_VALUE"""),"")</f>
        <v/>
      </c>
      <c r="V880" s="173" t="str">
        <f>IFERROR(__xludf.DUMMYFUNCTION("""COMPUTED_VALUE"""),"Pitcher Plant")</f>
        <v>Pitcher Plant</v>
      </c>
      <c r="W880" s="174"/>
    </row>
    <row r="881">
      <c r="B881" s="175"/>
      <c r="R881" s="176"/>
      <c r="U881" s="172" t="str">
        <f>IFERROR(__xludf.DUMMYFUNCTION("""COMPUTED_VALUE"""),"")</f>
        <v/>
      </c>
      <c r="V881" s="173" t="str">
        <f>IFERROR(__xludf.DUMMYFUNCTION("""COMPUTED_VALUE"""),"Pitcher Pod")</f>
        <v>Pitcher Pod</v>
      </c>
      <c r="W881" s="174"/>
    </row>
    <row r="882">
      <c r="B882" s="175"/>
      <c r="R882" s="176"/>
      <c r="U882" s="172" t="str">
        <f>IFERROR(__xludf.DUMMYFUNCTION("""COMPUTED_VALUE"""),"")</f>
        <v/>
      </c>
      <c r="V882" s="173" t="str">
        <f>IFERROR(__xludf.DUMMYFUNCTION("""COMPUTED_VALUE"""),"Plenty Pottery Sherd")</f>
        <v>Plenty Pottery Sherd</v>
      </c>
      <c r="W882" s="174"/>
    </row>
    <row r="883">
      <c r="B883" s="175"/>
      <c r="R883" s="176"/>
      <c r="U883" s="172" t="str">
        <f>IFERROR(__xludf.DUMMYFUNCTION("""COMPUTED_VALUE"""),"")</f>
        <v/>
      </c>
      <c r="V883" s="173" t="str">
        <f>IFERROR(__xludf.DUMMYFUNCTION("""COMPUTED_VALUE"""),"Podzol")</f>
        <v>Podzol</v>
      </c>
      <c r="W883" s="174"/>
    </row>
    <row r="884">
      <c r="B884" s="175"/>
      <c r="R884" s="176"/>
      <c r="U884" s="172" t="str">
        <f>IFERROR(__xludf.DUMMYFUNCTION("""COMPUTED_VALUE"""),"")</f>
        <v/>
      </c>
      <c r="V884" s="173" t="str">
        <f>IFERROR(__xludf.DUMMYFUNCTION("""COMPUTED_VALUE"""),"Pointed Dripstone")</f>
        <v>Pointed Dripstone</v>
      </c>
      <c r="W884" s="174"/>
    </row>
    <row r="885">
      <c r="B885" s="175"/>
      <c r="R885" s="176"/>
      <c r="U885" s="172" t="str">
        <f>IFERROR(__xludf.DUMMYFUNCTION("""COMPUTED_VALUE"""),"")</f>
        <v/>
      </c>
      <c r="V885" s="173" t="str">
        <f>IFERROR(__xludf.DUMMYFUNCTION("""COMPUTED_VALUE"""),"Poisonous Potato")</f>
        <v>Poisonous Potato</v>
      </c>
      <c r="W885" s="174"/>
    </row>
    <row r="886">
      <c r="B886" s="175"/>
      <c r="R886" s="176"/>
      <c r="U886" s="172" t="str">
        <f>IFERROR(__xludf.DUMMYFUNCTION("""COMPUTED_VALUE"""),"")</f>
        <v/>
      </c>
      <c r="V886" s="173" t="str">
        <f>IFERROR(__xludf.DUMMYFUNCTION("""COMPUTED_VALUE"""),"Polished Andesite")</f>
        <v>Polished Andesite</v>
      </c>
      <c r="W886" s="174"/>
    </row>
    <row r="887">
      <c r="B887" s="175"/>
      <c r="R887" s="176"/>
      <c r="U887" s="172" t="str">
        <f>IFERROR(__xludf.DUMMYFUNCTION("""COMPUTED_VALUE"""),"")</f>
        <v/>
      </c>
      <c r="V887" s="173" t="str">
        <f>IFERROR(__xludf.DUMMYFUNCTION("""COMPUTED_VALUE"""),"Polished Andesite Slab")</f>
        <v>Polished Andesite Slab</v>
      </c>
      <c r="W887" s="174"/>
    </row>
    <row r="888">
      <c r="B888" s="175"/>
      <c r="R888" s="176"/>
      <c r="U888" s="172" t="str">
        <f>IFERROR(__xludf.DUMMYFUNCTION("""COMPUTED_VALUE"""),"")</f>
        <v/>
      </c>
      <c r="V888" s="173" t="str">
        <f>IFERROR(__xludf.DUMMYFUNCTION("""COMPUTED_VALUE"""),"Polished Andesite Stairs")</f>
        <v>Polished Andesite Stairs</v>
      </c>
      <c r="W888" s="174"/>
    </row>
    <row r="889">
      <c r="B889" s="175"/>
      <c r="R889" s="176"/>
      <c r="U889" s="172" t="str">
        <f>IFERROR(__xludf.DUMMYFUNCTION("""COMPUTED_VALUE"""),"")</f>
        <v/>
      </c>
      <c r="V889" s="173" t="str">
        <f>IFERROR(__xludf.DUMMYFUNCTION("""COMPUTED_VALUE"""),"Polished Basalt")</f>
        <v>Polished Basalt</v>
      </c>
      <c r="W889" s="174"/>
    </row>
    <row r="890">
      <c r="B890" s="175"/>
      <c r="R890" s="176"/>
      <c r="U890" s="172" t="str">
        <f>IFERROR(__xludf.DUMMYFUNCTION("""COMPUTED_VALUE"""),"")</f>
        <v/>
      </c>
      <c r="V890" s="173" t="str">
        <f>IFERROR(__xludf.DUMMYFUNCTION("""COMPUTED_VALUE"""),"Polished Blackstone")</f>
        <v>Polished Blackstone</v>
      </c>
      <c r="W890" s="174"/>
    </row>
    <row r="891">
      <c r="B891" s="175"/>
      <c r="R891" s="176"/>
      <c r="U891" s="172" t="str">
        <f>IFERROR(__xludf.DUMMYFUNCTION("""COMPUTED_VALUE"""),"")</f>
        <v/>
      </c>
      <c r="V891" s="173" t="str">
        <f>IFERROR(__xludf.DUMMYFUNCTION("""COMPUTED_VALUE"""),"Polished Blackstone Brick Slab")</f>
        <v>Polished Blackstone Brick Slab</v>
      </c>
      <c r="W891" s="174"/>
    </row>
    <row r="892">
      <c r="B892" s="175"/>
      <c r="R892" s="176"/>
      <c r="U892" s="172" t="str">
        <f>IFERROR(__xludf.DUMMYFUNCTION("""COMPUTED_VALUE"""),"")</f>
        <v/>
      </c>
      <c r="V892" s="173" t="str">
        <f>IFERROR(__xludf.DUMMYFUNCTION("""COMPUTED_VALUE"""),"Polished Blackstone Brick Stairs")</f>
        <v>Polished Blackstone Brick Stairs</v>
      </c>
      <c r="W892" s="174"/>
    </row>
    <row r="893">
      <c r="B893" s="175"/>
      <c r="R893" s="176"/>
      <c r="U893" s="172" t="str">
        <f>IFERROR(__xludf.DUMMYFUNCTION("""COMPUTED_VALUE"""),"")</f>
        <v/>
      </c>
      <c r="V893" s="173" t="str">
        <f>IFERROR(__xludf.DUMMYFUNCTION("""COMPUTED_VALUE"""),"Polished Blackstone Brick Wall")</f>
        <v>Polished Blackstone Brick Wall</v>
      </c>
      <c r="W893" s="174"/>
    </row>
    <row r="894">
      <c r="B894" s="175"/>
      <c r="R894" s="176"/>
      <c r="U894" s="172" t="str">
        <f>IFERROR(__xludf.DUMMYFUNCTION("""COMPUTED_VALUE"""),"")</f>
        <v/>
      </c>
      <c r="V894" s="173" t="str">
        <f>IFERROR(__xludf.DUMMYFUNCTION("""COMPUTED_VALUE"""),"Polished Blackstone Bricks")</f>
        <v>Polished Blackstone Bricks</v>
      </c>
      <c r="W894" s="174"/>
    </row>
    <row r="895">
      <c r="B895" s="175"/>
      <c r="R895" s="176"/>
      <c r="U895" s="172" t="str">
        <f>IFERROR(__xludf.DUMMYFUNCTION("""COMPUTED_VALUE"""),"")</f>
        <v/>
      </c>
      <c r="V895" s="173" t="str">
        <f>IFERROR(__xludf.DUMMYFUNCTION("""COMPUTED_VALUE"""),"Polished Blackstone Button")</f>
        <v>Polished Blackstone Button</v>
      </c>
      <c r="W895" s="174"/>
    </row>
    <row r="896">
      <c r="B896" s="175"/>
      <c r="R896" s="176"/>
      <c r="U896" s="172" t="str">
        <f>IFERROR(__xludf.DUMMYFUNCTION("""COMPUTED_VALUE"""),"")</f>
        <v/>
      </c>
      <c r="V896" s="173" t="str">
        <f>IFERROR(__xludf.DUMMYFUNCTION("""COMPUTED_VALUE"""),"Polished Blackstone Pressure Plate")</f>
        <v>Polished Blackstone Pressure Plate</v>
      </c>
      <c r="W896" s="174"/>
    </row>
    <row r="897">
      <c r="B897" s="175"/>
      <c r="R897" s="176"/>
      <c r="U897" s="172" t="str">
        <f>IFERROR(__xludf.DUMMYFUNCTION("""COMPUTED_VALUE"""),"")</f>
        <v/>
      </c>
      <c r="V897" s="173" t="str">
        <f>IFERROR(__xludf.DUMMYFUNCTION("""COMPUTED_VALUE"""),"Polished Blackstone Slab")</f>
        <v>Polished Blackstone Slab</v>
      </c>
      <c r="W897" s="174"/>
    </row>
    <row r="898">
      <c r="B898" s="175"/>
      <c r="R898" s="176"/>
      <c r="U898" s="172" t="str">
        <f>IFERROR(__xludf.DUMMYFUNCTION("""COMPUTED_VALUE"""),"")</f>
        <v/>
      </c>
      <c r="V898" s="173" t="str">
        <f>IFERROR(__xludf.DUMMYFUNCTION("""COMPUTED_VALUE"""),"Polished Blackstone Stairs")</f>
        <v>Polished Blackstone Stairs</v>
      </c>
      <c r="W898" s="174"/>
    </row>
    <row r="899">
      <c r="B899" s="175"/>
      <c r="R899" s="176"/>
      <c r="U899" s="172" t="str">
        <f>IFERROR(__xludf.DUMMYFUNCTION("""COMPUTED_VALUE"""),"")</f>
        <v/>
      </c>
      <c r="V899" s="173" t="str">
        <f>IFERROR(__xludf.DUMMYFUNCTION("""COMPUTED_VALUE"""),"Polished Blackstone Wall")</f>
        <v>Polished Blackstone Wall</v>
      </c>
      <c r="W899" s="174"/>
    </row>
    <row r="900">
      <c r="B900" s="175"/>
      <c r="R900" s="176"/>
      <c r="U900" s="172" t="str">
        <f>IFERROR(__xludf.DUMMYFUNCTION("""COMPUTED_VALUE"""),"")</f>
        <v/>
      </c>
      <c r="V900" s="173" t="str">
        <f>IFERROR(__xludf.DUMMYFUNCTION("""COMPUTED_VALUE"""),"Polished Deepslate")</f>
        <v>Polished Deepslate</v>
      </c>
      <c r="W900" s="174"/>
    </row>
    <row r="901">
      <c r="B901" s="175"/>
      <c r="R901" s="176"/>
      <c r="U901" s="172" t="str">
        <f>IFERROR(__xludf.DUMMYFUNCTION("""COMPUTED_VALUE"""),"")</f>
        <v/>
      </c>
      <c r="V901" s="173" t="str">
        <f>IFERROR(__xludf.DUMMYFUNCTION("""COMPUTED_VALUE"""),"Polished Deepslate Slab")</f>
        <v>Polished Deepslate Slab</v>
      </c>
      <c r="W901" s="174"/>
    </row>
    <row r="902">
      <c r="B902" s="175"/>
      <c r="R902" s="176"/>
      <c r="U902" s="172" t="str">
        <f>IFERROR(__xludf.DUMMYFUNCTION("""COMPUTED_VALUE"""),"")</f>
        <v/>
      </c>
      <c r="V902" s="173" t="str">
        <f>IFERROR(__xludf.DUMMYFUNCTION("""COMPUTED_VALUE"""),"Polished Deepslate Stairs")</f>
        <v>Polished Deepslate Stairs</v>
      </c>
      <c r="W902" s="174"/>
    </row>
    <row r="903">
      <c r="B903" s="175"/>
      <c r="R903" s="176"/>
      <c r="U903" s="172" t="str">
        <f>IFERROR(__xludf.DUMMYFUNCTION("""COMPUTED_VALUE"""),"")</f>
        <v/>
      </c>
      <c r="V903" s="173" t="str">
        <f>IFERROR(__xludf.DUMMYFUNCTION("""COMPUTED_VALUE"""),"Polished Deepslate Wall")</f>
        <v>Polished Deepslate Wall</v>
      </c>
      <c r="W903" s="174"/>
    </row>
    <row r="904">
      <c r="B904" s="175"/>
      <c r="R904" s="176"/>
      <c r="U904" s="172" t="str">
        <f>IFERROR(__xludf.DUMMYFUNCTION("""COMPUTED_VALUE"""),"")</f>
        <v/>
      </c>
      <c r="V904" s="173" t="str">
        <f>IFERROR(__xludf.DUMMYFUNCTION("""COMPUTED_VALUE"""),"Polished Diorite")</f>
        <v>Polished Diorite</v>
      </c>
      <c r="W904" s="174"/>
    </row>
    <row r="905">
      <c r="B905" s="175"/>
      <c r="R905" s="176"/>
      <c r="U905" s="172" t="str">
        <f>IFERROR(__xludf.DUMMYFUNCTION("""COMPUTED_VALUE"""),"")</f>
        <v/>
      </c>
      <c r="V905" s="173" t="str">
        <f>IFERROR(__xludf.DUMMYFUNCTION("""COMPUTED_VALUE"""),"Polished Diorite Slab")</f>
        <v>Polished Diorite Slab</v>
      </c>
      <c r="W905" s="174"/>
    </row>
    <row r="906">
      <c r="B906" s="175"/>
      <c r="R906" s="176"/>
      <c r="U906" s="172" t="str">
        <f>IFERROR(__xludf.DUMMYFUNCTION("""COMPUTED_VALUE"""),"")</f>
        <v/>
      </c>
      <c r="V906" s="173" t="str">
        <f>IFERROR(__xludf.DUMMYFUNCTION("""COMPUTED_VALUE"""),"Polished Diorite Stairs")</f>
        <v>Polished Diorite Stairs</v>
      </c>
      <c r="W906" s="174"/>
    </row>
    <row r="907">
      <c r="B907" s="175"/>
      <c r="R907" s="176"/>
      <c r="U907" s="172" t="str">
        <f>IFERROR(__xludf.DUMMYFUNCTION("""COMPUTED_VALUE"""),"")</f>
        <v/>
      </c>
      <c r="V907" s="173" t="str">
        <f>IFERROR(__xludf.DUMMYFUNCTION("""COMPUTED_VALUE"""),"Polished Granite")</f>
        <v>Polished Granite</v>
      </c>
      <c r="W907" s="174"/>
    </row>
    <row r="908">
      <c r="B908" s="175"/>
      <c r="R908" s="176"/>
      <c r="U908" s="172" t="str">
        <f>IFERROR(__xludf.DUMMYFUNCTION("""COMPUTED_VALUE"""),"")</f>
        <v/>
      </c>
      <c r="V908" s="173" t="str">
        <f>IFERROR(__xludf.DUMMYFUNCTION("""COMPUTED_VALUE"""),"Polished Granite Slab")</f>
        <v>Polished Granite Slab</v>
      </c>
      <c r="W908" s="174"/>
    </row>
    <row r="909">
      <c r="B909" s="175"/>
      <c r="R909" s="176"/>
      <c r="U909" s="172" t="str">
        <f>IFERROR(__xludf.DUMMYFUNCTION("""COMPUTED_VALUE"""),"")</f>
        <v/>
      </c>
      <c r="V909" s="173" t="str">
        <f>IFERROR(__xludf.DUMMYFUNCTION("""COMPUTED_VALUE"""),"Polished Granite Stairs")</f>
        <v>Polished Granite Stairs</v>
      </c>
      <c r="W909" s="174"/>
    </row>
    <row r="910">
      <c r="B910" s="175"/>
      <c r="R910" s="176"/>
      <c r="U910" s="172" t="str">
        <f>IFERROR(__xludf.DUMMYFUNCTION("""COMPUTED_VALUE"""),"")</f>
        <v/>
      </c>
      <c r="V910" s="173" t="str">
        <f>IFERROR(__xludf.DUMMYFUNCTION("""COMPUTED_VALUE"""),"Polished Tuff")</f>
        <v>Polished Tuff</v>
      </c>
      <c r="W910" s="174"/>
    </row>
    <row r="911">
      <c r="B911" s="175"/>
      <c r="R911" s="176"/>
      <c r="U911" s="172" t="str">
        <f>IFERROR(__xludf.DUMMYFUNCTION("""COMPUTED_VALUE"""),"")</f>
        <v/>
      </c>
      <c r="V911" s="173" t="str">
        <f>IFERROR(__xludf.DUMMYFUNCTION("""COMPUTED_VALUE"""),"Polished Tuff Slab")</f>
        <v>Polished Tuff Slab</v>
      </c>
      <c r="W911" s="174"/>
    </row>
    <row r="912">
      <c r="B912" s="175"/>
      <c r="R912" s="176"/>
      <c r="U912" s="172" t="str">
        <f>IFERROR(__xludf.DUMMYFUNCTION("""COMPUTED_VALUE"""),"")</f>
        <v/>
      </c>
      <c r="V912" s="173" t="str">
        <f>IFERROR(__xludf.DUMMYFUNCTION("""COMPUTED_VALUE"""),"Polished Tuff Stairs")</f>
        <v>Polished Tuff Stairs</v>
      </c>
      <c r="W912" s="174"/>
    </row>
    <row r="913">
      <c r="B913" s="175"/>
      <c r="R913" s="176"/>
      <c r="U913" s="172" t="str">
        <f>IFERROR(__xludf.DUMMYFUNCTION("""COMPUTED_VALUE"""),"")</f>
        <v/>
      </c>
      <c r="V913" s="173" t="str">
        <f>IFERROR(__xludf.DUMMYFUNCTION("""COMPUTED_VALUE"""),"Polished Tuff Wall")</f>
        <v>Polished Tuff Wall</v>
      </c>
      <c r="W913" s="174"/>
    </row>
    <row r="914">
      <c r="B914" s="175"/>
      <c r="R914" s="176"/>
      <c r="U914" s="172" t="str">
        <f>IFERROR(__xludf.DUMMYFUNCTION("""COMPUTED_VALUE"""),"")</f>
        <v/>
      </c>
      <c r="V914" s="173" t="str">
        <f>IFERROR(__xludf.DUMMYFUNCTION("""COMPUTED_VALUE"""),"Popped Chorus Fruit")</f>
        <v>Popped Chorus Fruit</v>
      </c>
      <c r="W914" s="174"/>
    </row>
    <row r="915">
      <c r="B915" s="175"/>
      <c r="R915" s="176"/>
      <c r="U915" s="172" t="str">
        <f>IFERROR(__xludf.DUMMYFUNCTION("""COMPUTED_VALUE"""),"")</f>
        <v/>
      </c>
      <c r="V915" s="173" t="str">
        <f>IFERROR(__xludf.DUMMYFUNCTION("""COMPUTED_VALUE"""),"Poppy")</f>
        <v>Poppy</v>
      </c>
      <c r="W915" s="174"/>
    </row>
    <row r="916">
      <c r="B916" s="175"/>
      <c r="R916" s="176"/>
      <c r="U916" s="172" t="str">
        <f>IFERROR(__xludf.DUMMYFUNCTION("""COMPUTED_VALUE"""),"")</f>
        <v/>
      </c>
      <c r="V916" s="173" t="str">
        <f>IFERROR(__xludf.DUMMYFUNCTION("""COMPUTED_VALUE"""),"Porkchop")</f>
        <v>Porkchop</v>
      </c>
      <c r="W916" s="174"/>
    </row>
    <row r="917">
      <c r="B917" s="175"/>
      <c r="R917" s="176"/>
      <c r="U917" s="172" t="str">
        <f>IFERROR(__xludf.DUMMYFUNCTION("""COMPUTED_VALUE"""),"")</f>
        <v/>
      </c>
      <c r="V917" s="173" t="str">
        <f>IFERROR(__xludf.DUMMYFUNCTION("""COMPUTED_VALUE"""),"Potato")</f>
        <v>Potato</v>
      </c>
      <c r="W917" s="174"/>
    </row>
    <row r="918">
      <c r="B918" s="175"/>
      <c r="R918" s="176"/>
      <c r="U918" s="172" t="str">
        <f>IFERROR(__xludf.DUMMYFUNCTION("""COMPUTED_VALUE"""),"")</f>
        <v/>
      </c>
      <c r="V918" s="173" t="str">
        <f>IFERROR(__xludf.DUMMYFUNCTION("""COMPUTED_VALUE"""),"Potion")</f>
        <v>Potion</v>
      </c>
      <c r="W918" s="174"/>
    </row>
    <row r="919">
      <c r="B919" s="175"/>
      <c r="R919" s="176"/>
      <c r="U919" s="172" t="str">
        <f>IFERROR(__xludf.DUMMYFUNCTION("""COMPUTED_VALUE"""),"")</f>
        <v/>
      </c>
      <c r="V919" s="173" t="str">
        <f>IFERROR(__xludf.DUMMYFUNCTION("""COMPUTED_VALUE"""),"Powder Snow Bucket")</f>
        <v>Powder Snow Bucket</v>
      </c>
      <c r="W919" s="174"/>
    </row>
    <row r="920">
      <c r="B920" s="175"/>
      <c r="R920" s="176"/>
      <c r="U920" s="172" t="str">
        <f>IFERROR(__xludf.DUMMYFUNCTION("""COMPUTED_VALUE"""),"")</f>
        <v/>
      </c>
      <c r="V920" s="173" t="str">
        <f>IFERROR(__xludf.DUMMYFUNCTION("""COMPUTED_VALUE"""),"Powered Rail")</f>
        <v>Powered Rail</v>
      </c>
      <c r="W920" s="174"/>
    </row>
    <row r="921">
      <c r="B921" s="175"/>
      <c r="R921" s="176"/>
      <c r="U921" s="172" t="str">
        <f>IFERROR(__xludf.DUMMYFUNCTION("""COMPUTED_VALUE"""),"")</f>
        <v/>
      </c>
      <c r="V921" s="173" t="str">
        <f>IFERROR(__xludf.DUMMYFUNCTION("""COMPUTED_VALUE"""),"Prismarine")</f>
        <v>Prismarine</v>
      </c>
      <c r="W921" s="174"/>
    </row>
    <row r="922">
      <c r="B922" s="175"/>
      <c r="R922" s="176"/>
      <c r="U922" s="172" t="str">
        <f>IFERROR(__xludf.DUMMYFUNCTION("""COMPUTED_VALUE"""),"")</f>
        <v/>
      </c>
      <c r="V922" s="173" t="str">
        <f>IFERROR(__xludf.DUMMYFUNCTION("""COMPUTED_VALUE"""),"Prismarine Brick Slab")</f>
        <v>Prismarine Brick Slab</v>
      </c>
      <c r="W922" s="174"/>
    </row>
    <row r="923">
      <c r="B923" s="175"/>
      <c r="R923" s="176"/>
      <c r="U923" s="172" t="str">
        <f>IFERROR(__xludf.DUMMYFUNCTION("""COMPUTED_VALUE"""),"")</f>
        <v/>
      </c>
      <c r="V923" s="173" t="str">
        <f>IFERROR(__xludf.DUMMYFUNCTION("""COMPUTED_VALUE"""),"Prismarine Brick Stairs")</f>
        <v>Prismarine Brick Stairs</v>
      </c>
      <c r="W923" s="174"/>
    </row>
    <row r="924">
      <c r="B924" s="175"/>
      <c r="R924" s="176"/>
      <c r="U924" s="172" t="str">
        <f>IFERROR(__xludf.DUMMYFUNCTION("""COMPUTED_VALUE"""),"")</f>
        <v/>
      </c>
      <c r="V924" s="173" t="str">
        <f>IFERROR(__xludf.DUMMYFUNCTION("""COMPUTED_VALUE"""),"Prismarine Bricks")</f>
        <v>Prismarine Bricks</v>
      </c>
      <c r="W924" s="174"/>
    </row>
    <row r="925">
      <c r="B925" s="175"/>
      <c r="R925" s="176"/>
      <c r="U925" s="172" t="str">
        <f>IFERROR(__xludf.DUMMYFUNCTION("""COMPUTED_VALUE"""),"")</f>
        <v/>
      </c>
      <c r="V925" s="173" t="str">
        <f>IFERROR(__xludf.DUMMYFUNCTION("""COMPUTED_VALUE"""),"Prismarine Crystals")</f>
        <v>Prismarine Crystals</v>
      </c>
      <c r="W925" s="174"/>
    </row>
    <row r="926">
      <c r="B926" s="175"/>
      <c r="R926" s="176"/>
      <c r="U926" s="172" t="str">
        <f>IFERROR(__xludf.DUMMYFUNCTION("""COMPUTED_VALUE"""),"")</f>
        <v/>
      </c>
      <c r="V926" s="173" t="str">
        <f>IFERROR(__xludf.DUMMYFUNCTION("""COMPUTED_VALUE"""),"Prismarine Shard")</f>
        <v>Prismarine Shard</v>
      </c>
      <c r="W926" s="174"/>
    </row>
    <row r="927">
      <c r="B927" s="175"/>
      <c r="R927" s="176"/>
      <c r="U927" s="172" t="str">
        <f>IFERROR(__xludf.DUMMYFUNCTION("""COMPUTED_VALUE"""),"")</f>
        <v/>
      </c>
      <c r="V927" s="173" t="str">
        <f>IFERROR(__xludf.DUMMYFUNCTION("""COMPUTED_VALUE"""),"Prismarine Slab")</f>
        <v>Prismarine Slab</v>
      </c>
      <c r="W927" s="174"/>
    </row>
    <row r="928">
      <c r="B928" s="175"/>
      <c r="R928" s="176"/>
      <c r="U928" s="172" t="str">
        <f>IFERROR(__xludf.DUMMYFUNCTION("""COMPUTED_VALUE"""),"")</f>
        <v/>
      </c>
      <c r="V928" s="173" t="str">
        <f>IFERROR(__xludf.DUMMYFUNCTION("""COMPUTED_VALUE"""),"Prismarine Stairs")</f>
        <v>Prismarine Stairs</v>
      </c>
      <c r="W928" s="174"/>
    </row>
    <row r="929">
      <c r="B929" s="175"/>
      <c r="R929" s="176"/>
      <c r="U929" s="172" t="str">
        <f>IFERROR(__xludf.DUMMYFUNCTION("""COMPUTED_VALUE"""),"")</f>
        <v/>
      </c>
      <c r="V929" s="173" t="str">
        <f>IFERROR(__xludf.DUMMYFUNCTION("""COMPUTED_VALUE"""),"Prismarine Wall")</f>
        <v>Prismarine Wall</v>
      </c>
      <c r="W929" s="174"/>
    </row>
    <row r="930">
      <c r="B930" s="175"/>
      <c r="R930" s="176"/>
      <c r="U930" s="172" t="str">
        <f>IFERROR(__xludf.DUMMYFUNCTION("""COMPUTED_VALUE"""),"")</f>
        <v/>
      </c>
      <c r="V930" s="173" t="str">
        <f>IFERROR(__xludf.DUMMYFUNCTION("""COMPUTED_VALUE"""),"Prize Pottery Sherd")</f>
        <v>Prize Pottery Sherd</v>
      </c>
      <c r="W930" s="174"/>
    </row>
    <row r="931">
      <c r="B931" s="175"/>
      <c r="R931" s="176"/>
      <c r="U931" s="172" t="str">
        <f>IFERROR(__xludf.DUMMYFUNCTION("""COMPUTED_VALUE"""),"")</f>
        <v/>
      </c>
      <c r="V931" s="173" t="str">
        <f>IFERROR(__xludf.DUMMYFUNCTION("""COMPUTED_VALUE"""),"Pufferfish")</f>
        <v>Pufferfish</v>
      </c>
      <c r="W931" s="174"/>
    </row>
    <row r="932">
      <c r="B932" s="175"/>
      <c r="R932" s="176"/>
      <c r="U932" s="172" t="str">
        <f>IFERROR(__xludf.DUMMYFUNCTION("""COMPUTED_VALUE"""),"")</f>
        <v/>
      </c>
      <c r="V932" s="173" t="str">
        <f>IFERROR(__xludf.DUMMYFUNCTION("""COMPUTED_VALUE"""),"Pufferfish Bucket")</f>
        <v>Pufferfish Bucket</v>
      </c>
      <c r="W932" s="174"/>
    </row>
    <row r="933">
      <c r="B933" s="175"/>
      <c r="R933" s="176"/>
      <c r="U933" s="172" t="str">
        <f>IFERROR(__xludf.DUMMYFUNCTION("""COMPUTED_VALUE"""),"")</f>
        <v/>
      </c>
      <c r="V933" s="173" t="str">
        <f>IFERROR(__xludf.DUMMYFUNCTION("""COMPUTED_VALUE"""),"Pumpkin")</f>
        <v>Pumpkin</v>
      </c>
      <c r="W933" s="174"/>
    </row>
    <row r="934">
      <c r="B934" s="175"/>
      <c r="R934" s="176"/>
      <c r="U934" s="172" t="str">
        <f>IFERROR(__xludf.DUMMYFUNCTION("""COMPUTED_VALUE"""),"")</f>
        <v/>
      </c>
      <c r="V934" s="173" t="str">
        <f>IFERROR(__xludf.DUMMYFUNCTION("""COMPUTED_VALUE"""),"Pumpkin Pie")</f>
        <v>Pumpkin Pie</v>
      </c>
      <c r="W934" s="174"/>
    </row>
    <row r="935">
      <c r="B935" s="175"/>
      <c r="R935" s="176"/>
      <c r="U935" s="172" t="str">
        <f>IFERROR(__xludf.DUMMYFUNCTION("""COMPUTED_VALUE"""),"")</f>
        <v/>
      </c>
      <c r="V935" s="173" t="str">
        <f>IFERROR(__xludf.DUMMYFUNCTION("""COMPUTED_VALUE"""),"Pumpkin Seeds")</f>
        <v>Pumpkin Seeds</v>
      </c>
      <c r="W935" s="174"/>
    </row>
    <row r="936">
      <c r="B936" s="175"/>
      <c r="R936" s="176"/>
      <c r="U936" s="172" t="str">
        <f>IFERROR(__xludf.DUMMYFUNCTION("""COMPUTED_VALUE"""),"")</f>
        <v/>
      </c>
      <c r="V936" s="173" t="str">
        <f>IFERROR(__xludf.DUMMYFUNCTION("""COMPUTED_VALUE"""),"Purple Banner")</f>
        <v>Purple Banner</v>
      </c>
      <c r="W936" s="174"/>
    </row>
    <row r="937">
      <c r="B937" s="175"/>
      <c r="R937" s="176"/>
      <c r="U937" s="172" t="str">
        <f>IFERROR(__xludf.DUMMYFUNCTION("""COMPUTED_VALUE"""),"")</f>
        <v/>
      </c>
      <c r="V937" s="173" t="str">
        <f>IFERROR(__xludf.DUMMYFUNCTION("""COMPUTED_VALUE"""),"Purple Bed")</f>
        <v>Purple Bed</v>
      </c>
      <c r="W937" s="174"/>
    </row>
    <row r="938">
      <c r="B938" s="175"/>
      <c r="R938" s="176"/>
      <c r="U938" s="172" t="str">
        <f>IFERROR(__xludf.DUMMYFUNCTION("""COMPUTED_VALUE"""),"")</f>
        <v/>
      </c>
      <c r="V938" s="173" t="str">
        <f>IFERROR(__xludf.DUMMYFUNCTION("""COMPUTED_VALUE"""),"Purple Candle")</f>
        <v>Purple Candle</v>
      </c>
      <c r="W938" s="174"/>
    </row>
    <row r="939">
      <c r="B939" s="175"/>
      <c r="R939" s="176"/>
      <c r="U939" s="172" t="str">
        <f>IFERROR(__xludf.DUMMYFUNCTION("""COMPUTED_VALUE"""),"")</f>
        <v/>
      </c>
      <c r="V939" s="173" t="str">
        <f>IFERROR(__xludf.DUMMYFUNCTION("""COMPUTED_VALUE"""),"Purple Carpet")</f>
        <v>Purple Carpet</v>
      </c>
      <c r="W939" s="174"/>
    </row>
    <row r="940">
      <c r="B940" s="175"/>
      <c r="R940" s="176"/>
      <c r="U940" s="172" t="str">
        <f>IFERROR(__xludf.DUMMYFUNCTION("""COMPUTED_VALUE"""),"")</f>
        <v/>
      </c>
      <c r="V940" s="173" t="str">
        <f>IFERROR(__xludf.DUMMYFUNCTION("""COMPUTED_VALUE"""),"Purple Concrete")</f>
        <v>Purple Concrete</v>
      </c>
      <c r="W940" s="174"/>
    </row>
    <row r="941">
      <c r="B941" s="175"/>
      <c r="R941" s="176"/>
      <c r="U941" s="172" t="str">
        <f>IFERROR(__xludf.DUMMYFUNCTION("""COMPUTED_VALUE"""),"")</f>
        <v/>
      </c>
      <c r="V941" s="173" t="str">
        <f>IFERROR(__xludf.DUMMYFUNCTION("""COMPUTED_VALUE"""),"Purple Concrete Powder")</f>
        <v>Purple Concrete Powder</v>
      </c>
      <c r="W941" s="174"/>
    </row>
    <row r="942">
      <c r="B942" s="175"/>
      <c r="R942" s="176"/>
      <c r="U942" s="172" t="str">
        <f>IFERROR(__xludf.DUMMYFUNCTION("""COMPUTED_VALUE"""),"")</f>
        <v/>
      </c>
      <c r="V942" s="173" t="str">
        <f>IFERROR(__xludf.DUMMYFUNCTION("""COMPUTED_VALUE"""),"Purple Dye")</f>
        <v>Purple Dye</v>
      </c>
      <c r="W942" s="174"/>
    </row>
    <row r="943">
      <c r="B943" s="175"/>
      <c r="R943" s="176"/>
      <c r="U943" s="172" t="str">
        <f>IFERROR(__xludf.DUMMYFUNCTION("""COMPUTED_VALUE"""),"")</f>
        <v/>
      </c>
      <c r="V943" s="173" t="str">
        <f>IFERROR(__xludf.DUMMYFUNCTION("""COMPUTED_VALUE"""),"Purple Glazed Terracotta")</f>
        <v>Purple Glazed Terracotta</v>
      </c>
      <c r="W943" s="174"/>
    </row>
    <row r="944">
      <c r="B944" s="175"/>
      <c r="R944" s="176"/>
      <c r="U944" s="172" t="str">
        <f>IFERROR(__xludf.DUMMYFUNCTION("""COMPUTED_VALUE"""),"")</f>
        <v/>
      </c>
      <c r="V944" s="173" t="str">
        <f>IFERROR(__xludf.DUMMYFUNCTION("""COMPUTED_VALUE"""),"Purple Shulker Box")</f>
        <v>Purple Shulker Box</v>
      </c>
      <c r="W944" s="174"/>
    </row>
    <row r="945">
      <c r="B945" s="175"/>
      <c r="R945" s="176"/>
      <c r="U945" s="172" t="str">
        <f>IFERROR(__xludf.DUMMYFUNCTION("""COMPUTED_VALUE"""),"")</f>
        <v/>
      </c>
      <c r="V945" s="173" t="str">
        <f>IFERROR(__xludf.DUMMYFUNCTION("""COMPUTED_VALUE"""),"Purple Stained Glass")</f>
        <v>Purple Stained Glass</v>
      </c>
      <c r="W945" s="174"/>
    </row>
    <row r="946">
      <c r="B946" s="175"/>
      <c r="R946" s="176"/>
      <c r="U946" s="172" t="str">
        <f>IFERROR(__xludf.DUMMYFUNCTION("""COMPUTED_VALUE"""),"")</f>
        <v/>
      </c>
      <c r="V946" s="173" t="str">
        <f>IFERROR(__xludf.DUMMYFUNCTION("""COMPUTED_VALUE"""),"Purple Stained Glass Pane")</f>
        <v>Purple Stained Glass Pane</v>
      </c>
      <c r="W946" s="174"/>
    </row>
    <row r="947">
      <c r="B947" s="175"/>
      <c r="R947" s="176"/>
      <c r="U947" s="172" t="str">
        <f>IFERROR(__xludf.DUMMYFUNCTION("""COMPUTED_VALUE"""),"")</f>
        <v/>
      </c>
      <c r="V947" s="173" t="str">
        <f>IFERROR(__xludf.DUMMYFUNCTION("""COMPUTED_VALUE"""),"Purple Terracotta")</f>
        <v>Purple Terracotta</v>
      </c>
      <c r="W947" s="174"/>
    </row>
    <row r="948">
      <c r="B948" s="175"/>
      <c r="R948" s="176"/>
      <c r="U948" s="172" t="str">
        <f>IFERROR(__xludf.DUMMYFUNCTION("""COMPUTED_VALUE"""),"")</f>
        <v/>
      </c>
      <c r="V948" s="173" t="str">
        <f>IFERROR(__xludf.DUMMYFUNCTION("""COMPUTED_VALUE"""),"Purple Wool")</f>
        <v>Purple Wool</v>
      </c>
      <c r="W948" s="174"/>
    </row>
    <row r="949">
      <c r="B949" s="175"/>
      <c r="R949" s="176"/>
      <c r="U949" s="172" t="str">
        <f>IFERROR(__xludf.DUMMYFUNCTION("""COMPUTED_VALUE"""),"")</f>
        <v/>
      </c>
      <c r="V949" s="173" t="str">
        <f>IFERROR(__xludf.DUMMYFUNCTION("""COMPUTED_VALUE"""),"Purpur Block")</f>
        <v>Purpur Block</v>
      </c>
      <c r="W949" s="174"/>
    </row>
    <row r="950">
      <c r="B950" s="175"/>
      <c r="R950" s="176"/>
      <c r="U950" s="172" t="str">
        <f>IFERROR(__xludf.DUMMYFUNCTION("""COMPUTED_VALUE"""),"")</f>
        <v/>
      </c>
      <c r="V950" s="173" t="str">
        <f>IFERROR(__xludf.DUMMYFUNCTION("""COMPUTED_VALUE"""),"Purpur Pillar")</f>
        <v>Purpur Pillar</v>
      </c>
      <c r="W950" s="174"/>
    </row>
    <row r="951">
      <c r="B951" s="175"/>
      <c r="R951" s="176"/>
      <c r="U951" s="172" t="str">
        <f>IFERROR(__xludf.DUMMYFUNCTION("""COMPUTED_VALUE"""),"")</f>
        <v/>
      </c>
      <c r="V951" s="173" t="str">
        <f>IFERROR(__xludf.DUMMYFUNCTION("""COMPUTED_VALUE"""),"Purpur Slab")</f>
        <v>Purpur Slab</v>
      </c>
      <c r="W951" s="174"/>
    </row>
    <row r="952">
      <c r="B952" s="175"/>
      <c r="R952" s="176"/>
      <c r="U952" s="172" t="str">
        <f>IFERROR(__xludf.DUMMYFUNCTION("""COMPUTED_VALUE"""),"")</f>
        <v/>
      </c>
      <c r="V952" s="173" t="str">
        <f>IFERROR(__xludf.DUMMYFUNCTION("""COMPUTED_VALUE"""),"Purpur Stairs")</f>
        <v>Purpur Stairs</v>
      </c>
      <c r="W952" s="174"/>
    </row>
    <row r="953">
      <c r="B953" s="175"/>
      <c r="R953" s="176"/>
      <c r="U953" s="172" t="str">
        <f>IFERROR(__xludf.DUMMYFUNCTION("""COMPUTED_VALUE"""),"")</f>
        <v/>
      </c>
      <c r="V953" s="173" t="str">
        <f>IFERROR(__xludf.DUMMYFUNCTION("""COMPUTED_VALUE"""),"Quartz")</f>
        <v>Quartz</v>
      </c>
      <c r="W953" s="174"/>
    </row>
    <row r="954">
      <c r="B954" s="175"/>
      <c r="R954" s="176"/>
      <c r="U954" s="172" t="str">
        <f>IFERROR(__xludf.DUMMYFUNCTION("""COMPUTED_VALUE"""),"")</f>
        <v/>
      </c>
      <c r="V954" s="173" t="str">
        <f>IFERROR(__xludf.DUMMYFUNCTION("""COMPUTED_VALUE"""),"Quartz Block")</f>
        <v>Quartz Block</v>
      </c>
      <c r="W954" s="174"/>
    </row>
    <row r="955">
      <c r="B955" s="175"/>
      <c r="R955" s="176"/>
      <c r="U955" s="172" t="str">
        <f>IFERROR(__xludf.DUMMYFUNCTION("""COMPUTED_VALUE"""),"")</f>
        <v/>
      </c>
      <c r="V955" s="173" t="str">
        <f>IFERROR(__xludf.DUMMYFUNCTION("""COMPUTED_VALUE"""),"Quartz Bricks")</f>
        <v>Quartz Bricks</v>
      </c>
      <c r="W955" s="174"/>
    </row>
    <row r="956">
      <c r="B956" s="175"/>
      <c r="R956" s="176"/>
      <c r="U956" s="172" t="str">
        <f>IFERROR(__xludf.DUMMYFUNCTION("""COMPUTED_VALUE"""),"")</f>
        <v/>
      </c>
      <c r="V956" s="173" t="str">
        <f>IFERROR(__xludf.DUMMYFUNCTION("""COMPUTED_VALUE"""),"Quartz Pillar")</f>
        <v>Quartz Pillar</v>
      </c>
      <c r="W956" s="174"/>
    </row>
    <row r="957">
      <c r="B957" s="175"/>
      <c r="R957" s="176"/>
      <c r="U957" s="172" t="str">
        <f>IFERROR(__xludf.DUMMYFUNCTION("""COMPUTED_VALUE"""),"")</f>
        <v/>
      </c>
      <c r="V957" s="173" t="str">
        <f>IFERROR(__xludf.DUMMYFUNCTION("""COMPUTED_VALUE"""),"Quartz Slab")</f>
        <v>Quartz Slab</v>
      </c>
      <c r="W957" s="174"/>
    </row>
    <row r="958">
      <c r="B958" s="175"/>
      <c r="R958" s="176"/>
      <c r="U958" s="172" t="str">
        <f>IFERROR(__xludf.DUMMYFUNCTION("""COMPUTED_VALUE"""),"")</f>
        <v/>
      </c>
      <c r="V958" s="173" t="str">
        <f>IFERROR(__xludf.DUMMYFUNCTION("""COMPUTED_VALUE"""),"Quartz Stairs")</f>
        <v>Quartz Stairs</v>
      </c>
      <c r="W958" s="174"/>
    </row>
    <row r="959">
      <c r="B959" s="175"/>
      <c r="R959" s="176"/>
      <c r="U959" s="172" t="str">
        <f>IFERROR(__xludf.DUMMYFUNCTION("""COMPUTED_VALUE"""),"")</f>
        <v/>
      </c>
      <c r="V959" s="173" t="str">
        <f>IFERROR(__xludf.DUMMYFUNCTION("""COMPUTED_VALUE"""),"Rabbit")</f>
        <v>Rabbit</v>
      </c>
      <c r="W959" s="174"/>
    </row>
    <row r="960">
      <c r="B960" s="175"/>
      <c r="R960" s="176"/>
      <c r="U960" s="172" t="str">
        <f>IFERROR(__xludf.DUMMYFUNCTION("""COMPUTED_VALUE"""),"")</f>
        <v/>
      </c>
      <c r="V960" s="173" t="str">
        <f>IFERROR(__xludf.DUMMYFUNCTION("""COMPUTED_VALUE"""),"Rabbit Foot")</f>
        <v>Rabbit Foot</v>
      </c>
      <c r="W960" s="174"/>
    </row>
    <row r="961">
      <c r="B961" s="175"/>
      <c r="R961" s="176"/>
      <c r="U961" s="172" t="str">
        <f>IFERROR(__xludf.DUMMYFUNCTION("""COMPUTED_VALUE"""),"")</f>
        <v/>
      </c>
      <c r="V961" s="173" t="str">
        <f>IFERROR(__xludf.DUMMYFUNCTION("""COMPUTED_VALUE"""),"Rabbit Hide")</f>
        <v>Rabbit Hide</v>
      </c>
      <c r="W961" s="174"/>
    </row>
    <row r="962">
      <c r="B962" s="175"/>
      <c r="R962" s="176"/>
      <c r="U962" s="172" t="str">
        <f>IFERROR(__xludf.DUMMYFUNCTION("""COMPUTED_VALUE"""),"")</f>
        <v/>
      </c>
      <c r="V962" s="173" t="str">
        <f>IFERROR(__xludf.DUMMYFUNCTION("""COMPUTED_VALUE"""),"Rabbit Stew")</f>
        <v>Rabbit Stew</v>
      </c>
      <c r="W962" s="174"/>
    </row>
    <row r="963">
      <c r="B963" s="175"/>
      <c r="R963" s="176"/>
      <c r="U963" s="172" t="str">
        <f>IFERROR(__xludf.DUMMYFUNCTION("""COMPUTED_VALUE"""),"")</f>
        <v/>
      </c>
      <c r="V963" s="173" t="str">
        <f>IFERROR(__xludf.DUMMYFUNCTION("""COMPUTED_VALUE"""),"Rail")</f>
        <v>Rail</v>
      </c>
      <c r="W963" s="174"/>
    </row>
    <row r="964">
      <c r="B964" s="175"/>
      <c r="R964" s="176"/>
      <c r="U964" s="172" t="str">
        <f>IFERROR(__xludf.DUMMYFUNCTION("""COMPUTED_VALUE"""),"")</f>
        <v/>
      </c>
      <c r="V964" s="173" t="str">
        <f>IFERROR(__xludf.DUMMYFUNCTION("""COMPUTED_VALUE"""),"Raiser Armor Trim")</f>
        <v>Raiser Armor Trim</v>
      </c>
      <c r="W964" s="174"/>
    </row>
    <row r="965">
      <c r="B965" s="175"/>
      <c r="R965" s="176"/>
      <c r="U965" s="172" t="str">
        <f>IFERROR(__xludf.DUMMYFUNCTION("""COMPUTED_VALUE"""),"")</f>
        <v/>
      </c>
      <c r="V965" s="173" t="str">
        <f>IFERROR(__xludf.DUMMYFUNCTION("""COMPUTED_VALUE"""),"Raw Copper")</f>
        <v>Raw Copper</v>
      </c>
      <c r="W965" s="174"/>
    </row>
    <row r="966">
      <c r="B966" s="175"/>
      <c r="R966" s="176"/>
      <c r="U966" s="172" t="str">
        <f>IFERROR(__xludf.DUMMYFUNCTION("""COMPUTED_VALUE"""),"")</f>
        <v/>
      </c>
      <c r="V966" s="173" t="str">
        <f>IFERROR(__xludf.DUMMYFUNCTION("""COMPUTED_VALUE"""),"Raw Copper Block")</f>
        <v>Raw Copper Block</v>
      </c>
      <c r="W966" s="174"/>
    </row>
    <row r="967">
      <c r="B967" s="175"/>
      <c r="R967" s="176"/>
      <c r="U967" s="172" t="str">
        <f>IFERROR(__xludf.DUMMYFUNCTION("""COMPUTED_VALUE"""),"")</f>
        <v/>
      </c>
      <c r="V967" s="173" t="str">
        <f>IFERROR(__xludf.DUMMYFUNCTION("""COMPUTED_VALUE"""),"Raw Gold")</f>
        <v>Raw Gold</v>
      </c>
      <c r="W967" s="174"/>
    </row>
    <row r="968">
      <c r="B968" s="175"/>
      <c r="R968" s="176"/>
      <c r="U968" s="172" t="str">
        <f>IFERROR(__xludf.DUMMYFUNCTION("""COMPUTED_VALUE"""),"")</f>
        <v/>
      </c>
      <c r="V968" s="173" t="str">
        <f>IFERROR(__xludf.DUMMYFUNCTION("""COMPUTED_VALUE"""),"Raw Gold Block")</f>
        <v>Raw Gold Block</v>
      </c>
      <c r="W968" s="174"/>
    </row>
    <row r="969">
      <c r="B969" s="175"/>
      <c r="R969" s="176"/>
      <c r="U969" s="172" t="str">
        <f>IFERROR(__xludf.DUMMYFUNCTION("""COMPUTED_VALUE"""),"")</f>
        <v/>
      </c>
      <c r="V969" s="173" t="str">
        <f>IFERROR(__xludf.DUMMYFUNCTION("""COMPUTED_VALUE"""),"Raw Iron")</f>
        <v>Raw Iron</v>
      </c>
      <c r="W969" s="174"/>
    </row>
    <row r="970">
      <c r="B970" s="175"/>
      <c r="R970" s="176"/>
      <c r="U970" s="172" t="str">
        <f>IFERROR(__xludf.DUMMYFUNCTION("""COMPUTED_VALUE"""),"")</f>
        <v/>
      </c>
      <c r="V970" s="173" t="str">
        <f>IFERROR(__xludf.DUMMYFUNCTION("""COMPUTED_VALUE"""),"Raw Iron Block")</f>
        <v>Raw Iron Block</v>
      </c>
      <c r="W970" s="174"/>
    </row>
    <row r="971">
      <c r="B971" s="175"/>
      <c r="R971" s="176"/>
      <c r="U971" s="172" t="str">
        <f>IFERROR(__xludf.DUMMYFUNCTION("""COMPUTED_VALUE"""),"")</f>
        <v/>
      </c>
      <c r="V971" s="173" t="str">
        <f>IFERROR(__xludf.DUMMYFUNCTION("""COMPUTED_VALUE"""),"Recovery Compass")</f>
        <v>Recovery Compass</v>
      </c>
      <c r="W971" s="174"/>
    </row>
    <row r="972">
      <c r="B972" s="175"/>
      <c r="R972" s="176"/>
      <c r="U972" s="172" t="str">
        <f>IFERROR(__xludf.DUMMYFUNCTION("""COMPUTED_VALUE"""),"")</f>
        <v/>
      </c>
      <c r="V972" s="173" t="str">
        <f>IFERROR(__xludf.DUMMYFUNCTION("""COMPUTED_VALUE"""),"Red Banner")</f>
        <v>Red Banner</v>
      </c>
      <c r="W972" s="174"/>
    </row>
    <row r="973">
      <c r="B973" s="175"/>
      <c r="R973" s="176"/>
      <c r="U973" s="172" t="str">
        <f>IFERROR(__xludf.DUMMYFUNCTION("""COMPUTED_VALUE"""),"")</f>
        <v/>
      </c>
      <c r="V973" s="173" t="str">
        <f>IFERROR(__xludf.DUMMYFUNCTION("""COMPUTED_VALUE"""),"Red Bed")</f>
        <v>Red Bed</v>
      </c>
      <c r="W973" s="174"/>
    </row>
    <row r="974">
      <c r="B974" s="175"/>
      <c r="R974" s="176"/>
      <c r="U974" s="172" t="str">
        <f>IFERROR(__xludf.DUMMYFUNCTION("""COMPUTED_VALUE"""),"")</f>
        <v/>
      </c>
      <c r="V974" s="173" t="str">
        <f>IFERROR(__xludf.DUMMYFUNCTION("""COMPUTED_VALUE"""),"Red Candle")</f>
        <v>Red Candle</v>
      </c>
      <c r="W974" s="174"/>
    </row>
    <row r="975">
      <c r="B975" s="175"/>
      <c r="R975" s="176"/>
      <c r="U975" s="172" t="str">
        <f>IFERROR(__xludf.DUMMYFUNCTION("""COMPUTED_VALUE"""),"")</f>
        <v/>
      </c>
      <c r="V975" s="173" t="str">
        <f>IFERROR(__xludf.DUMMYFUNCTION("""COMPUTED_VALUE"""),"Red Carpet")</f>
        <v>Red Carpet</v>
      </c>
      <c r="W975" s="174"/>
    </row>
    <row r="976">
      <c r="B976" s="175"/>
      <c r="R976" s="176"/>
      <c r="U976" s="172" t="str">
        <f>IFERROR(__xludf.DUMMYFUNCTION("""COMPUTED_VALUE"""),"")</f>
        <v/>
      </c>
      <c r="V976" s="173" t="str">
        <f>IFERROR(__xludf.DUMMYFUNCTION("""COMPUTED_VALUE"""),"Red Concrete")</f>
        <v>Red Concrete</v>
      </c>
      <c r="W976" s="174"/>
    </row>
    <row r="977">
      <c r="B977" s="175"/>
      <c r="R977" s="176"/>
      <c r="U977" s="172" t="str">
        <f>IFERROR(__xludf.DUMMYFUNCTION("""COMPUTED_VALUE"""),"")</f>
        <v/>
      </c>
      <c r="V977" s="173" t="str">
        <f>IFERROR(__xludf.DUMMYFUNCTION("""COMPUTED_VALUE"""),"Red Concrete Powder")</f>
        <v>Red Concrete Powder</v>
      </c>
      <c r="W977" s="174"/>
    </row>
    <row r="978">
      <c r="B978" s="175"/>
      <c r="R978" s="176"/>
      <c r="U978" s="172" t="str">
        <f>IFERROR(__xludf.DUMMYFUNCTION("""COMPUTED_VALUE"""),"")</f>
        <v/>
      </c>
      <c r="V978" s="173" t="str">
        <f>IFERROR(__xludf.DUMMYFUNCTION("""COMPUTED_VALUE"""),"Red Dye")</f>
        <v>Red Dye</v>
      </c>
      <c r="W978" s="174"/>
    </row>
    <row r="979">
      <c r="B979" s="175"/>
      <c r="R979" s="176"/>
      <c r="U979" s="172" t="str">
        <f>IFERROR(__xludf.DUMMYFUNCTION("""COMPUTED_VALUE"""),"")</f>
        <v/>
      </c>
      <c r="V979" s="173" t="str">
        <f>IFERROR(__xludf.DUMMYFUNCTION("""COMPUTED_VALUE"""),"Red Glazed Terracotta")</f>
        <v>Red Glazed Terracotta</v>
      </c>
      <c r="W979" s="174"/>
    </row>
    <row r="980">
      <c r="B980" s="175"/>
      <c r="R980" s="176"/>
      <c r="U980" s="172" t="str">
        <f>IFERROR(__xludf.DUMMYFUNCTION("""COMPUTED_VALUE"""),"")</f>
        <v/>
      </c>
      <c r="V980" s="173" t="str">
        <f>IFERROR(__xludf.DUMMYFUNCTION("""COMPUTED_VALUE"""),"Red Mushroom")</f>
        <v>Red Mushroom</v>
      </c>
      <c r="W980" s="174"/>
    </row>
    <row r="981">
      <c r="B981" s="175"/>
      <c r="R981" s="176"/>
      <c r="U981" s="172" t="str">
        <f>IFERROR(__xludf.DUMMYFUNCTION("""COMPUTED_VALUE"""),"")</f>
        <v/>
      </c>
      <c r="V981" s="173" t="str">
        <f>IFERROR(__xludf.DUMMYFUNCTION("""COMPUTED_VALUE"""),"Red Mushroom Block")</f>
        <v>Red Mushroom Block</v>
      </c>
      <c r="W981" s="174"/>
    </row>
    <row r="982">
      <c r="B982" s="175"/>
      <c r="R982" s="176"/>
      <c r="U982" s="172" t="str">
        <f>IFERROR(__xludf.DUMMYFUNCTION("""COMPUTED_VALUE"""),"")</f>
        <v/>
      </c>
      <c r="V982" s="173" t="str">
        <f>IFERROR(__xludf.DUMMYFUNCTION("""COMPUTED_VALUE"""),"Red Nether Brick Slab")</f>
        <v>Red Nether Brick Slab</v>
      </c>
      <c r="W982" s="174"/>
    </row>
    <row r="983">
      <c r="B983" s="175"/>
      <c r="R983" s="176"/>
      <c r="U983" s="172" t="str">
        <f>IFERROR(__xludf.DUMMYFUNCTION("""COMPUTED_VALUE"""),"")</f>
        <v/>
      </c>
      <c r="V983" s="173" t="str">
        <f>IFERROR(__xludf.DUMMYFUNCTION("""COMPUTED_VALUE"""),"Red Nether Brick Stairs")</f>
        <v>Red Nether Brick Stairs</v>
      </c>
      <c r="W983" s="174"/>
    </row>
    <row r="984">
      <c r="B984" s="175"/>
      <c r="R984" s="176"/>
      <c r="U984" s="172" t="str">
        <f>IFERROR(__xludf.DUMMYFUNCTION("""COMPUTED_VALUE"""),"")</f>
        <v/>
      </c>
      <c r="V984" s="173" t="str">
        <f>IFERROR(__xludf.DUMMYFUNCTION("""COMPUTED_VALUE"""),"Red Nether Brick Wall")</f>
        <v>Red Nether Brick Wall</v>
      </c>
      <c r="W984" s="174"/>
    </row>
    <row r="985">
      <c r="B985" s="175"/>
      <c r="R985" s="176"/>
      <c r="U985" s="172" t="str">
        <f>IFERROR(__xludf.DUMMYFUNCTION("""COMPUTED_VALUE"""),"")</f>
        <v/>
      </c>
      <c r="V985" s="173" t="str">
        <f>IFERROR(__xludf.DUMMYFUNCTION("""COMPUTED_VALUE"""),"Red Nether Bricks")</f>
        <v>Red Nether Bricks</v>
      </c>
      <c r="W985" s="174"/>
    </row>
    <row r="986">
      <c r="B986" s="175"/>
      <c r="R986" s="176"/>
      <c r="U986" s="172" t="str">
        <f>IFERROR(__xludf.DUMMYFUNCTION("""COMPUTED_VALUE"""),"")</f>
        <v/>
      </c>
      <c r="V986" s="173" t="str">
        <f>IFERROR(__xludf.DUMMYFUNCTION("""COMPUTED_VALUE"""),"Red Sand")</f>
        <v>Red Sand</v>
      </c>
      <c r="W986" s="174"/>
    </row>
    <row r="987">
      <c r="B987" s="175"/>
      <c r="R987" s="176"/>
      <c r="U987" s="172" t="str">
        <f>IFERROR(__xludf.DUMMYFUNCTION("""COMPUTED_VALUE"""),"")</f>
        <v/>
      </c>
      <c r="V987" s="173" t="str">
        <f>IFERROR(__xludf.DUMMYFUNCTION("""COMPUTED_VALUE"""),"Red Sandstone")</f>
        <v>Red Sandstone</v>
      </c>
      <c r="W987" s="174"/>
    </row>
    <row r="988">
      <c r="B988" s="175"/>
      <c r="R988" s="176"/>
      <c r="U988" s="172" t="str">
        <f>IFERROR(__xludf.DUMMYFUNCTION("""COMPUTED_VALUE"""),"")</f>
        <v/>
      </c>
      <c r="V988" s="173" t="str">
        <f>IFERROR(__xludf.DUMMYFUNCTION("""COMPUTED_VALUE"""),"Red Sandstone Slab")</f>
        <v>Red Sandstone Slab</v>
      </c>
      <c r="W988" s="174"/>
    </row>
    <row r="989">
      <c r="B989" s="175"/>
      <c r="R989" s="176"/>
      <c r="U989" s="172" t="str">
        <f>IFERROR(__xludf.DUMMYFUNCTION("""COMPUTED_VALUE"""),"")</f>
        <v/>
      </c>
      <c r="V989" s="173" t="str">
        <f>IFERROR(__xludf.DUMMYFUNCTION("""COMPUTED_VALUE"""),"Red Sandstone Stairs")</f>
        <v>Red Sandstone Stairs</v>
      </c>
      <c r="W989" s="174"/>
    </row>
    <row r="990">
      <c r="B990" s="175"/>
      <c r="R990" s="176"/>
      <c r="U990" s="172" t="str">
        <f>IFERROR(__xludf.DUMMYFUNCTION("""COMPUTED_VALUE"""),"")</f>
        <v/>
      </c>
      <c r="V990" s="173" t="str">
        <f>IFERROR(__xludf.DUMMYFUNCTION("""COMPUTED_VALUE"""),"Red Sandstone Wall")</f>
        <v>Red Sandstone Wall</v>
      </c>
      <c r="W990" s="174"/>
    </row>
    <row r="991">
      <c r="B991" s="175"/>
      <c r="R991" s="176"/>
      <c r="U991" s="172" t="str">
        <f>IFERROR(__xludf.DUMMYFUNCTION("""COMPUTED_VALUE"""),"")</f>
        <v/>
      </c>
      <c r="V991" s="173" t="str">
        <f>IFERROR(__xludf.DUMMYFUNCTION("""COMPUTED_VALUE"""),"Red Shulker Box")</f>
        <v>Red Shulker Box</v>
      </c>
      <c r="W991" s="174"/>
    </row>
    <row r="992">
      <c r="B992" s="175"/>
      <c r="R992" s="176"/>
      <c r="U992" s="172" t="str">
        <f>IFERROR(__xludf.DUMMYFUNCTION("""COMPUTED_VALUE"""),"")</f>
        <v/>
      </c>
      <c r="V992" s="173" t="str">
        <f>IFERROR(__xludf.DUMMYFUNCTION("""COMPUTED_VALUE"""),"Red Stained Glass")</f>
        <v>Red Stained Glass</v>
      </c>
      <c r="W992" s="174"/>
    </row>
    <row r="993">
      <c r="B993" s="175"/>
      <c r="R993" s="176"/>
      <c r="U993" s="172" t="str">
        <f>IFERROR(__xludf.DUMMYFUNCTION("""COMPUTED_VALUE"""),"")</f>
        <v/>
      </c>
      <c r="V993" s="173" t="str">
        <f>IFERROR(__xludf.DUMMYFUNCTION("""COMPUTED_VALUE"""),"Red Stained Glass Pane")</f>
        <v>Red Stained Glass Pane</v>
      </c>
      <c r="W993" s="174"/>
    </row>
    <row r="994">
      <c r="B994" s="175"/>
      <c r="R994" s="176"/>
      <c r="U994" s="172" t="str">
        <f>IFERROR(__xludf.DUMMYFUNCTION("""COMPUTED_VALUE"""),"")</f>
        <v/>
      </c>
      <c r="V994" s="173" t="str">
        <f>IFERROR(__xludf.DUMMYFUNCTION("""COMPUTED_VALUE"""),"Red Terracotta")</f>
        <v>Red Terracotta</v>
      </c>
      <c r="W994" s="174"/>
    </row>
    <row r="995">
      <c r="B995" s="175"/>
      <c r="R995" s="176"/>
      <c r="U995" s="172" t="str">
        <f>IFERROR(__xludf.DUMMYFUNCTION("""COMPUTED_VALUE"""),"")</f>
        <v/>
      </c>
      <c r="V995" s="173" t="str">
        <f>IFERROR(__xludf.DUMMYFUNCTION("""COMPUTED_VALUE"""),"Red Tulip")</f>
        <v>Red Tulip</v>
      </c>
      <c r="W995" s="174"/>
    </row>
    <row r="996">
      <c r="B996" s="175"/>
      <c r="R996" s="176"/>
      <c r="U996" s="172" t="str">
        <f>IFERROR(__xludf.DUMMYFUNCTION("""COMPUTED_VALUE"""),"")</f>
        <v/>
      </c>
      <c r="V996" s="173" t="str">
        <f>IFERROR(__xludf.DUMMYFUNCTION("""COMPUTED_VALUE"""),"Red Wool")</f>
        <v>Red Wool</v>
      </c>
      <c r="W996" s="174"/>
    </row>
    <row r="997">
      <c r="B997" s="175"/>
      <c r="R997" s="176"/>
      <c r="U997" s="172" t="str">
        <f>IFERROR(__xludf.DUMMYFUNCTION("""COMPUTED_VALUE"""),"")</f>
        <v/>
      </c>
      <c r="V997" s="173" t="str">
        <f>IFERROR(__xludf.DUMMYFUNCTION("""COMPUTED_VALUE"""),"Redstone")</f>
        <v>Redstone</v>
      </c>
      <c r="W997" s="174"/>
    </row>
    <row r="998">
      <c r="B998" s="175"/>
      <c r="R998" s="176"/>
      <c r="U998" s="172" t="str">
        <f>IFERROR(__xludf.DUMMYFUNCTION("""COMPUTED_VALUE"""),"")</f>
        <v/>
      </c>
      <c r="V998" s="173" t="str">
        <f>IFERROR(__xludf.DUMMYFUNCTION("""COMPUTED_VALUE"""),"Redstone Block")</f>
        <v>Redstone Block</v>
      </c>
      <c r="W998" s="174"/>
    </row>
    <row r="999">
      <c r="B999" s="175"/>
      <c r="R999" s="176"/>
      <c r="U999" s="172" t="str">
        <f>IFERROR(__xludf.DUMMYFUNCTION("""COMPUTED_VALUE"""),"")</f>
        <v/>
      </c>
      <c r="V999" s="173" t="str">
        <f>IFERROR(__xludf.DUMMYFUNCTION("""COMPUTED_VALUE"""),"Redstone Lamp")</f>
        <v>Redstone Lamp</v>
      </c>
      <c r="W999" s="174"/>
    </row>
    <row r="1000">
      <c r="B1000" s="175"/>
      <c r="R1000" s="176"/>
      <c r="U1000" s="172" t="str">
        <f>IFERROR(__xludf.DUMMYFUNCTION("""COMPUTED_VALUE"""),"")</f>
        <v/>
      </c>
      <c r="V1000" s="173" t="str">
        <f>IFERROR(__xludf.DUMMYFUNCTION("""COMPUTED_VALUE"""),"Redstone Ore")</f>
        <v>Redstone Ore</v>
      </c>
      <c r="W1000" s="174"/>
    </row>
    <row r="1001">
      <c r="B1001" s="175"/>
      <c r="R1001" s="176"/>
      <c r="U1001" s="172" t="str">
        <f>IFERROR(__xludf.DUMMYFUNCTION("""COMPUTED_VALUE"""),"")</f>
        <v/>
      </c>
      <c r="V1001" s="173" t="str">
        <f>IFERROR(__xludf.DUMMYFUNCTION("""COMPUTED_VALUE"""),"Redstone Torch")</f>
        <v>Redstone Torch</v>
      </c>
      <c r="W1001" s="174"/>
    </row>
    <row r="1002">
      <c r="B1002" s="175"/>
      <c r="R1002" s="176"/>
      <c r="U1002" s="172" t="str">
        <f>IFERROR(__xludf.DUMMYFUNCTION("""COMPUTED_VALUE"""),"")</f>
        <v/>
      </c>
      <c r="V1002" s="173" t="str">
        <f>IFERROR(__xludf.DUMMYFUNCTION("""COMPUTED_VALUE"""),"Repeater")</f>
        <v>Repeater</v>
      </c>
      <c r="W1002" s="174"/>
    </row>
    <row r="1003">
      <c r="B1003" s="175"/>
      <c r="R1003" s="176"/>
      <c r="U1003" s="172" t="str">
        <f>IFERROR(__xludf.DUMMYFUNCTION("""COMPUTED_VALUE"""),"")</f>
        <v/>
      </c>
      <c r="V1003" s="173" t="str">
        <f>IFERROR(__xludf.DUMMYFUNCTION("""COMPUTED_VALUE"""),"Respawn Anchor")</f>
        <v>Respawn Anchor</v>
      </c>
      <c r="W1003" s="174"/>
    </row>
    <row r="1004">
      <c r="B1004" s="175"/>
      <c r="R1004" s="176"/>
      <c r="U1004" s="172" t="str">
        <f>IFERROR(__xludf.DUMMYFUNCTION("""COMPUTED_VALUE"""),"")</f>
        <v/>
      </c>
      <c r="V1004" s="173" t="str">
        <f>IFERROR(__xludf.DUMMYFUNCTION("""COMPUTED_VALUE"""),"Rib Armor Trim")</f>
        <v>Rib Armor Trim</v>
      </c>
      <c r="W1004" s="174"/>
    </row>
    <row r="1005">
      <c r="B1005" s="175"/>
      <c r="R1005" s="176"/>
      <c r="U1005" s="172" t="str">
        <f>IFERROR(__xludf.DUMMYFUNCTION("""COMPUTED_VALUE"""),"")</f>
        <v/>
      </c>
      <c r="V1005" s="173" t="str">
        <f>IFERROR(__xludf.DUMMYFUNCTION("""COMPUTED_VALUE"""),"Rooted Dirt")</f>
        <v>Rooted Dirt</v>
      </c>
      <c r="W1005" s="174"/>
    </row>
    <row r="1006">
      <c r="B1006" s="175"/>
      <c r="R1006" s="176"/>
      <c r="U1006" s="172" t="str">
        <f>IFERROR(__xludf.DUMMYFUNCTION("""COMPUTED_VALUE"""),"")</f>
        <v/>
      </c>
      <c r="V1006" s="173" t="str">
        <f>IFERROR(__xludf.DUMMYFUNCTION("""COMPUTED_VALUE"""),"Rose Bush")</f>
        <v>Rose Bush</v>
      </c>
      <c r="W1006" s="174"/>
    </row>
    <row r="1007">
      <c r="B1007" s="175"/>
      <c r="R1007" s="176"/>
      <c r="U1007" s="172" t="str">
        <f>IFERROR(__xludf.DUMMYFUNCTION("""COMPUTED_VALUE"""),"")</f>
        <v/>
      </c>
      <c r="V1007" s="173" t="str">
        <f>IFERROR(__xludf.DUMMYFUNCTION("""COMPUTED_VALUE"""),"Rotten Flesh")</f>
        <v>Rotten Flesh</v>
      </c>
      <c r="W1007" s="174"/>
    </row>
    <row r="1008">
      <c r="B1008" s="175"/>
      <c r="R1008" s="176"/>
      <c r="U1008" s="172" t="str">
        <f>IFERROR(__xludf.DUMMYFUNCTION("""COMPUTED_VALUE"""),"")</f>
        <v/>
      </c>
      <c r="V1008" s="173" t="str">
        <f>IFERROR(__xludf.DUMMYFUNCTION("""COMPUTED_VALUE"""),"Saddle")</f>
        <v>Saddle</v>
      </c>
      <c r="W1008" s="174"/>
    </row>
    <row r="1009">
      <c r="B1009" s="175"/>
      <c r="R1009" s="176"/>
      <c r="U1009" s="172" t="str">
        <f>IFERROR(__xludf.DUMMYFUNCTION("""COMPUTED_VALUE"""),"")</f>
        <v/>
      </c>
      <c r="V1009" s="173" t="str">
        <f>IFERROR(__xludf.DUMMYFUNCTION("""COMPUTED_VALUE"""),"Salmon")</f>
        <v>Salmon</v>
      </c>
      <c r="W1009" s="174"/>
    </row>
    <row r="1010">
      <c r="B1010" s="175"/>
      <c r="R1010" s="176"/>
      <c r="U1010" s="172" t="str">
        <f>IFERROR(__xludf.DUMMYFUNCTION("""COMPUTED_VALUE"""),"")</f>
        <v/>
      </c>
      <c r="V1010" s="173" t="str">
        <f>IFERROR(__xludf.DUMMYFUNCTION("""COMPUTED_VALUE"""),"Salmon Bucket")</f>
        <v>Salmon Bucket</v>
      </c>
      <c r="W1010" s="174"/>
    </row>
    <row r="1011">
      <c r="B1011" s="175"/>
      <c r="R1011" s="176"/>
      <c r="U1011" s="172" t="str">
        <f>IFERROR(__xludf.DUMMYFUNCTION("""COMPUTED_VALUE"""),"")</f>
        <v/>
      </c>
      <c r="V1011" s="173" t="str">
        <f>IFERROR(__xludf.DUMMYFUNCTION("""COMPUTED_VALUE"""),"Sand")</f>
        <v>Sand</v>
      </c>
      <c r="W1011" s="174"/>
    </row>
    <row r="1012">
      <c r="B1012" s="175"/>
      <c r="R1012" s="176"/>
      <c r="U1012" s="172" t="str">
        <f>IFERROR(__xludf.DUMMYFUNCTION("""COMPUTED_VALUE"""),"")</f>
        <v/>
      </c>
      <c r="V1012" s="173" t="str">
        <f>IFERROR(__xludf.DUMMYFUNCTION("""COMPUTED_VALUE"""),"Sandstone")</f>
        <v>Sandstone</v>
      </c>
      <c r="W1012" s="174"/>
    </row>
    <row r="1013">
      <c r="B1013" s="175"/>
      <c r="R1013" s="176"/>
      <c r="U1013" s="172" t="str">
        <f>IFERROR(__xludf.DUMMYFUNCTION("""COMPUTED_VALUE"""),"")</f>
        <v/>
      </c>
      <c r="V1013" s="173" t="str">
        <f>IFERROR(__xludf.DUMMYFUNCTION("""COMPUTED_VALUE"""),"Sandstone Slab")</f>
        <v>Sandstone Slab</v>
      </c>
      <c r="W1013" s="174"/>
    </row>
    <row r="1014">
      <c r="B1014" s="175"/>
      <c r="R1014" s="176"/>
      <c r="U1014" s="172" t="str">
        <f>IFERROR(__xludf.DUMMYFUNCTION("""COMPUTED_VALUE"""),"")</f>
        <v/>
      </c>
      <c r="V1014" s="173" t="str">
        <f>IFERROR(__xludf.DUMMYFUNCTION("""COMPUTED_VALUE"""),"Sandstone Stairs")</f>
        <v>Sandstone Stairs</v>
      </c>
      <c r="W1014" s="174"/>
    </row>
    <row r="1015">
      <c r="B1015" s="175"/>
      <c r="R1015" s="176"/>
      <c r="U1015" s="172" t="str">
        <f>IFERROR(__xludf.DUMMYFUNCTION("""COMPUTED_VALUE"""),"")</f>
        <v/>
      </c>
      <c r="V1015" s="173" t="str">
        <f>IFERROR(__xludf.DUMMYFUNCTION("""COMPUTED_VALUE"""),"Sandstone Wall")</f>
        <v>Sandstone Wall</v>
      </c>
      <c r="W1015" s="174"/>
    </row>
    <row r="1016">
      <c r="B1016" s="175"/>
      <c r="R1016" s="176"/>
      <c r="U1016" s="172" t="str">
        <f>IFERROR(__xludf.DUMMYFUNCTION("""COMPUTED_VALUE"""),"")</f>
        <v/>
      </c>
      <c r="V1016" s="173" t="str">
        <f>IFERROR(__xludf.DUMMYFUNCTION("""COMPUTED_VALUE"""),"Scaffolding")</f>
        <v>Scaffolding</v>
      </c>
      <c r="W1016" s="174"/>
    </row>
    <row r="1017">
      <c r="B1017" s="175"/>
      <c r="R1017" s="176"/>
      <c r="U1017" s="172" t="str">
        <f>IFERROR(__xludf.DUMMYFUNCTION("""COMPUTED_VALUE"""),"")</f>
        <v/>
      </c>
      <c r="V1017" s="173" t="str">
        <f>IFERROR(__xludf.DUMMYFUNCTION("""COMPUTED_VALUE"""),"Scrape Pottery Sherd")</f>
        <v>Scrape Pottery Sherd</v>
      </c>
      <c r="W1017" s="174"/>
    </row>
    <row r="1018">
      <c r="B1018" s="175"/>
      <c r="R1018" s="176"/>
      <c r="U1018" s="172" t="str">
        <f>IFERROR(__xludf.DUMMYFUNCTION("""COMPUTED_VALUE"""),"")</f>
        <v/>
      </c>
      <c r="V1018" s="173" t="str">
        <f>IFERROR(__xludf.DUMMYFUNCTION("""COMPUTED_VALUE"""),"Sculk")</f>
        <v>Sculk</v>
      </c>
      <c r="W1018" s="174"/>
    </row>
    <row r="1019">
      <c r="B1019" s="175"/>
      <c r="R1019" s="176"/>
      <c r="U1019" s="172" t="str">
        <f>IFERROR(__xludf.DUMMYFUNCTION("""COMPUTED_VALUE"""),"")</f>
        <v/>
      </c>
      <c r="V1019" s="173" t="str">
        <f>IFERROR(__xludf.DUMMYFUNCTION("""COMPUTED_VALUE"""),"Sculk Catalyst")</f>
        <v>Sculk Catalyst</v>
      </c>
      <c r="W1019" s="174"/>
    </row>
    <row r="1020">
      <c r="B1020" s="175"/>
      <c r="R1020" s="176"/>
      <c r="U1020" s="172" t="str">
        <f>IFERROR(__xludf.DUMMYFUNCTION("""COMPUTED_VALUE"""),"")</f>
        <v/>
      </c>
      <c r="V1020" s="173" t="str">
        <f>IFERROR(__xludf.DUMMYFUNCTION("""COMPUTED_VALUE"""),"Sculk Sensor")</f>
        <v>Sculk Sensor</v>
      </c>
      <c r="W1020" s="174"/>
    </row>
    <row r="1021">
      <c r="B1021" s="175"/>
      <c r="R1021" s="176"/>
      <c r="U1021" s="172" t="str">
        <f>IFERROR(__xludf.DUMMYFUNCTION("""COMPUTED_VALUE"""),"")</f>
        <v/>
      </c>
      <c r="V1021" s="173" t="str">
        <f>IFERROR(__xludf.DUMMYFUNCTION("""COMPUTED_VALUE"""),"Sculk Shrieker")</f>
        <v>Sculk Shrieker</v>
      </c>
      <c r="W1021" s="174"/>
    </row>
    <row r="1022">
      <c r="B1022" s="175"/>
      <c r="R1022" s="176"/>
      <c r="U1022" s="172" t="str">
        <f>IFERROR(__xludf.DUMMYFUNCTION("""COMPUTED_VALUE"""),"")</f>
        <v/>
      </c>
      <c r="V1022" s="173" t="str">
        <f>IFERROR(__xludf.DUMMYFUNCTION("""COMPUTED_VALUE"""),"Sculk Vein")</f>
        <v>Sculk Vein</v>
      </c>
      <c r="W1022" s="174"/>
    </row>
    <row r="1023">
      <c r="B1023" s="175"/>
      <c r="R1023" s="176"/>
      <c r="U1023" s="172" t="str">
        <f>IFERROR(__xludf.DUMMYFUNCTION("""COMPUTED_VALUE"""),"")</f>
        <v/>
      </c>
      <c r="V1023" s="173" t="str">
        <f>IFERROR(__xludf.DUMMYFUNCTION("""COMPUTED_VALUE"""),"Scute")</f>
        <v>Scute</v>
      </c>
      <c r="W1023" s="174"/>
    </row>
    <row r="1024">
      <c r="B1024" s="175"/>
      <c r="R1024" s="176"/>
      <c r="U1024" s="172" t="str">
        <f>IFERROR(__xludf.DUMMYFUNCTION("""COMPUTED_VALUE"""),"")</f>
        <v/>
      </c>
      <c r="V1024" s="173" t="str">
        <f>IFERROR(__xludf.DUMMYFUNCTION("""COMPUTED_VALUE"""),"Sea Lantern")</f>
        <v>Sea Lantern</v>
      </c>
      <c r="W1024" s="174"/>
    </row>
    <row r="1025">
      <c r="B1025" s="175"/>
      <c r="R1025" s="176"/>
      <c r="U1025" s="172" t="str">
        <f>IFERROR(__xludf.DUMMYFUNCTION("""COMPUTED_VALUE"""),"")</f>
        <v/>
      </c>
      <c r="V1025" s="173" t="str">
        <f>IFERROR(__xludf.DUMMYFUNCTION("""COMPUTED_VALUE"""),"Sea Pickle")</f>
        <v>Sea Pickle</v>
      </c>
      <c r="W1025" s="174"/>
    </row>
    <row r="1026">
      <c r="B1026" s="175"/>
      <c r="R1026" s="176"/>
      <c r="U1026" s="172" t="str">
        <f>IFERROR(__xludf.DUMMYFUNCTION("""COMPUTED_VALUE"""),"")</f>
        <v/>
      </c>
      <c r="V1026" s="173" t="str">
        <f>IFERROR(__xludf.DUMMYFUNCTION("""COMPUTED_VALUE"""),"Seagrass")</f>
        <v>Seagrass</v>
      </c>
      <c r="W1026" s="174"/>
    </row>
    <row r="1027">
      <c r="B1027" s="175"/>
      <c r="R1027" s="176"/>
      <c r="U1027" s="172" t="str">
        <f>IFERROR(__xludf.DUMMYFUNCTION("""COMPUTED_VALUE"""),"")</f>
        <v/>
      </c>
      <c r="V1027" s="173" t="str">
        <f>IFERROR(__xludf.DUMMYFUNCTION("""COMPUTED_VALUE"""),"Sentry Armor Trim")</f>
        <v>Sentry Armor Trim</v>
      </c>
      <c r="W1027" s="174"/>
    </row>
    <row r="1028">
      <c r="B1028" s="175"/>
      <c r="R1028" s="176"/>
      <c r="U1028" s="172" t="str">
        <f>IFERROR(__xludf.DUMMYFUNCTION("""COMPUTED_VALUE"""),"")</f>
        <v/>
      </c>
      <c r="V1028" s="173" t="str">
        <f>IFERROR(__xludf.DUMMYFUNCTION("""COMPUTED_VALUE"""),"Shaper Armor Trim")</f>
        <v>Shaper Armor Trim</v>
      </c>
      <c r="W1028" s="174"/>
    </row>
    <row r="1029">
      <c r="B1029" s="175"/>
      <c r="R1029" s="176"/>
      <c r="U1029" s="172" t="str">
        <f>IFERROR(__xludf.DUMMYFUNCTION("""COMPUTED_VALUE"""),"")</f>
        <v/>
      </c>
      <c r="V1029" s="173" t="str">
        <f>IFERROR(__xludf.DUMMYFUNCTION("""COMPUTED_VALUE"""),"Sheaf Pottery Sherd")</f>
        <v>Sheaf Pottery Sherd</v>
      </c>
      <c r="W1029" s="174"/>
    </row>
    <row r="1030">
      <c r="B1030" s="175"/>
      <c r="R1030" s="176"/>
      <c r="U1030" s="172" t="str">
        <f>IFERROR(__xludf.DUMMYFUNCTION("""COMPUTED_VALUE"""),"")</f>
        <v/>
      </c>
      <c r="V1030" s="173" t="str">
        <f>IFERROR(__xludf.DUMMYFUNCTION("""COMPUTED_VALUE"""),"Shears")</f>
        <v>Shears</v>
      </c>
      <c r="W1030" s="174"/>
    </row>
    <row r="1031">
      <c r="B1031" s="175"/>
      <c r="R1031" s="176"/>
      <c r="U1031" s="172" t="str">
        <f>IFERROR(__xludf.DUMMYFUNCTION("""COMPUTED_VALUE"""),"")</f>
        <v/>
      </c>
      <c r="V1031" s="173" t="str">
        <f>IFERROR(__xludf.DUMMYFUNCTION("""COMPUTED_VALUE"""),"Shelter Pottery Sherd")</f>
        <v>Shelter Pottery Sherd</v>
      </c>
      <c r="W1031" s="174"/>
    </row>
    <row r="1032">
      <c r="B1032" s="175"/>
      <c r="R1032" s="176"/>
      <c r="U1032" s="172" t="str">
        <f>IFERROR(__xludf.DUMMYFUNCTION("""COMPUTED_VALUE"""),"")</f>
        <v/>
      </c>
      <c r="V1032" s="173" t="str">
        <f>IFERROR(__xludf.DUMMYFUNCTION("""COMPUTED_VALUE"""),"Shield")</f>
        <v>Shield</v>
      </c>
      <c r="W1032" s="174"/>
    </row>
    <row r="1033">
      <c r="B1033" s="175"/>
      <c r="R1033" s="176"/>
      <c r="U1033" s="172" t="str">
        <f>IFERROR(__xludf.DUMMYFUNCTION("""COMPUTED_VALUE"""),"")</f>
        <v/>
      </c>
      <c r="V1033" s="173" t="str">
        <f>IFERROR(__xludf.DUMMYFUNCTION("""COMPUTED_VALUE"""),"Shroomlight")</f>
        <v>Shroomlight</v>
      </c>
      <c r="W1033" s="174"/>
    </row>
    <row r="1034">
      <c r="B1034" s="175"/>
      <c r="R1034" s="176"/>
      <c r="U1034" s="172" t="str">
        <f>IFERROR(__xludf.DUMMYFUNCTION("""COMPUTED_VALUE"""),"")</f>
        <v/>
      </c>
      <c r="V1034" s="173" t="str">
        <f>IFERROR(__xludf.DUMMYFUNCTION("""COMPUTED_VALUE"""),"Shulker Box")</f>
        <v>Shulker Box</v>
      </c>
      <c r="W1034" s="174"/>
    </row>
    <row r="1035">
      <c r="B1035" s="175"/>
      <c r="R1035" s="176"/>
      <c r="U1035" s="172" t="str">
        <f>IFERROR(__xludf.DUMMYFUNCTION("""COMPUTED_VALUE"""),"")</f>
        <v/>
      </c>
      <c r="V1035" s="173" t="str">
        <f>IFERROR(__xludf.DUMMYFUNCTION("""COMPUTED_VALUE"""),"Shulker Shell")</f>
        <v>Shulker Shell</v>
      </c>
      <c r="W1035" s="174"/>
    </row>
    <row r="1036">
      <c r="B1036" s="175"/>
      <c r="R1036" s="176"/>
      <c r="U1036" s="172" t="str">
        <f>IFERROR(__xludf.DUMMYFUNCTION("""COMPUTED_VALUE"""),"")</f>
        <v/>
      </c>
      <c r="V1036" s="173" t="str">
        <f>IFERROR(__xludf.DUMMYFUNCTION("""COMPUTED_VALUE"""),"Silence Armor Trim")</f>
        <v>Silence Armor Trim</v>
      </c>
      <c r="W1036" s="174"/>
    </row>
    <row r="1037">
      <c r="B1037" s="175"/>
      <c r="R1037" s="176"/>
      <c r="U1037" s="172" t="str">
        <f>IFERROR(__xludf.DUMMYFUNCTION("""COMPUTED_VALUE"""),"")</f>
        <v/>
      </c>
      <c r="V1037" s="173" t="str">
        <f>IFERROR(__xludf.DUMMYFUNCTION("""COMPUTED_VALUE"""),"Skeleton Skull")</f>
        <v>Skeleton Skull</v>
      </c>
      <c r="W1037" s="174"/>
    </row>
    <row r="1038">
      <c r="B1038" s="175"/>
      <c r="R1038" s="176"/>
      <c r="U1038" s="172" t="str">
        <f>IFERROR(__xludf.DUMMYFUNCTION("""COMPUTED_VALUE"""),"")</f>
        <v/>
      </c>
      <c r="V1038" s="173" t="str">
        <f>IFERROR(__xludf.DUMMYFUNCTION("""COMPUTED_VALUE"""),"Skull Banner Pattern")</f>
        <v>Skull Banner Pattern</v>
      </c>
      <c r="W1038" s="174"/>
    </row>
    <row r="1039">
      <c r="B1039" s="175"/>
      <c r="R1039" s="176"/>
      <c r="U1039" s="172" t="str">
        <f>IFERROR(__xludf.DUMMYFUNCTION("""COMPUTED_VALUE"""),"")</f>
        <v/>
      </c>
      <c r="V1039" s="173" t="str">
        <f>IFERROR(__xludf.DUMMYFUNCTION("""COMPUTED_VALUE"""),"Skull Pottery Sherd")</f>
        <v>Skull Pottery Sherd</v>
      </c>
      <c r="W1039" s="174"/>
    </row>
    <row r="1040">
      <c r="B1040" s="175"/>
      <c r="R1040" s="176"/>
      <c r="U1040" s="172" t="str">
        <f>IFERROR(__xludf.DUMMYFUNCTION("""COMPUTED_VALUE"""),"")</f>
        <v/>
      </c>
      <c r="V1040" s="173" t="str">
        <f>IFERROR(__xludf.DUMMYFUNCTION("""COMPUTED_VALUE"""),"Slime Ball")</f>
        <v>Slime Ball</v>
      </c>
      <c r="W1040" s="174"/>
    </row>
    <row r="1041">
      <c r="B1041" s="175"/>
      <c r="R1041" s="176"/>
      <c r="U1041" s="172" t="str">
        <f>IFERROR(__xludf.DUMMYFUNCTION("""COMPUTED_VALUE"""),"")</f>
        <v/>
      </c>
      <c r="V1041" s="173" t="str">
        <f>IFERROR(__xludf.DUMMYFUNCTION("""COMPUTED_VALUE"""),"Slime Block")</f>
        <v>Slime Block</v>
      </c>
      <c r="W1041" s="174"/>
    </row>
    <row r="1042">
      <c r="B1042" s="175"/>
      <c r="R1042" s="176"/>
      <c r="U1042" s="172" t="str">
        <f>IFERROR(__xludf.DUMMYFUNCTION("""COMPUTED_VALUE"""),"")</f>
        <v/>
      </c>
      <c r="V1042" s="173" t="str">
        <f>IFERROR(__xludf.DUMMYFUNCTION("""COMPUTED_VALUE"""),"Small Amethyst Bud")</f>
        <v>Small Amethyst Bud</v>
      </c>
      <c r="W1042" s="174"/>
    </row>
    <row r="1043">
      <c r="B1043" s="175"/>
      <c r="R1043" s="176"/>
      <c r="U1043" s="172" t="str">
        <f>IFERROR(__xludf.DUMMYFUNCTION("""COMPUTED_VALUE"""),"")</f>
        <v/>
      </c>
      <c r="V1043" s="173" t="str">
        <f>IFERROR(__xludf.DUMMYFUNCTION("""COMPUTED_VALUE"""),"Small Dripleaf")</f>
        <v>Small Dripleaf</v>
      </c>
      <c r="W1043" s="174"/>
    </row>
    <row r="1044">
      <c r="B1044" s="175"/>
      <c r="R1044" s="176"/>
      <c r="U1044" s="172" t="str">
        <f>IFERROR(__xludf.DUMMYFUNCTION("""COMPUTED_VALUE"""),"")</f>
        <v/>
      </c>
      <c r="V1044" s="173" t="str">
        <f>IFERROR(__xludf.DUMMYFUNCTION("""COMPUTED_VALUE"""),"Smithing Table")</f>
        <v>Smithing Table</v>
      </c>
      <c r="W1044" s="174"/>
    </row>
    <row r="1045">
      <c r="B1045" s="175"/>
      <c r="R1045" s="176"/>
      <c r="U1045" s="172" t="str">
        <f>IFERROR(__xludf.DUMMYFUNCTION("""COMPUTED_VALUE"""),"")</f>
        <v/>
      </c>
      <c r="V1045" s="173" t="str">
        <f>IFERROR(__xludf.DUMMYFUNCTION("""COMPUTED_VALUE"""),"Smithing Template")</f>
        <v>Smithing Template</v>
      </c>
      <c r="W1045" s="174"/>
    </row>
    <row r="1046">
      <c r="B1046" s="175"/>
      <c r="R1046" s="176"/>
      <c r="U1046" s="172" t="str">
        <f>IFERROR(__xludf.DUMMYFUNCTION("""COMPUTED_VALUE"""),"")</f>
        <v/>
      </c>
      <c r="V1046" s="173" t="str">
        <f>IFERROR(__xludf.DUMMYFUNCTION("""COMPUTED_VALUE"""),"Smoker")</f>
        <v>Smoker</v>
      </c>
      <c r="W1046" s="174"/>
    </row>
    <row r="1047">
      <c r="B1047" s="175"/>
      <c r="R1047" s="176"/>
      <c r="U1047" s="172" t="str">
        <f>IFERROR(__xludf.DUMMYFUNCTION("""COMPUTED_VALUE"""),"")</f>
        <v/>
      </c>
      <c r="V1047" s="173" t="str">
        <f>IFERROR(__xludf.DUMMYFUNCTION("""COMPUTED_VALUE"""),"Smooth Basalt")</f>
        <v>Smooth Basalt</v>
      </c>
      <c r="W1047" s="174"/>
    </row>
    <row r="1048">
      <c r="B1048" s="175"/>
      <c r="R1048" s="176"/>
      <c r="U1048" s="172" t="str">
        <f>IFERROR(__xludf.DUMMYFUNCTION("""COMPUTED_VALUE"""),"")</f>
        <v/>
      </c>
      <c r="V1048" s="173" t="str">
        <f>IFERROR(__xludf.DUMMYFUNCTION("""COMPUTED_VALUE"""),"Smooth Quartz")</f>
        <v>Smooth Quartz</v>
      </c>
      <c r="W1048" s="174"/>
    </row>
    <row r="1049">
      <c r="B1049" s="175"/>
      <c r="R1049" s="176"/>
      <c r="U1049" s="172" t="str">
        <f>IFERROR(__xludf.DUMMYFUNCTION("""COMPUTED_VALUE"""),"")</f>
        <v/>
      </c>
      <c r="V1049" s="173" t="str">
        <f>IFERROR(__xludf.DUMMYFUNCTION("""COMPUTED_VALUE"""),"Smooth Quartz Slab")</f>
        <v>Smooth Quartz Slab</v>
      </c>
      <c r="W1049" s="174"/>
    </row>
    <row r="1050">
      <c r="B1050" s="175"/>
      <c r="R1050" s="176"/>
      <c r="U1050" s="172" t="str">
        <f>IFERROR(__xludf.DUMMYFUNCTION("""COMPUTED_VALUE"""),"")</f>
        <v/>
      </c>
      <c r="V1050" s="173" t="str">
        <f>IFERROR(__xludf.DUMMYFUNCTION("""COMPUTED_VALUE"""),"Smooth Quartz Stairs")</f>
        <v>Smooth Quartz Stairs</v>
      </c>
      <c r="W1050" s="174"/>
    </row>
    <row r="1051">
      <c r="B1051" s="175"/>
      <c r="R1051" s="176"/>
      <c r="U1051" s="172" t="str">
        <f>IFERROR(__xludf.DUMMYFUNCTION("""COMPUTED_VALUE"""),"")</f>
        <v/>
      </c>
      <c r="V1051" s="173" t="str">
        <f>IFERROR(__xludf.DUMMYFUNCTION("""COMPUTED_VALUE"""),"Smooth Red Sandstone")</f>
        <v>Smooth Red Sandstone</v>
      </c>
      <c r="W1051" s="174"/>
    </row>
    <row r="1052">
      <c r="B1052" s="175"/>
      <c r="R1052" s="176"/>
      <c r="U1052" s="172" t="str">
        <f>IFERROR(__xludf.DUMMYFUNCTION("""COMPUTED_VALUE"""),"")</f>
        <v/>
      </c>
      <c r="V1052" s="173" t="str">
        <f>IFERROR(__xludf.DUMMYFUNCTION("""COMPUTED_VALUE"""),"Smooth Red Sandstone Slab")</f>
        <v>Smooth Red Sandstone Slab</v>
      </c>
      <c r="W1052" s="174"/>
    </row>
    <row r="1053">
      <c r="B1053" s="175"/>
      <c r="R1053" s="176"/>
      <c r="U1053" s="172" t="str">
        <f>IFERROR(__xludf.DUMMYFUNCTION("""COMPUTED_VALUE"""),"")</f>
        <v/>
      </c>
      <c r="V1053" s="173" t="str">
        <f>IFERROR(__xludf.DUMMYFUNCTION("""COMPUTED_VALUE"""),"Smooth Red Sandstone Stairs")</f>
        <v>Smooth Red Sandstone Stairs</v>
      </c>
      <c r="W1053" s="174"/>
    </row>
    <row r="1054">
      <c r="B1054" s="175"/>
      <c r="R1054" s="176"/>
      <c r="U1054" s="172" t="str">
        <f>IFERROR(__xludf.DUMMYFUNCTION("""COMPUTED_VALUE"""),"")</f>
        <v/>
      </c>
      <c r="V1054" s="173" t="str">
        <f>IFERROR(__xludf.DUMMYFUNCTION("""COMPUTED_VALUE"""),"Smooth Sandstone")</f>
        <v>Smooth Sandstone</v>
      </c>
      <c r="W1054" s="174"/>
    </row>
    <row r="1055">
      <c r="B1055" s="175"/>
      <c r="R1055" s="176"/>
      <c r="U1055" s="172" t="str">
        <f>IFERROR(__xludf.DUMMYFUNCTION("""COMPUTED_VALUE"""),"")</f>
        <v/>
      </c>
      <c r="V1055" s="173" t="str">
        <f>IFERROR(__xludf.DUMMYFUNCTION("""COMPUTED_VALUE"""),"Smooth Sandstone Slab")</f>
        <v>Smooth Sandstone Slab</v>
      </c>
      <c r="W1055" s="174"/>
    </row>
    <row r="1056">
      <c r="B1056" s="175"/>
      <c r="R1056" s="176"/>
      <c r="U1056" s="172" t="str">
        <f>IFERROR(__xludf.DUMMYFUNCTION("""COMPUTED_VALUE"""),"")</f>
        <v/>
      </c>
      <c r="V1056" s="173" t="str">
        <f>IFERROR(__xludf.DUMMYFUNCTION("""COMPUTED_VALUE"""),"Smooth Sandstone Stairs")</f>
        <v>Smooth Sandstone Stairs</v>
      </c>
      <c r="W1056" s="174"/>
    </row>
    <row r="1057">
      <c r="B1057" s="175"/>
      <c r="R1057" s="176"/>
      <c r="U1057" s="172" t="str">
        <f>IFERROR(__xludf.DUMMYFUNCTION("""COMPUTED_VALUE"""),"")</f>
        <v/>
      </c>
      <c r="V1057" s="173" t="str">
        <f>IFERROR(__xludf.DUMMYFUNCTION("""COMPUTED_VALUE"""),"Smooth Stone")</f>
        <v>Smooth Stone</v>
      </c>
      <c r="W1057" s="174"/>
    </row>
    <row r="1058">
      <c r="B1058" s="175"/>
      <c r="R1058" s="176"/>
      <c r="U1058" s="172" t="str">
        <f>IFERROR(__xludf.DUMMYFUNCTION("""COMPUTED_VALUE"""),"")</f>
        <v/>
      </c>
      <c r="V1058" s="173" t="str">
        <f>IFERROR(__xludf.DUMMYFUNCTION("""COMPUTED_VALUE"""),"Smooth Stone Slab")</f>
        <v>Smooth Stone Slab</v>
      </c>
      <c r="W1058" s="174"/>
    </row>
    <row r="1059">
      <c r="B1059" s="175"/>
      <c r="R1059" s="176"/>
      <c r="U1059" s="172" t="str">
        <f>IFERROR(__xludf.DUMMYFUNCTION("""COMPUTED_VALUE"""),"")</f>
        <v/>
      </c>
      <c r="V1059" s="173" t="str">
        <f>IFERROR(__xludf.DUMMYFUNCTION("""COMPUTED_VALUE"""),"Sniffer Egg")</f>
        <v>Sniffer Egg</v>
      </c>
      <c r="W1059" s="174"/>
    </row>
    <row r="1060">
      <c r="B1060" s="175"/>
      <c r="R1060" s="176"/>
      <c r="U1060" s="172" t="str">
        <f>IFERROR(__xludf.DUMMYFUNCTION("""COMPUTED_VALUE"""),"")</f>
        <v/>
      </c>
      <c r="V1060" s="173" t="str">
        <f>IFERROR(__xludf.DUMMYFUNCTION("""COMPUTED_VALUE"""),"Snort Pottery Sherd")</f>
        <v>Snort Pottery Sherd</v>
      </c>
      <c r="W1060" s="174"/>
    </row>
    <row r="1061">
      <c r="B1061" s="175"/>
      <c r="R1061" s="176"/>
      <c r="U1061" s="172" t="str">
        <f>IFERROR(__xludf.DUMMYFUNCTION("""COMPUTED_VALUE"""),"")</f>
        <v/>
      </c>
      <c r="V1061" s="173" t="str">
        <f>IFERROR(__xludf.DUMMYFUNCTION("""COMPUTED_VALUE"""),"Snout Armor Trim")</f>
        <v>Snout Armor Trim</v>
      </c>
      <c r="W1061" s="174"/>
    </row>
    <row r="1062">
      <c r="B1062" s="175"/>
      <c r="R1062" s="176"/>
      <c r="U1062" s="172" t="str">
        <f>IFERROR(__xludf.DUMMYFUNCTION("""COMPUTED_VALUE"""),"")</f>
        <v/>
      </c>
      <c r="V1062" s="173" t="str">
        <f>IFERROR(__xludf.DUMMYFUNCTION("""COMPUTED_VALUE"""),"Snow")</f>
        <v>Snow</v>
      </c>
      <c r="W1062" s="174"/>
    </row>
    <row r="1063">
      <c r="B1063" s="175"/>
      <c r="R1063" s="176"/>
      <c r="U1063" s="172" t="str">
        <f>IFERROR(__xludf.DUMMYFUNCTION("""COMPUTED_VALUE"""),"")</f>
        <v/>
      </c>
      <c r="V1063" s="173" t="str">
        <f>IFERROR(__xludf.DUMMYFUNCTION("""COMPUTED_VALUE"""),"Snow Block")</f>
        <v>Snow Block</v>
      </c>
      <c r="W1063" s="174"/>
    </row>
    <row r="1064">
      <c r="B1064" s="175"/>
      <c r="R1064" s="176"/>
      <c r="U1064" s="172" t="str">
        <f>IFERROR(__xludf.DUMMYFUNCTION("""COMPUTED_VALUE"""),"")</f>
        <v/>
      </c>
      <c r="V1064" s="173" t="str">
        <f>IFERROR(__xludf.DUMMYFUNCTION("""COMPUTED_VALUE"""),"Snowball")</f>
        <v>Snowball</v>
      </c>
      <c r="W1064" s="174"/>
    </row>
    <row r="1065">
      <c r="B1065" s="175"/>
      <c r="R1065" s="176"/>
      <c r="U1065" s="172" t="str">
        <f>IFERROR(__xludf.DUMMYFUNCTION("""COMPUTED_VALUE"""),"")</f>
        <v/>
      </c>
      <c r="V1065" s="173" t="str">
        <f>IFERROR(__xludf.DUMMYFUNCTION("""COMPUTED_VALUE"""),"Soul Campfire")</f>
        <v>Soul Campfire</v>
      </c>
      <c r="W1065" s="174"/>
    </row>
    <row r="1066">
      <c r="B1066" s="175"/>
      <c r="R1066" s="176"/>
      <c r="U1066" s="172" t="str">
        <f>IFERROR(__xludf.DUMMYFUNCTION("""COMPUTED_VALUE"""),"")</f>
        <v/>
      </c>
      <c r="V1066" s="173" t="str">
        <f>IFERROR(__xludf.DUMMYFUNCTION("""COMPUTED_VALUE"""),"Soul Lantern")</f>
        <v>Soul Lantern</v>
      </c>
      <c r="W1066" s="174"/>
    </row>
    <row r="1067">
      <c r="B1067" s="175"/>
      <c r="R1067" s="176"/>
      <c r="U1067" s="172" t="str">
        <f>IFERROR(__xludf.DUMMYFUNCTION("""COMPUTED_VALUE"""),"")</f>
        <v/>
      </c>
      <c r="V1067" s="173" t="str">
        <f>IFERROR(__xludf.DUMMYFUNCTION("""COMPUTED_VALUE"""),"Soul Sand")</f>
        <v>Soul Sand</v>
      </c>
      <c r="W1067" s="174"/>
    </row>
    <row r="1068">
      <c r="B1068" s="175"/>
      <c r="R1068" s="176"/>
      <c r="U1068" s="172" t="str">
        <f>IFERROR(__xludf.DUMMYFUNCTION("""COMPUTED_VALUE"""),"")</f>
        <v/>
      </c>
      <c r="V1068" s="173" t="str">
        <f>IFERROR(__xludf.DUMMYFUNCTION("""COMPUTED_VALUE"""),"Soul Soil")</f>
        <v>Soul Soil</v>
      </c>
      <c r="W1068" s="174"/>
    </row>
    <row r="1069">
      <c r="B1069" s="175"/>
      <c r="R1069" s="176"/>
      <c r="U1069" s="172" t="str">
        <f>IFERROR(__xludf.DUMMYFUNCTION("""COMPUTED_VALUE"""),"")</f>
        <v/>
      </c>
      <c r="V1069" s="173" t="str">
        <f>IFERROR(__xludf.DUMMYFUNCTION("""COMPUTED_VALUE"""),"Soul Torch")</f>
        <v>Soul Torch</v>
      </c>
      <c r="W1069" s="174"/>
    </row>
    <row r="1070">
      <c r="B1070" s="175"/>
      <c r="R1070" s="176"/>
      <c r="U1070" s="172" t="str">
        <f>IFERROR(__xludf.DUMMYFUNCTION("""COMPUTED_VALUE"""),"")</f>
        <v/>
      </c>
      <c r="V1070" s="173" t="str">
        <f>IFERROR(__xludf.DUMMYFUNCTION("""COMPUTED_VALUE"""),"Spectral Arrow")</f>
        <v>Spectral Arrow</v>
      </c>
      <c r="W1070" s="174"/>
    </row>
    <row r="1071">
      <c r="B1071" s="175"/>
      <c r="R1071" s="176"/>
      <c r="U1071" s="172" t="str">
        <f>IFERROR(__xludf.DUMMYFUNCTION("""COMPUTED_VALUE"""),"")</f>
        <v/>
      </c>
      <c r="V1071" s="173" t="str">
        <f>IFERROR(__xludf.DUMMYFUNCTION("""COMPUTED_VALUE"""),"Spider Eye")</f>
        <v>Spider Eye</v>
      </c>
      <c r="W1071" s="174"/>
    </row>
    <row r="1072">
      <c r="B1072" s="175"/>
      <c r="R1072" s="176"/>
      <c r="U1072" s="172" t="str">
        <f>IFERROR(__xludf.DUMMYFUNCTION("""COMPUTED_VALUE"""),"")</f>
        <v/>
      </c>
      <c r="V1072" s="173" t="str">
        <f>IFERROR(__xludf.DUMMYFUNCTION("""COMPUTED_VALUE"""),"Spire Armor Trim")</f>
        <v>Spire Armor Trim</v>
      </c>
      <c r="W1072" s="174"/>
    </row>
    <row r="1073">
      <c r="B1073" s="175"/>
      <c r="R1073" s="176"/>
      <c r="U1073" s="172" t="str">
        <f>IFERROR(__xludf.DUMMYFUNCTION("""COMPUTED_VALUE"""),"")</f>
        <v/>
      </c>
      <c r="V1073" s="173" t="str">
        <f>IFERROR(__xludf.DUMMYFUNCTION("""COMPUTED_VALUE"""),"Splash Potion")</f>
        <v>Splash Potion</v>
      </c>
      <c r="W1073" s="174"/>
    </row>
    <row r="1074">
      <c r="B1074" s="175"/>
      <c r="R1074" s="176"/>
      <c r="U1074" s="172" t="str">
        <f>IFERROR(__xludf.DUMMYFUNCTION("""COMPUTED_VALUE"""),"")</f>
        <v/>
      </c>
      <c r="V1074" s="173" t="str">
        <f>IFERROR(__xludf.DUMMYFUNCTION("""COMPUTED_VALUE"""),"Sponge")</f>
        <v>Sponge</v>
      </c>
      <c r="W1074" s="174"/>
    </row>
    <row r="1075">
      <c r="B1075" s="175"/>
      <c r="R1075" s="176"/>
      <c r="U1075" s="172" t="str">
        <f>IFERROR(__xludf.DUMMYFUNCTION("""COMPUTED_VALUE"""),"")</f>
        <v/>
      </c>
      <c r="V1075" s="173" t="str">
        <f>IFERROR(__xludf.DUMMYFUNCTION("""COMPUTED_VALUE"""),"Spore Blossom")</f>
        <v>Spore Blossom</v>
      </c>
      <c r="W1075" s="174"/>
    </row>
    <row r="1076">
      <c r="B1076" s="175"/>
      <c r="R1076" s="176"/>
      <c r="U1076" s="172" t="str">
        <f>IFERROR(__xludf.DUMMYFUNCTION("""COMPUTED_VALUE"""),"")</f>
        <v/>
      </c>
      <c r="V1076" s="173" t="str">
        <f>IFERROR(__xludf.DUMMYFUNCTION("""COMPUTED_VALUE"""),"Spruce Boat")</f>
        <v>Spruce Boat</v>
      </c>
      <c r="W1076" s="174"/>
    </row>
    <row r="1077">
      <c r="B1077" s="175"/>
      <c r="R1077" s="176"/>
      <c r="U1077" s="172" t="str">
        <f>IFERROR(__xludf.DUMMYFUNCTION("""COMPUTED_VALUE"""),"")</f>
        <v/>
      </c>
      <c r="V1077" s="173" t="str">
        <f>IFERROR(__xludf.DUMMYFUNCTION("""COMPUTED_VALUE"""),"Spruce Button")</f>
        <v>Spruce Button</v>
      </c>
      <c r="W1077" s="174"/>
    </row>
    <row r="1078">
      <c r="B1078" s="175"/>
      <c r="R1078" s="176"/>
      <c r="U1078" s="172" t="str">
        <f>IFERROR(__xludf.DUMMYFUNCTION("""COMPUTED_VALUE"""),"")</f>
        <v/>
      </c>
      <c r="V1078" s="173" t="str">
        <f>IFERROR(__xludf.DUMMYFUNCTION("""COMPUTED_VALUE"""),"Spruce Chest Boat")</f>
        <v>Spruce Chest Boat</v>
      </c>
      <c r="W1078" s="174"/>
    </row>
    <row r="1079">
      <c r="B1079" s="175"/>
      <c r="R1079" s="176"/>
      <c r="U1079" s="172" t="str">
        <f>IFERROR(__xludf.DUMMYFUNCTION("""COMPUTED_VALUE"""),"")</f>
        <v/>
      </c>
      <c r="V1079" s="173" t="str">
        <f>IFERROR(__xludf.DUMMYFUNCTION("""COMPUTED_VALUE"""),"Spruce Door")</f>
        <v>Spruce Door</v>
      </c>
      <c r="W1079" s="174"/>
    </row>
    <row r="1080">
      <c r="B1080" s="175"/>
      <c r="R1080" s="176"/>
      <c r="U1080" s="172" t="str">
        <f>IFERROR(__xludf.DUMMYFUNCTION("""COMPUTED_VALUE"""),"")</f>
        <v/>
      </c>
      <c r="V1080" s="173" t="str">
        <f>IFERROR(__xludf.DUMMYFUNCTION("""COMPUTED_VALUE"""),"Spruce Fence")</f>
        <v>Spruce Fence</v>
      </c>
      <c r="W1080" s="174"/>
    </row>
    <row r="1081">
      <c r="B1081" s="175"/>
      <c r="R1081" s="176"/>
      <c r="U1081" s="172" t="str">
        <f>IFERROR(__xludf.DUMMYFUNCTION("""COMPUTED_VALUE"""),"")</f>
        <v/>
      </c>
      <c r="V1081" s="173" t="str">
        <f>IFERROR(__xludf.DUMMYFUNCTION("""COMPUTED_VALUE"""),"Spruce Fence Gate")</f>
        <v>Spruce Fence Gate</v>
      </c>
      <c r="W1081" s="174"/>
    </row>
    <row r="1082">
      <c r="B1082" s="175"/>
      <c r="R1082" s="176"/>
      <c r="U1082" s="172" t="str">
        <f>IFERROR(__xludf.DUMMYFUNCTION("""COMPUTED_VALUE"""),"")</f>
        <v/>
      </c>
      <c r="V1082" s="173" t="str">
        <f>IFERROR(__xludf.DUMMYFUNCTION("""COMPUTED_VALUE"""),"Spruce Hanging Sign")</f>
        <v>Spruce Hanging Sign</v>
      </c>
      <c r="W1082" s="174"/>
    </row>
    <row r="1083">
      <c r="B1083" s="175"/>
      <c r="R1083" s="176"/>
      <c r="U1083" s="172" t="str">
        <f>IFERROR(__xludf.DUMMYFUNCTION("""COMPUTED_VALUE"""),"")</f>
        <v/>
      </c>
      <c r="V1083" s="173" t="str">
        <f>IFERROR(__xludf.DUMMYFUNCTION("""COMPUTED_VALUE"""),"Spruce Leaves")</f>
        <v>Spruce Leaves</v>
      </c>
      <c r="W1083" s="174"/>
    </row>
    <row r="1084">
      <c r="B1084" s="175"/>
      <c r="R1084" s="176"/>
      <c r="U1084" s="172" t="str">
        <f>IFERROR(__xludf.DUMMYFUNCTION("""COMPUTED_VALUE"""),"")</f>
        <v/>
      </c>
      <c r="V1084" s="173" t="str">
        <f>IFERROR(__xludf.DUMMYFUNCTION("""COMPUTED_VALUE"""),"Spruce Log")</f>
        <v>Spruce Log</v>
      </c>
      <c r="W1084" s="174"/>
    </row>
    <row r="1085">
      <c r="B1085" s="175"/>
      <c r="R1085" s="176"/>
      <c r="U1085" s="172" t="str">
        <f>IFERROR(__xludf.DUMMYFUNCTION("""COMPUTED_VALUE"""),"")</f>
        <v/>
      </c>
      <c r="V1085" s="173" t="str">
        <f>IFERROR(__xludf.DUMMYFUNCTION("""COMPUTED_VALUE"""),"Spruce Planks")</f>
        <v>Spruce Planks</v>
      </c>
      <c r="W1085" s="174"/>
    </row>
    <row r="1086">
      <c r="B1086" s="175"/>
      <c r="R1086" s="176"/>
      <c r="U1086" s="172" t="str">
        <f>IFERROR(__xludf.DUMMYFUNCTION("""COMPUTED_VALUE"""),"")</f>
        <v/>
      </c>
      <c r="V1086" s="173" t="str">
        <f>IFERROR(__xludf.DUMMYFUNCTION("""COMPUTED_VALUE"""),"Spruce Pressure Plate")</f>
        <v>Spruce Pressure Plate</v>
      </c>
      <c r="W1086" s="174"/>
    </row>
    <row r="1087">
      <c r="B1087" s="175"/>
      <c r="R1087" s="176"/>
      <c r="U1087" s="172" t="str">
        <f>IFERROR(__xludf.DUMMYFUNCTION("""COMPUTED_VALUE"""),"")</f>
        <v/>
      </c>
      <c r="V1087" s="173" t="str">
        <f>IFERROR(__xludf.DUMMYFUNCTION("""COMPUTED_VALUE"""),"Spruce Sapling")</f>
        <v>Spruce Sapling</v>
      </c>
      <c r="W1087" s="174"/>
    </row>
    <row r="1088">
      <c r="B1088" s="175"/>
      <c r="R1088" s="176"/>
      <c r="U1088" s="172" t="str">
        <f>IFERROR(__xludf.DUMMYFUNCTION("""COMPUTED_VALUE"""),"")</f>
        <v/>
      </c>
      <c r="V1088" s="173" t="str">
        <f>IFERROR(__xludf.DUMMYFUNCTION("""COMPUTED_VALUE"""),"Spruce Sign")</f>
        <v>Spruce Sign</v>
      </c>
      <c r="W1088" s="174"/>
    </row>
    <row r="1089">
      <c r="B1089" s="175"/>
      <c r="R1089" s="176"/>
      <c r="U1089" s="172" t="str">
        <f>IFERROR(__xludf.DUMMYFUNCTION("""COMPUTED_VALUE"""),"")</f>
        <v/>
      </c>
      <c r="V1089" s="173" t="str">
        <f>IFERROR(__xludf.DUMMYFUNCTION("""COMPUTED_VALUE"""),"Spruce Slab")</f>
        <v>Spruce Slab</v>
      </c>
      <c r="W1089" s="174"/>
    </row>
    <row r="1090">
      <c r="B1090" s="175"/>
      <c r="R1090" s="176"/>
      <c r="U1090" s="172" t="str">
        <f>IFERROR(__xludf.DUMMYFUNCTION("""COMPUTED_VALUE"""),"")</f>
        <v/>
      </c>
      <c r="V1090" s="173" t="str">
        <f>IFERROR(__xludf.DUMMYFUNCTION("""COMPUTED_VALUE"""),"Spruce Stairs")</f>
        <v>Spruce Stairs</v>
      </c>
      <c r="W1090" s="174"/>
    </row>
    <row r="1091">
      <c r="B1091" s="175"/>
      <c r="R1091" s="176"/>
      <c r="U1091" s="172" t="str">
        <f>IFERROR(__xludf.DUMMYFUNCTION("""COMPUTED_VALUE"""),"")</f>
        <v/>
      </c>
      <c r="V1091" s="173" t="str">
        <f>IFERROR(__xludf.DUMMYFUNCTION("""COMPUTED_VALUE"""),"Spruce Trapdoor")</f>
        <v>Spruce Trapdoor</v>
      </c>
      <c r="W1091" s="174"/>
    </row>
    <row r="1092">
      <c r="B1092" s="175"/>
      <c r="R1092" s="176"/>
      <c r="U1092" s="172" t="str">
        <f>IFERROR(__xludf.DUMMYFUNCTION("""COMPUTED_VALUE"""),"")</f>
        <v/>
      </c>
      <c r="V1092" s="173" t="str">
        <f>IFERROR(__xludf.DUMMYFUNCTION("""COMPUTED_VALUE"""),"Spruce Wood")</f>
        <v>Spruce Wood</v>
      </c>
      <c r="W1092" s="174"/>
    </row>
    <row r="1093">
      <c r="B1093" s="175"/>
      <c r="R1093" s="176"/>
      <c r="U1093" s="172" t="str">
        <f>IFERROR(__xludf.DUMMYFUNCTION("""COMPUTED_VALUE"""),"")</f>
        <v/>
      </c>
      <c r="V1093" s="173" t="str">
        <f>IFERROR(__xludf.DUMMYFUNCTION("""COMPUTED_VALUE"""),"Spyglass")</f>
        <v>Spyglass</v>
      </c>
      <c r="W1093" s="174"/>
    </row>
    <row r="1094">
      <c r="B1094" s="175"/>
      <c r="R1094" s="176"/>
      <c r="U1094" s="172" t="str">
        <f>IFERROR(__xludf.DUMMYFUNCTION("""COMPUTED_VALUE"""),"")</f>
        <v/>
      </c>
      <c r="V1094" s="173" t="str">
        <f>IFERROR(__xludf.DUMMYFUNCTION("""COMPUTED_VALUE"""),"Stick")</f>
        <v>Stick</v>
      </c>
      <c r="W1094" s="174"/>
    </row>
    <row r="1095">
      <c r="B1095" s="175"/>
      <c r="R1095" s="176"/>
      <c r="U1095" s="172" t="str">
        <f>IFERROR(__xludf.DUMMYFUNCTION("""COMPUTED_VALUE"""),"")</f>
        <v/>
      </c>
      <c r="V1095" s="173" t="str">
        <f>IFERROR(__xludf.DUMMYFUNCTION("""COMPUTED_VALUE"""),"Sticky Piston")</f>
        <v>Sticky Piston</v>
      </c>
      <c r="W1095" s="174"/>
    </row>
    <row r="1096">
      <c r="B1096" s="175"/>
      <c r="R1096" s="176"/>
      <c r="U1096" s="172" t="str">
        <f>IFERROR(__xludf.DUMMYFUNCTION("""COMPUTED_VALUE"""),"")</f>
        <v/>
      </c>
      <c r="V1096" s="173" t="str">
        <f>IFERROR(__xludf.DUMMYFUNCTION("""COMPUTED_VALUE"""),"Stone")</f>
        <v>Stone</v>
      </c>
      <c r="W1096" s="174"/>
    </row>
    <row r="1097">
      <c r="B1097" s="175"/>
      <c r="R1097" s="176"/>
      <c r="U1097" s="172" t="str">
        <f>IFERROR(__xludf.DUMMYFUNCTION("""COMPUTED_VALUE"""),"")</f>
        <v/>
      </c>
      <c r="V1097" s="173" t="str">
        <f>IFERROR(__xludf.DUMMYFUNCTION("""COMPUTED_VALUE"""),"Stone Axe")</f>
        <v>Stone Axe</v>
      </c>
      <c r="W1097" s="174"/>
    </row>
    <row r="1098">
      <c r="B1098" s="175"/>
      <c r="R1098" s="176"/>
      <c r="U1098" s="172" t="str">
        <f>IFERROR(__xludf.DUMMYFUNCTION("""COMPUTED_VALUE"""),"")</f>
        <v/>
      </c>
      <c r="V1098" s="173" t="str">
        <f>IFERROR(__xludf.DUMMYFUNCTION("""COMPUTED_VALUE"""),"Stone Brick Slab")</f>
        <v>Stone Brick Slab</v>
      </c>
      <c r="W1098" s="174"/>
    </row>
    <row r="1099">
      <c r="B1099" s="175"/>
      <c r="R1099" s="176"/>
      <c r="U1099" s="172" t="str">
        <f>IFERROR(__xludf.DUMMYFUNCTION("""COMPUTED_VALUE"""),"")</f>
        <v/>
      </c>
      <c r="V1099" s="173" t="str">
        <f>IFERROR(__xludf.DUMMYFUNCTION("""COMPUTED_VALUE"""),"Stone Brick Stairs")</f>
        <v>Stone Brick Stairs</v>
      </c>
      <c r="W1099" s="174"/>
    </row>
    <row r="1100">
      <c r="B1100" s="175"/>
      <c r="R1100" s="176"/>
      <c r="U1100" s="172" t="str">
        <f>IFERROR(__xludf.DUMMYFUNCTION("""COMPUTED_VALUE"""),"")</f>
        <v/>
      </c>
      <c r="V1100" s="173" t="str">
        <f>IFERROR(__xludf.DUMMYFUNCTION("""COMPUTED_VALUE"""),"Stone Brick Wall")</f>
        <v>Stone Brick Wall</v>
      </c>
      <c r="W1100" s="174"/>
    </row>
    <row r="1101">
      <c r="B1101" s="175"/>
      <c r="R1101" s="176"/>
      <c r="U1101" s="172" t="str">
        <f>IFERROR(__xludf.DUMMYFUNCTION("""COMPUTED_VALUE"""),"")</f>
        <v/>
      </c>
      <c r="V1101" s="173" t="str">
        <f>IFERROR(__xludf.DUMMYFUNCTION("""COMPUTED_VALUE"""),"Stone Bricks")</f>
        <v>Stone Bricks</v>
      </c>
      <c r="W1101" s="174"/>
    </row>
    <row r="1102">
      <c r="B1102" s="175"/>
      <c r="R1102" s="176"/>
      <c r="U1102" s="172" t="str">
        <f>IFERROR(__xludf.DUMMYFUNCTION("""COMPUTED_VALUE"""),"")</f>
        <v/>
      </c>
      <c r="V1102" s="173" t="str">
        <f>IFERROR(__xludf.DUMMYFUNCTION("""COMPUTED_VALUE"""),"Stone Button")</f>
        <v>Stone Button</v>
      </c>
      <c r="W1102" s="174"/>
    </row>
    <row r="1103">
      <c r="B1103" s="175"/>
      <c r="R1103" s="176"/>
      <c r="U1103" s="172" t="str">
        <f>IFERROR(__xludf.DUMMYFUNCTION("""COMPUTED_VALUE"""),"")</f>
        <v/>
      </c>
      <c r="V1103" s="173" t="str">
        <f>IFERROR(__xludf.DUMMYFUNCTION("""COMPUTED_VALUE"""),"Stone Hoe")</f>
        <v>Stone Hoe</v>
      </c>
      <c r="W1103" s="174"/>
    </row>
    <row r="1104">
      <c r="B1104" s="175"/>
      <c r="R1104" s="176"/>
      <c r="U1104" s="172" t="str">
        <f>IFERROR(__xludf.DUMMYFUNCTION("""COMPUTED_VALUE"""),"")</f>
        <v/>
      </c>
      <c r="V1104" s="173" t="str">
        <f>IFERROR(__xludf.DUMMYFUNCTION("""COMPUTED_VALUE"""),"Stone Pickaxe")</f>
        <v>Stone Pickaxe</v>
      </c>
      <c r="W1104" s="174"/>
    </row>
    <row r="1105">
      <c r="B1105" s="175"/>
      <c r="R1105" s="176"/>
      <c r="U1105" s="172" t="str">
        <f>IFERROR(__xludf.DUMMYFUNCTION("""COMPUTED_VALUE"""),"")</f>
        <v/>
      </c>
      <c r="V1105" s="173" t="str">
        <f>IFERROR(__xludf.DUMMYFUNCTION("""COMPUTED_VALUE"""),"Stone Pressure Plate")</f>
        <v>Stone Pressure Plate</v>
      </c>
      <c r="W1105" s="174"/>
    </row>
    <row r="1106">
      <c r="B1106" s="175"/>
      <c r="R1106" s="176"/>
      <c r="U1106" s="172" t="str">
        <f>IFERROR(__xludf.DUMMYFUNCTION("""COMPUTED_VALUE"""),"")</f>
        <v/>
      </c>
      <c r="V1106" s="173" t="str">
        <f>IFERROR(__xludf.DUMMYFUNCTION("""COMPUTED_VALUE"""),"Stone Shovel")</f>
        <v>Stone Shovel</v>
      </c>
      <c r="W1106" s="174"/>
    </row>
    <row r="1107">
      <c r="B1107" s="175"/>
      <c r="R1107" s="176"/>
      <c r="U1107" s="172" t="str">
        <f>IFERROR(__xludf.DUMMYFUNCTION("""COMPUTED_VALUE"""),"")</f>
        <v/>
      </c>
      <c r="V1107" s="173" t="str">
        <f>IFERROR(__xludf.DUMMYFUNCTION("""COMPUTED_VALUE"""),"Stone Slab")</f>
        <v>Stone Slab</v>
      </c>
      <c r="W1107" s="174"/>
    </row>
    <row r="1108">
      <c r="B1108" s="175"/>
      <c r="R1108" s="176"/>
      <c r="U1108" s="172" t="str">
        <f>IFERROR(__xludf.DUMMYFUNCTION("""COMPUTED_VALUE"""),"")</f>
        <v/>
      </c>
      <c r="V1108" s="173" t="str">
        <f>IFERROR(__xludf.DUMMYFUNCTION("""COMPUTED_VALUE"""),"Stone Stairs")</f>
        <v>Stone Stairs</v>
      </c>
      <c r="W1108" s="174"/>
    </row>
    <row r="1109">
      <c r="B1109" s="175"/>
      <c r="R1109" s="176"/>
      <c r="U1109" s="172" t="str">
        <f>IFERROR(__xludf.DUMMYFUNCTION("""COMPUTED_VALUE"""),"")</f>
        <v/>
      </c>
      <c r="V1109" s="173" t="str">
        <f>IFERROR(__xludf.DUMMYFUNCTION("""COMPUTED_VALUE"""),"Stone Sword")</f>
        <v>Stone Sword</v>
      </c>
      <c r="W1109" s="174"/>
    </row>
    <row r="1110">
      <c r="B1110" s="175"/>
      <c r="R1110" s="176"/>
      <c r="U1110" s="172" t="str">
        <f>IFERROR(__xludf.DUMMYFUNCTION("""COMPUTED_VALUE"""),"")</f>
        <v/>
      </c>
      <c r="V1110" s="173" t="str">
        <f>IFERROR(__xludf.DUMMYFUNCTION("""COMPUTED_VALUE"""),"Stonecutter")</f>
        <v>Stonecutter</v>
      </c>
      <c r="W1110" s="174"/>
    </row>
    <row r="1111">
      <c r="B1111" s="175"/>
      <c r="R1111" s="176"/>
      <c r="U1111" s="172" t="str">
        <f>IFERROR(__xludf.DUMMYFUNCTION("""COMPUTED_VALUE"""),"")</f>
        <v/>
      </c>
      <c r="V1111" s="173" t="str">
        <f>IFERROR(__xludf.DUMMYFUNCTION("""COMPUTED_VALUE"""),"String")</f>
        <v>String</v>
      </c>
      <c r="W1111" s="174"/>
    </row>
    <row r="1112">
      <c r="B1112" s="175"/>
      <c r="R1112" s="176"/>
      <c r="U1112" s="172" t="str">
        <f>IFERROR(__xludf.DUMMYFUNCTION("""COMPUTED_VALUE"""),"")</f>
        <v/>
      </c>
      <c r="V1112" s="173" t="str">
        <f>IFERROR(__xludf.DUMMYFUNCTION("""COMPUTED_VALUE"""),"Stripped Acacia Log")</f>
        <v>Stripped Acacia Log</v>
      </c>
      <c r="W1112" s="174"/>
    </row>
    <row r="1113">
      <c r="B1113" s="175"/>
      <c r="R1113" s="176"/>
      <c r="U1113" s="172" t="str">
        <f>IFERROR(__xludf.DUMMYFUNCTION("""COMPUTED_VALUE"""),"")</f>
        <v/>
      </c>
      <c r="V1113" s="173" t="str">
        <f>IFERROR(__xludf.DUMMYFUNCTION("""COMPUTED_VALUE"""),"Stripped Acacia Wood")</f>
        <v>Stripped Acacia Wood</v>
      </c>
      <c r="W1113" s="174"/>
    </row>
    <row r="1114">
      <c r="B1114" s="175"/>
      <c r="R1114" s="176"/>
      <c r="U1114" s="172" t="str">
        <f>IFERROR(__xludf.DUMMYFUNCTION("""COMPUTED_VALUE"""),"")</f>
        <v/>
      </c>
      <c r="V1114" s="173" t="str">
        <f>IFERROR(__xludf.DUMMYFUNCTION("""COMPUTED_VALUE"""),"Stripped Bamboo Block")</f>
        <v>Stripped Bamboo Block</v>
      </c>
      <c r="W1114" s="174"/>
    </row>
    <row r="1115">
      <c r="B1115" s="175"/>
      <c r="R1115" s="176"/>
      <c r="U1115" s="172" t="str">
        <f>IFERROR(__xludf.DUMMYFUNCTION("""COMPUTED_VALUE"""),"")</f>
        <v/>
      </c>
      <c r="V1115" s="173" t="str">
        <f>IFERROR(__xludf.DUMMYFUNCTION("""COMPUTED_VALUE"""),"Stripped Birch Log")</f>
        <v>Stripped Birch Log</v>
      </c>
      <c r="W1115" s="174"/>
    </row>
    <row r="1116">
      <c r="B1116" s="175"/>
      <c r="R1116" s="176"/>
      <c r="U1116" s="172" t="str">
        <f>IFERROR(__xludf.DUMMYFUNCTION("""COMPUTED_VALUE"""),"")</f>
        <v/>
      </c>
      <c r="V1116" s="173" t="str">
        <f>IFERROR(__xludf.DUMMYFUNCTION("""COMPUTED_VALUE"""),"Stripped Birch Wood")</f>
        <v>Stripped Birch Wood</v>
      </c>
      <c r="W1116" s="174"/>
    </row>
    <row r="1117">
      <c r="B1117" s="175"/>
      <c r="R1117" s="176"/>
      <c r="U1117" s="172" t="str">
        <f>IFERROR(__xludf.DUMMYFUNCTION("""COMPUTED_VALUE"""),"")</f>
        <v/>
      </c>
      <c r="V1117" s="173" t="str">
        <f>IFERROR(__xludf.DUMMYFUNCTION("""COMPUTED_VALUE"""),"Stripped Cherry Log")</f>
        <v>Stripped Cherry Log</v>
      </c>
      <c r="W1117" s="174"/>
    </row>
    <row r="1118">
      <c r="B1118" s="175"/>
      <c r="R1118" s="176"/>
      <c r="U1118" s="172" t="str">
        <f>IFERROR(__xludf.DUMMYFUNCTION("""COMPUTED_VALUE"""),"")</f>
        <v/>
      </c>
      <c r="V1118" s="173" t="str">
        <f>IFERROR(__xludf.DUMMYFUNCTION("""COMPUTED_VALUE"""),"Stripped Cherry Wood")</f>
        <v>Stripped Cherry Wood</v>
      </c>
      <c r="W1118" s="174"/>
    </row>
    <row r="1119">
      <c r="B1119" s="175"/>
      <c r="R1119" s="176"/>
      <c r="U1119" s="172" t="str">
        <f>IFERROR(__xludf.DUMMYFUNCTION("""COMPUTED_VALUE"""),"")</f>
        <v/>
      </c>
      <c r="V1119" s="173" t="str">
        <f>IFERROR(__xludf.DUMMYFUNCTION("""COMPUTED_VALUE"""),"Stripped Crimson Hyphae")</f>
        <v>Stripped Crimson Hyphae</v>
      </c>
      <c r="W1119" s="174"/>
    </row>
    <row r="1120">
      <c r="B1120" s="175"/>
      <c r="R1120" s="176"/>
      <c r="U1120" s="172" t="str">
        <f>IFERROR(__xludf.DUMMYFUNCTION("""COMPUTED_VALUE"""),"")</f>
        <v/>
      </c>
      <c r="V1120" s="173" t="str">
        <f>IFERROR(__xludf.DUMMYFUNCTION("""COMPUTED_VALUE"""),"Stripped Crimson Stem")</f>
        <v>Stripped Crimson Stem</v>
      </c>
      <c r="W1120" s="174"/>
    </row>
    <row r="1121">
      <c r="B1121" s="175"/>
      <c r="R1121" s="176"/>
      <c r="U1121" s="172" t="str">
        <f>IFERROR(__xludf.DUMMYFUNCTION("""COMPUTED_VALUE"""),"")</f>
        <v/>
      </c>
      <c r="V1121" s="173" t="str">
        <f>IFERROR(__xludf.DUMMYFUNCTION("""COMPUTED_VALUE"""),"Stripped Dark Oak Log")</f>
        <v>Stripped Dark Oak Log</v>
      </c>
      <c r="W1121" s="174"/>
    </row>
    <row r="1122">
      <c r="B1122" s="175"/>
      <c r="R1122" s="176"/>
      <c r="U1122" s="172" t="str">
        <f>IFERROR(__xludf.DUMMYFUNCTION("""COMPUTED_VALUE"""),"")</f>
        <v/>
      </c>
      <c r="V1122" s="173" t="str">
        <f>IFERROR(__xludf.DUMMYFUNCTION("""COMPUTED_VALUE"""),"Stripped Dark Oak Wood")</f>
        <v>Stripped Dark Oak Wood</v>
      </c>
      <c r="W1122" s="174"/>
    </row>
    <row r="1123">
      <c r="B1123" s="175"/>
      <c r="R1123" s="176"/>
      <c r="U1123" s="172" t="str">
        <f>IFERROR(__xludf.DUMMYFUNCTION("""COMPUTED_VALUE"""),"")</f>
        <v/>
      </c>
      <c r="V1123" s="173" t="str">
        <f>IFERROR(__xludf.DUMMYFUNCTION("""COMPUTED_VALUE"""),"Stripped Jungle Log")</f>
        <v>Stripped Jungle Log</v>
      </c>
      <c r="W1123" s="174"/>
    </row>
    <row r="1124">
      <c r="B1124" s="175"/>
      <c r="R1124" s="176"/>
      <c r="U1124" s="172" t="str">
        <f>IFERROR(__xludf.DUMMYFUNCTION("""COMPUTED_VALUE"""),"")</f>
        <v/>
      </c>
      <c r="V1124" s="173" t="str">
        <f>IFERROR(__xludf.DUMMYFUNCTION("""COMPUTED_VALUE"""),"Stripped Jungle Wood")</f>
        <v>Stripped Jungle Wood</v>
      </c>
      <c r="W1124" s="174"/>
    </row>
    <row r="1125">
      <c r="B1125" s="175"/>
      <c r="R1125" s="176"/>
      <c r="U1125" s="172" t="str">
        <f>IFERROR(__xludf.DUMMYFUNCTION("""COMPUTED_VALUE"""),"")</f>
        <v/>
      </c>
      <c r="V1125" s="173" t="str">
        <f>IFERROR(__xludf.DUMMYFUNCTION("""COMPUTED_VALUE"""),"Stripped Mangrove Log")</f>
        <v>Stripped Mangrove Log</v>
      </c>
      <c r="W1125" s="174"/>
    </row>
    <row r="1126">
      <c r="B1126" s="175"/>
      <c r="R1126" s="176"/>
      <c r="U1126" s="172" t="str">
        <f>IFERROR(__xludf.DUMMYFUNCTION("""COMPUTED_VALUE"""),"")</f>
        <v/>
      </c>
      <c r="V1126" s="173" t="str">
        <f>IFERROR(__xludf.DUMMYFUNCTION("""COMPUTED_VALUE"""),"Stripped Mangrove Wood")</f>
        <v>Stripped Mangrove Wood</v>
      </c>
      <c r="W1126" s="174"/>
    </row>
    <row r="1127">
      <c r="B1127" s="175"/>
      <c r="R1127" s="176"/>
      <c r="U1127" s="172" t="str">
        <f>IFERROR(__xludf.DUMMYFUNCTION("""COMPUTED_VALUE"""),"")</f>
        <v/>
      </c>
      <c r="V1127" s="173" t="str">
        <f>IFERROR(__xludf.DUMMYFUNCTION("""COMPUTED_VALUE"""),"Stripped Oak Log")</f>
        <v>Stripped Oak Log</v>
      </c>
      <c r="W1127" s="174"/>
    </row>
    <row r="1128">
      <c r="B1128" s="175"/>
      <c r="R1128" s="176"/>
      <c r="U1128" s="172" t="str">
        <f>IFERROR(__xludf.DUMMYFUNCTION("""COMPUTED_VALUE"""),"")</f>
        <v/>
      </c>
      <c r="V1128" s="173" t="str">
        <f>IFERROR(__xludf.DUMMYFUNCTION("""COMPUTED_VALUE"""),"Stripped Oak Wood")</f>
        <v>Stripped Oak Wood</v>
      </c>
      <c r="W1128" s="174"/>
    </row>
    <row r="1129">
      <c r="B1129" s="175"/>
      <c r="R1129" s="176"/>
      <c r="U1129" s="172" t="str">
        <f>IFERROR(__xludf.DUMMYFUNCTION("""COMPUTED_VALUE"""),"")</f>
        <v/>
      </c>
      <c r="V1129" s="173" t="str">
        <f>IFERROR(__xludf.DUMMYFUNCTION("""COMPUTED_VALUE"""),"Stripped Spruce Log")</f>
        <v>Stripped Spruce Log</v>
      </c>
      <c r="W1129" s="174"/>
    </row>
    <row r="1130">
      <c r="B1130" s="175"/>
      <c r="R1130" s="176"/>
      <c r="U1130" s="172" t="str">
        <f>IFERROR(__xludf.DUMMYFUNCTION("""COMPUTED_VALUE"""),"")</f>
        <v/>
      </c>
      <c r="V1130" s="173" t="str">
        <f>IFERROR(__xludf.DUMMYFUNCTION("""COMPUTED_VALUE"""),"Stripped Spruce Wood")</f>
        <v>Stripped Spruce Wood</v>
      </c>
      <c r="W1130" s="174"/>
    </row>
    <row r="1131">
      <c r="B1131" s="175"/>
      <c r="R1131" s="176"/>
      <c r="U1131" s="172" t="str">
        <f>IFERROR(__xludf.DUMMYFUNCTION("""COMPUTED_VALUE"""),"")</f>
        <v/>
      </c>
      <c r="V1131" s="173" t="str">
        <f>IFERROR(__xludf.DUMMYFUNCTION("""COMPUTED_VALUE"""),"Stripped Warped Hyphae")</f>
        <v>Stripped Warped Hyphae</v>
      </c>
      <c r="W1131" s="174"/>
    </row>
    <row r="1132">
      <c r="B1132" s="175"/>
      <c r="R1132" s="176"/>
      <c r="U1132" s="172" t="str">
        <f>IFERROR(__xludf.DUMMYFUNCTION("""COMPUTED_VALUE"""),"")</f>
        <v/>
      </c>
      <c r="V1132" s="173" t="str">
        <f>IFERROR(__xludf.DUMMYFUNCTION("""COMPUTED_VALUE"""),"Stripped Warped Stem")</f>
        <v>Stripped Warped Stem</v>
      </c>
      <c r="W1132" s="174"/>
    </row>
    <row r="1133">
      <c r="B1133" s="175"/>
      <c r="R1133" s="176"/>
      <c r="U1133" s="172" t="str">
        <f>IFERROR(__xludf.DUMMYFUNCTION("""COMPUTED_VALUE"""),"")</f>
        <v/>
      </c>
      <c r="V1133" s="173" t="str">
        <f>IFERROR(__xludf.DUMMYFUNCTION("""COMPUTED_VALUE"""),"Sugar")</f>
        <v>Sugar</v>
      </c>
      <c r="W1133" s="174"/>
    </row>
    <row r="1134">
      <c r="B1134" s="175"/>
      <c r="R1134" s="176"/>
      <c r="U1134" s="172" t="str">
        <f>IFERROR(__xludf.DUMMYFUNCTION("""COMPUTED_VALUE"""),"")</f>
        <v/>
      </c>
      <c r="V1134" s="173" t="str">
        <f>IFERROR(__xludf.DUMMYFUNCTION("""COMPUTED_VALUE"""),"Sugar Cane")</f>
        <v>Sugar Cane</v>
      </c>
      <c r="W1134" s="174"/>
    </row>
    <row r="1135">
      <c r="B1135" s="175"/>
      <c r="R1135" s="176"/>
      <c r="U1135" s="172" t="str">
        <f>IFERROR(__xludf.DUMMYFUNCTION("""COMPUTED_VALUE"""),"")</f>
        <v/>
      </c>
      <c r="V1135" s="173" t="str">
        <f>IFERROR(__xludf.DUMMYFUNCTION("""COMPUTED_VALUE"""),"Sunflower")</f>
        <v>Sunflower</v>
      </c>
      <c r="W1135" s="174"/>
    </row>
    <row r="1136">
      <c r="B1136" s="175"/>
      <c r="R1136" s="176"/>
      <c r="U1136" s="172" t="str">
        <f>IFERROR(__xludf.DUMMYFUNCTION("""COMPUTED_VALUE"""),"")</f>
        <v/>
      </c>
      <c r="V1136" s="173" t="str">
        <f>IFERROR(__xludf.DUMMYFUNCTION("""COMPUTED_VALUE"""),"Suspicious Gravel")</f>
        <v>Suspicious Gravel</v>
      </c>
      <c r="W1136" s="174"/>
    </row>
    <row r="1137">
      <c r="B1137" s="175"/>
      <c r="R1137" s="176"/>
      <c r="U1137" s="172" t="str">
        <f>IFERROR(__xludf.DUMMYFUNCTION("""COMPUTED_VALUE"""),"")</f>
        <v/>
      </c>
      <c r="V1137" s="173" t="str">
        <f>IFERROR(__xludf.DUMMYFUNCTION("""COMPUTED_VALUE"""),"Suspicious Sand")</f>
        <v>Suspicious Sand</v>
      </c>
      <c r="W1137" s="174"/>
    </row>
    <row r="1138">
      <c r="B1138" s="175"/>
      <c r="R1138" s="176"/>
      <c r="U1138" s="172" t="str">
        <f>IFERROR(__xludf.DUMMYFUNCTION("""COMPUTED_VALUE"""),"")</f>
        <v/>
      </c>
      <c r="V1138" s="173" t="str">
        <f>IFERROR(__xludf.DUMMYFUNCTION("""COMPUTED_VALUE"""),"Suspicious Stew")</f>
        <v>Suspicious Stew</v>
      </c>
      <c r="W1138" s="174"/>
    </row>
    <row r="1139">
      <c r="B1139" s="175"/>
      <c r="R1139" s="176"/>
      <c r="U1139" s="172" t="str">
        <f>IFERROR(__xludf.DUMMYFUNCTION("""COMPUTED_VALUE"""),"")</f>
        <v/>
      </c>
      <c r="V1139" s="173" t="str">
        <f>IFERROR(__xludf.DUMMYFUNCTION("""COMPUTED_VALUE"""),"Sweet Berries")</f>
        <v>Sweet Berries</v>
      </c>
      <c r="W1139" s="174"/>
    </row>
    <row r="1140">
      <c r="B1140" s="175"/>
      <c r="R1140" s="176"/>
      <c r="U1140" s="172" t="str">
        <f>IFERROR(__xludf.DUMMYFUNCTION("""COMPUTED_VALUE"""),"")</f>
        <v/>
      </c>
      <c r="V1140" s="173" t="str">
        <f>IFERROR(__xludf.DUMMYFUNCTION("""COMPUTED_VALUE"""),"Tadpole Bucket")</f>
        <v>Tadpole Bucket</v>
      </c>
      <c r="W1140" s="174"/>
    </row>
    <row r="1141">
      <c r="B1141" s="175"/>
      <c r="R1141" s="176"/>
      <c r="U1141" s="172" t="str">
        <f>IFERROR(__xludf.DUMMYFUNCTION("""COMPUTED_VALUE"""),"")</f>
        <v/>
      </c>
      <c r="V1141" s="173" t="str">
        <f>IFERROR(__xludf.DUMMYFUNCTION("""COMPUTED_VALUE"""),"Tall Grass")</f>
        <v>Tall Grass</v>
      </c>
      <c r="W1141" s="174"/>
    </row>
    <row r="1142">
      <c r="B1142" s="175"/>
      <c r="R1142" s="176"/>
      <c r="U1142" s="172" t="str">
        <f>IFERROR(__xludf.DUMMYFUNCTION("""COMPUTED_VALUE"""),"")</f>
        <v/>
      </c>
      <c r="V1142" s="173" t="str">
        <f>IFERROR(__xludf.DUMMYFUNCTION("""COMPUTED_VALUE"""),"Target")</f>
        <v>Target</v>
      </c>
      <c r="W1142" s="174"/>
    </row>
    <row r="1143">
      <c r="B1143" s="175"/>
      <c r="R1143" s="176"/>
      <c r="U1143" s="172" t="str">
        <f>IFERROR(__xludf.DUMMYFUNCTION("""COMPUTED_VALUE"""),"")</f>
        <v/>
      </c>
      <c r="V1143" s="173" t="str">
        <f>IFERROR(__xludf.DUMMYFUNCTION("""COMPUTED_VALUE"""),"Terracotta")</f>
        <v>Terracotta</v>
      </c>
      <c r="W1143" s="174"/>
    </row>
    <row r="1144">
      <c r="B1144" s="175"/>
      <c r="R1144" s="176"/>
      <c r="U1144" s="172" t="str">
        <f>IFERROR(__xludf.DUMMYFUNCTION("""COMPUTED_VALUE"""),"")</f>
        <v/>
      </c>
      <c r="V1144" s="173" t="str">
        <f>IFERROR(__xludf.DUMMYFUNCTION("""COMPUTED_VALUE"""),"Tide Armor Trim")</f>
        <v>Tide Armor Trim</v>
      </c>
      <c r="W1144" s="174"/>
    </row>
    <row r="1145">
      <c r="B1145" s="175"/>
      <c r="R1145" s="176"/>
      <c r="U1145" s="172" t="str">
        <f>IFERROR(__xludf.DUMMYFUNCTION("""COMPUTED_VALUE"""),"")</f>
        <v/>
      </c>
      <c r="V1145" s="173" t="str">
        <f>IFERROR(__xludf.DUMMYFUNCTION("""COMPUTED_VALUE"""),"Tinted Glass")</f>
        <v>Tinted Glass</v>
      </c>
      <c r="W1145" s="174"/>
    </row>
    <row r="1146">
      <c r="B1146" s="175"/>
      <c r="R1146" s="176"/>
      <c r="U1146" s="172" t="str">
        <f>IFERROR(__xludf.DUMMYFUNCTION("""COMPUTED_VALUE"""),"")</f>
        <v/>
      </c>
      <c r="V1146" s="173" t="str">
        <f>IFERROR(__xludf.DUMMYFUNCTION("""COMPUTED_VALUE"""),"Tipped Arrow")</f>
        <v>Tipped Arrow</v>
      </c>
      <c r="W1146" s="174"/>
    </row>
    <row r="1147">
      <c r="B1147" s="175"/>
      <c r="R1147" s="176"/>
      <c r="U1147" s="172" t="str">
        <f>IFERROR(__xludf.DUMMYFUNCTION("""COMPUTED_VALUE"""),"")</f>
        <v/>
      </c>
      <c r="V1147" s="173" t="str">
        <f>IFERROR(__xludf.DUMMYFUNCTION("""COMPUTED_VALUE"""),"Tnt")</f>
        <v>Tnt</v>
      </c>
      <c r="W1147" s="174"/>
    </row>
    <row r="1148">
      <c r="B1148" s="175"/>
      <c r="R1148" s="176"/>
      <c r="U1148" s="172" t="str">
        <f>IFERROR(__xludf.DUMMYFUNCTION("""COMPUTED_VALUE"""),"")</f>
        <v/>
      </c>
      <c r="V1148" s="173" t="str">
        <f>IFERROR(__xludf.DUMMYFUNCTION("""COMPUTED_VALUE"""),"Tnt Minecart")</f>
        <v>Tnt Minecart</v>
      </c>
      <c r="W1148" s="174"/>
    </row>
    <row r="1149">
      <c r="B1149" s="175"/>
      <c r="R1149" s="176"/>
      <c r="U1149" s="172" t="str">
        <f>IFERROR(__xludf.DUMMYFUNCTION("""COMPUTED_VALUE"""),"")</f>
        <v/>
      </c>
      <c r="V1149" s="173" t="str">
        <f>IFERROR(__xludf.DUMMYFUNCTION("""COMPUTED_VALUE"""),"Torch")</f>
        <v>Torch</v>
      </c>
      <c r="W1149" s="174"/>
    </row>
    <row r="1150">
      <c r="B1150" s="175"/>
      <c r="R1150" s="176"/>
      <c r="U1150" s="172" t="str">
        <f>IFERROR(__xludf.DUMMYFUNCTION("""COMPUTED_VALUE"""),"")</f>
        <v/>
      </c>
      <c r="V1150" s="173" t="str">
        <f>IFERROR(__xludf.DUMMYFUNCTION("""COMPUTED_VALUE"""),"Torchflower")</f>
        <v>Torchflower</v>
      </c>
      <c r="W1150" s="174"/>
    </row>
    <row r="1151">
      <c r="B1151" s="175"/>
      <c r="R1151" s="176"/>
      <c r="U1151" s="172" t="str">
        <f>IFERROR(__xludf.DUMMYFUNCTION("""COMPUTED_VALUE"""),"")</f>
        <v/>
      </c>
      <c r="V1151" s="173" t="str">
        <f>IFERROR(__xludf.DUMMYFUNCTION("""COMPUTED_VALUE"""),"Torchflower Seeds")</f>
        <v>Torchflower Seeds</v>
      </c>
      <c r="W1151" s="174"/>
    </row>
    <row r="1152">
      <c r="B1152" s="175"/>
      <c r="R1152" s="176"/>
      <c r="U1152" s="172" t="str">
        <f>IFERROR(__xludf.DUMMYFUNCTION("""COMPUTED_VALUE"""),"")</f>
        <v/>
      </c>
      <c r="V1152" s="173" t="str">
        <f>IFERROR(__xludf.DUMMYFUNCTION("""COMPUTED_VALUE"""),"Totem Of Undying")</f>
        <v>Totem Of Undying</v>
      </c>
      <c r="W1152" s="174"/>
    </row>
    <row r="1153">
      <c r="B1153" s="175"/>
      <c r="R1153" s="176"/>
      <c r="U1153" s="172" t="str">
        <f>IFERROR(__xludf.DUMMYFUNCTION("""COMPUTED_VALUE"""),"")</f>
        <v/>
      </c>
      <c r="V1153" s="173" t="str">
        <f>IFERROR(__xludf.DUMMYFUNCTION("""COMPUTED_VALUE"""),"Trapped Chest")</f>
        <v>Trapped Chest</v>
      </c>
      <c r="W1153" s="174"/>
    </row>
    <row r="1154">
      <c r="B1154" s="175"/>
      <c r="R1154" s="176"/>
      <c r="U1154" s="172" t="str">
        <f>IFERROR(__xludf.DUMMYFUNCTION("""COMPUTED_VALUE"""),"")</f>
        <v/>
      </c>
      <c r="V1154" s="173" t="str">
        <f>IFERROR(__xludf.DUMMYFUNCTION("""COMPUTED_VALUE"""),"Trial Key")</f>
        <v>Trial Key</v>
      </c>
      <c r="W1154" s="174"/>
    </row>
    <row r="1155">
      <c r="B1155" s="175"/>
      <c r="R1155" s="176"/>
      <c r="U1155" s="172" t="str">
        <f>IFERROR(__xludf.DUMMYFUNCTION("""COMPUTED_VALUE"""),"")</f>
        <v/>
      </c>
      <c r="V1155" s="173" t="str">
        <f>IFERROR(__xludf.DUMMYFUNCTION("""COMPUTED_VALUE"""),"Trident")</f>
        <v>Trident</v>
      </c>
      <c r="W1155" s="174"/>
    </row>
    <row r="1156">
      <c r="B1156" s="175"/>
      <c r="R1156" s="176"/>
      <c r="U1156" s="172" t="str">
        <f>IFERROR(__xludf.DUMMYFUNCTION("""COMPUTED_VALUE"""),"")</f>
        <v/>
      </c>
      <c r="V1156" s="173" t="str">
        <f>IFERROR(__xludf.DUMMYFUNCTION("""COMPUTED_VALUE"""),"Tripwire Hook")</f>
        <v>Tripwire Hook</v>
      </c>
      <c r="W1156" s="174"/>
    </row>
    <row r="1157">
      <c r="B1157" s="175"/>
      <c r="R1157" s="176"/>
      <c r="U1157" s="172" t="str">
        <f>IFERROR(__xludf.DUMMYFUNCTION("""COMPUTED_VALUE"""),"")</f>
        <v/>
      </c>
      <c r="V1157" s="173" t="str">
        <f>IFERROR(__xludf.DUMMYFUNCTION("""COMPUTED_VALUE"""),"Tropical Fish")</f>
        <v>Tropical Fish</v>
      </c>
      <c r="W1157" s="174"/>
    </row>
    <row r="1158">
      <c r="B1158" s="175"/>
      <c r="R1158" s="176"/>
      <c r="U1158" s="172" t="str">
        <f>IFERROR(__xludf.DUMMYFUNCTION("""COMPUTED_VALUE"""),"")</f>
        <v/>
      </c>
      <c r="V1158" s="173" t="str">
        <f>IFERROR(__xludf.DUMMYFUNCTION("""COMPUTED_VALUE"""),"Tropical Fish Bucket")</f>
        <v>Tropical Fish Bucket</v>
      </c>
      <c r="W1158" s="174"/>
    </row>
    <row r="1159">
      <c r="B1159" s="175"/>
      <c r="R1159" s="176"/>
      <c r="U1159" s="172" t="str">
        <f>IFERROR(__xludf.DUMMYFUNCTION("""COMPUTED_VALUE"""),"")</f>
        <v/>
      </c>
      <c r="V1159" s="173" t="str">
        <f>IFERROR(__xludf.DUMMYFUNCTION("""COMPUTED_VALUE"""),"Tube Coral")</f>
        <v>Tube Coral</v>
      </c>
      <c r="W1159" s="174"/>
    </row>
    <row r="1160">
      <c r="B1160" s="175"/>
      <c r="R1160" s="176"/>
      <c r="U1160" s="172" t="str">
        <f>IFERROR(__xludf.DUMMYFUNCTION("""COMPUTED_VALUE"""),"")</f>
        <v/>
      </c>
      <c r="V1160" s="173" t="str">
        <f>IFERROR(__xludf.DUMMYFUNCTION("""COMPUTED_VALUE"""),"Tube Coral Block")</f>
        <v>Tube Coral Block</v>
      </c>
      <c r="W1160" s="174"/>
    </row>
    <row r="1161">
      <c r="B1161" s="175"/>
      <c r="R1161" s="176"/>
      <c r="U1161" s="172" t="str">
        <f>IFERROR(__xludf.DUMMYFUNCTION("""COMPUTED_VALUE"""),"")</f>
        <v/>
      </c>
      <c r="V1161" s="173" t="str">
        <f>IFERROR(__xludf.DUMMYFUNCTION("""COMPUTED_VALUE"""),"Tube Coral Fan")</f>
        <v>Tube Coral Fan</v>
      </c>
      <c r="W1161" s="174"/>
    </row>
    <row r="1162">
      <c r="B1162" s="175"/>
      <c r="R1162" s="176"/>
      <c r="U1162" s="172" t="str">
        <f>IFERROR(__xludf.DUMMYFUNCTION("""COMPUTED_VALUE"""),"")</f>
        <v/>
      </c>
      <c r="V1162" s="173" t="str">
        <f>IFERROR(__xludf.DUMMYFUNCTION("""COMPUTED_VALUE"""),"Tuff")</f>
        <v>Tuff</v>
      </c>
      <c r="W1162" s="174"/>
    </row>
    <row r="1163">
      <c r="B1163" s="175"/>
      <c r="R1163" s="176"/>
      <c r="U1163" s="172" t="str">
        <f>IFERROR(__xludf.DUMMYFUNCTION("""COMPUTED_VALUE"""),"")</f>
        <v/>
      </c>
      <c r="V1163" s="173" t="str">
        <f>IFERROR(__xludf.DUMMYFUNCTION("""COMPUTED_VALUE"""),"Tuff Brick Slab")</f>
        <v>Tuff Brick Slab</v>
      </c>
      <c r="W1163" s="174"/>
    </row>
    <row r="1164">
      <c r="B1164" s="175"/>
      <c r="R1164" s="176"/>
      <c r="U1164" s="172" t="str">
        <f>IFERROR(__xludf.DUMMYFUNCTION("""COMPUTED_VALUE"""),"")</f>
        <v/>
      </c>
      <c r="V1164" s="173" t="str">
        <f>IFERROR(__xludf.DUMMYFUNCTION("""COMPUTED_VALUE"""),"Tuff Brick Stairs")</f>
        <v>Tuff Brick Stairs</v>
      </c>
      <c r="W1164" s="174"/>
    </row>
    <row r="1165">
      <c r="B1165" s="175"/>
      <c r="R1165" s="176"/>
      <c r="U1165" s="172" t="str">
        <f>IFERROR(__xludf.DUMMYFUNCTION("""COMPUTED_VALUE"""),"")</f>
        <v/>
      </c>
      <c r="V1165" s="173" t="str">
        <f>IFERROR(__xludf.DUMMYFUNCTION("""COMPUTED_VALUE"""),"Tuff Brick Wall")</f>
        <v>Tuff Brick Wall</v>
      </c>
      <c r="W1165" s="174"/>
    </row>
    <row r="1166">
      <c r="B1166" s="175"/>
      <c r="R1166" s="176"/>
      <c r="U1166" s="172" t="str">
        <f>IFERROR(__xludf.DUMMYFUNCTION("""COMPUTED_VALUE"""),"")</f>
        <v/>
      </c>
      <c r="V1166" s="173" t="str">
        <f>IFERROR(__xludf.DUMMYFUNCTION("""COMPUTED_VALUE"""),"Tuff Bricks")</f>
        <v>Tuff Bricks</v>
      </c>
      <c r="W1166" s="174"/>
    </row>
    <row r="1167">
      <c r="B1167" s="175"/>
      <c r="R1167" s="176"/>
      <c r="U1167" s="172" t="str">
        <f>IFERROR(__xludf.DUMMYFUNCTION("""COMPUTED_VALUE"""),"")</f>
        <v/>
      </c>
      <c r="V1167" s="173" t="str">
        <f>IFERROR(__xludf.DUMMYFUNCTION("""COMPUTED_VALUE"""),"Tuff Slab")</f>
        <v>Tuff Slab</v>
      </c>
      <c r="W1167" s="174"/>
    </row>
    <row r="1168">
      <c r="B1168" s="175"/>
      <c r="R1168" s="176"/>
      <c r="U1168" s="172" t="str">
        <f>IFERROR(__xludf.DUMMYFUNCTION("""COMPUTED_VALUE"""),"")</f>
        <v/>
      </c>
      <c r="V1168" s="173" t="str">
        <f>IFERROR(__xludf.DUMMYFUNCTION("""COMPUTED_VALUE"""),"Tuff Stairs")</f>
        <v>Tuff Stairs</v>
      </c>
      <c r="W1168" s="174"/>
    </row>
    <row r="1169">
      <c r="B1169" s="175"/>
      <c r="R1169" s="176"/>
      <c r="U1169" s="172" t="str">
        <f>IFERROR(__xludf.DUMMYFUNCTION("""COMPUTED_VALUE"""),"")</f>
        <v/>
      </c>
      <c r="V1169" s="173" t="str">
        <f>IFERROR(__xludf.DUMMYFUNCTION("""COMPUTED_VALUE"""),"Tuff Wall")</f>
        <v>Tuff Wall</v>
      </c>
      <c r="W1169" s="174"/>
    </row>
    <row r="1170">
      <c r="B1170" s="175"/>
      <c r="R1170" s="176"/>
      <c r="U1170" s="172" t="str">
        <f>IFERROR(__xludf.DUMMYFUNCTION("""COMPUTED_VALUE"""),"")</f>
        <v/>
      </c>
      <c r="V1170" s="173" t="str">
        <f>IFERROR(__xludf.DUMMYFUNCTION("""COMPUTED_VALUE"""),"Turtle Egg")</f>
        <v>Turtle Egg</v>
      </c>
      <c r="W1170" s="174"/>
    </row>
    <row r="1171">
      <c r="B1171" s="175"/>
      <c r="R1171" s="176"/>
      <c r="U1171" s="172" t="str">
        <f>IFERROR(__xludf.DUMMYFUNCTION("""COMPUTED_VALUE"""),"")</f>
        <v/>
      </c>
      <c r="V1171" s="173" t="str">
        <f>IFERROR(__xludf.DUMMYFUNCTION("""COMPUTED_VALUE"""),"Turtle Helmet")</f>
        <v>Turtle Helmet</v>
      </c>
      <c r="W1171" s="174"/>
    </row>
    <row r="1172">
      <c r="B1172" s="175"/>
      <c r="R1172" s="176"/>
      <c r="U1172" s="172" t="str">
        <f>IFERROR(__xludf.DUMMYFUNCTION("""COMPUTED_VALUE"""),"")</f>
        <v/>
      </c>
      <c r="V1172" s="173" t="str">
        <f>IFERROR(__xludf.DUMMYFUNCTION("""COMPUTED_VALUE"""),"Twisting Vines")</f>
        <v>Twisting Vines</v>
      </c>
      <c r="W1172" s="174"/>
    </row>
    <row r="1173">
      <c r="B1173" s="175"/>
      <c r="R1173" s="176"/>
      <c r="U1173" s="172" t="str">
        <f>IFERROR(__xludf.DUMMYFUNCTION("""COMPUTED_VALUE"""),"")</f>
        <v/>
      </c>
      <c r="V1173" s="173" t="str">
        <f>IFERROR(__xludf.DUMMYFUNCTION("""COMPUTED_VALUE"""),"Verdant Froglight")</f>
        <v>Verdant Froglight</v>
      </c>
      <c r="W1173" s="174"/>
    </row>
    <row r="1174">
      <c r="B1174" s="175"/>
      <c r="R1174" s="176"/>
      <c r="U1174" s="172" t="str">
        <f>IFERROR(__xludf.DUMMYFUNCTION("""COMPUTED_VALUE"""),"")</f>
        <v/>
      </c>
      <c r="V1174" s="173" t="str">
        <f>IFERROR(__xludf.DUMMYFUNCTION("""COMPUTED_VALUE"""),"Vex Armor Trim")</f>
        <v>Vex Armor Trim</v>
      </c>
      <c r="W1174" s="174"/>
    </row>
    <row r="1175">
      <c r="B1175" s="175"/>
      <c r="R1175" s="176"/>
      <c r="U1175" s="172" t="str">
        <f>IFERROR(__xludf.DUMMYFUNCTION("""COMPUTED_VALUE"""),"")</f>
        <v/>
      </c>
      <c r="V1175" s="173" t="str">
        <f>IFERROR(__xludf.DUMMYFUNCTION("""COMPUTED_VALUE"""),"Vine")</f>
        <v>Vine</v>
      </c>
      <c r="W1175" s="174"/>
    </row>
    <row r="1176">
      <c r="B1176" s="175"/>
      <c r="R1176" s="176"/>
      <c r="U1176" s="172" t="str">
        <f>IFERROR(__xludf.DUMMYFUNCTION("""COMPUTED_VALUE"""),"")</f>
        <v/>
      </c>
      <c r="V1176" s="173" t="str">
        <f>IFERROR(__xludf.DUMMYFUNCTION("""COMPUTED_VALUE"""),"Ward Armor Trim")</f>
        <v>Ward Armor Trim</v>
      </c>
      <c r="W1176" s="174"/>
    </row>
    <row r="1177">
      <c r="B1177" s="175"/>
      <c r="R1177" s="176"/>
      <c r="U1177" s="172" t="str">
        <f>IFERROR(__xludf.DUMMYFUNCTION("""COMPUTED_VALUE"""),"")</f>
        <v/>
      </c>
      <c r="V1177" s="173" t="str">
        <f>IFERROR(__xludf.DUMMYFUNCTION("""COMPUTED_VALUE"""),"Warped Button")</f>
        <v>Warped Button</v>
      </c>
      <c r="W1177" s="174"/>
    </row>
    <row r="1178">
      <c r="B1178" s="175"/>
      <c r="R1178" s="176"/>
      <c r="U1178" s="172" t="str">
        <f>IFERROR(__xludf.DUMMYFUNCTION("""COMPUTED_VALUE"""),"")</f>
        <v/>
      </c>
      <c r="V1178" s="173" t="str">
        <f>IFERROR(__xludf.DUMMYFUNCTION("""COMPUTED_VALUE"""),"Warped Door")</f>
        <v>Warped Door</v>
      </c>
      <c r="W1178" s="174"/>
    </row>
    <row r="1179">
      <c r="B1179" s="175"/>
      <c r="R1179" s="176"/>
      <c r="U1179" s="172" t="str">
        <f>IFERROR(__xludf.DUMMYFUNCTION("""COMPUTED_VALUE"""),"")</f>
        <v/>
      </c>
      <c r="V1179" s="173" t="str">
        <f>IFERROR(__xludf.DUMMYFUNCTION("""COMPUTED_VALUE"""),"Warped Fence")</f>
        <v>Warped Fence</v>
      </c>
      <c r="W1179" s="174"/>
    </row>
    <row r="1180">
      <c r="B1180" s="175"/>
      <c r="R1180" s="176"/>
      <c r="U1180" s="172" t="str">
        <f>IFERROR(__xludf.DUMMYFUNCTION("""COMPUTED_VALUE"""),"")</f>
        <v/>
      </c>
      <c r="V1180" s="173" t="str">
        <f>IFERROR(__xludf.DUMMYFUNCTION("""COMPUTED_VALUE"""),"Warped Fence Gate")</f>
        <v>Warped Fence Gate</v>
      </c>
      <c r="W1180" s="174"/>
    </row>
    <row r="1181">
      <c r="B1181" s="175"/>
      <c r="R1181" s="176"/>
      <c r="U1181" s="172" t="str">
        <f>IFERROR(__xludf.DUMMYFUNCTION("""COMPUTED_VALUE"""),"")</f>
        <v/>
      </c>
      <c r="V1181" s="173" t="str">
        <f>IFERROR(__xludf.DUMMYFUNCTION("""COMPUTED_VALUE"""),"Warped Fungus")</f>
        <v>Warped Fungus</v>
      </c>
      <c r="W1181" s="174"/>
    </row>
    <row r="1182">
      <c r="B1182" s="175"/>
      <c r="R1182" s="176"/>
      <c r="U1182" s="172" t="str">
        <f>IFERROR(__xludf.DUMMYFUNCTION("""COMPUTED_VALUE"""),"")</f>
        <v/>
      </c>
      <c r="V1182" s="173" t="str">
        <f>IFERROR(__xludf.DUMMYFUNCTION("""COMPUTED_VALUE"""),"Warped Fungus On A Stick")</f>
        <v>Warped Fungus On A Stick</v>
      </c>
      <c r="W1182" s="174"/>
    </row>
    <row r="1183">
      <c r="B1183" s="175"/>
      <c r="R1183" s="176"/>
      <c r="U1183" s="172" t="str">
        <f>IFERROR(__xludf.DUMMYFUNCTION("""COMPUTED_VALUE"""),"")</f>
        <v/>
      </c>
      <c r="V1183" s="173" t="str">
        <f>IFERROR(__xludf.DUMMYFUNCTION("""COMPUTED_VALUE"""),"Warped Hanging Sign")</f>
        <v>Warped Hanging Sign</v>
      </c>
      <c r="W1183" s="174"/>
    </row>
    <row r="1184">
      <c r="B1184" s="175"/>
      <c r="R1184" s="176"/>
      <c r="U1184" s="172" t="str">
        <f>IFERROR(__xludf.DUMMYFUNCTION("""COMPUTED_VALUE"""),"")</f>
        <v/>
      </c>
      <c r="V1184" s="173" t="str">
        <f>IFERROR(__xludf.DUMMYFUNCTION("""COMPUTED_VALUE"""),"Warped Hyphae")</f>
        <v>Warped Hyphae</v>
      </c>
      <c r="W1184" s="174"/>
    </row>
    <row r="1185">
      <c r="B1185" s="175"/>
      <c r="R1185" s="176"/>
      <c r="U1185" s="172" t="str">
        <f>IFERROR(__xludf.DUMMYFUNCTION("""COMPUTED_VALUE"""),"")</f>
        <v/>
      </c>
      <c r="V1185" s="173" t="str">
        <f>IFERROR(__xludf.DUMMYFUNCTION("""COMPUTED_VALUE"""),"Warped Nylium")</f>
        <v>Warped Nylium</v>
      </c>
      <c r="W1185" s="174"/>
    </row>
    <row r="1186">
      <c r="B1186" s="175"/>
      <c r="R1186" s="176"/>
      <c r="U1186" s="172" t="str">
        <f>IFERROR(__xludf.DUMMYFUNCTION("""COMPUTED_VALUE"""),"")</f>
        <v/>
      </c>
      <c r="V1186" s="173" t="str">
        <f>IFERROR(__xludf.DUMMYFUNCTION("""COMPUTED_VALUE"""),"Warped Planks")</f>
        <v>Warped Planks</v>
      </c>
      <c r="W1186" s="174"/>
    </row>
    <row r="1187">
      <c r="B1187" s="175"/>
      <c r="R1187" s="176"/>
      <c r="U1187" s="172" t="str">
        <f>IFERROR(__xludf.DUMMYFUNCTION("""COMPUTED_VALUE"""),"")</f>
        <v/>
      </c>
      <c r="V1187" s="173" t="str">
        <f>IFERROR(__xludf.DUMMYFUNCTION("""COMPUTED_VALUE"""),"Warped Pressure Plate")</f>
        <v>Warped Pressure Plate</v>
      </c>
      <c r="W1187" s="174"/>
    </row>
    <row r="1188">
      <c r="B1188" s="175"/>
      <c r="R1188" s="176"/>
      <c r="U1188" s="172" t="str">
        <f>IFERROR(__xludf.DUMMYFUNCTION("""COMPUTED_VALUE"""),"")</f>
        <v/>
      </c>
      <c r="V1188" s="173" t="str">
        <f>IFERROR(__xludf.DUMMYFUNCTION("""COMPUTED_VALUE"""),"Warped Roots")</f>
        <v>Warped Roots</v>
      </c>
      <c r="W1188" s="174"/>
    </row>
    <row r="1189">
      <c r="B1189" s="175"/>
      <c r="R1189" s="176"/>
      <c r="U1189" s="172" t="str">
        <f>IFERROR(__xludf.DUMMYFUNCTION("""COMPUTED_VALUE"""),"")</f>
        <v/>
      </c>
      <c r="V1189" s="173" t="str">
        <f>IFERROR(__xludf.DUMMYFUNCTION("""COMPUTED_VALUE"""),"Warped Sign")</f>
        <v>Warped Sign</v>
      </c>
      <c r="W1189" s="174"/>
    </row>
    <row r="1190">
      <c r="B1190" s="175"/>
      <c r="R1190" s="176"/>
      <c r="U1190" s="172" t="str">
        <f>IFERROR(__xludf.DUMMYFUNCTION("""COMPUTED_VALUE"""),"")</f>
        <v/>
      </c>
      <c r="V1190" s="173" t="str">
        <f>IFERROR(__xludf.DUMMYFUNCTION("""COMPUTED_VALUE"""),"Warped Slab")</f>
        <v>Warped Slab</v>
      </c>
      <c r="W1190" s="174"/>
    </row>
    <row r="1191">
      <c r="B1191" s="175"/>
      <c r="R1191" s="176"/>
      <c r="U1191" s="172" t="str">
        <f>IFERROR(__xludf.DUMMYFUNCTION("""COMPUTED_VALUE"""),"")</f>
        <v/>
      </c>
      <c r="V1191" s="173" t="str">
        <f>IFERROR(__xludf.DUMMYFUNCTION("""COMPUTED_VALUE"""),"Warped Stairs")</f>
        <v>Warped Stairs</v>
      </c>
      <c r="W1191" s="174"/>
    </row>
    <row r="1192">
      <c r="B1192" s="175"/>
      <c r="R1192" s="176"/>
      <c r="U1192" s="172" t="str">
        <f>IFERROR(__xludf.DUMMYFUNCTION("""COMPUTED_VALUE"""),"")</f>
        <v/>
      </c>
      <c r="V1192" s="173" t="str">
        <f>IFERROR(__xludf.DUMMYFUNCTION("""COMPUTED_VALUE"""),"Warped Stem")</f>
        <v>Warped Stem</v>
      </c>
      <c r="W1192" s="174"/>
    </row>
    <row r="1193">
      <c r="B1193" s="175"/>
      <c r="R1193" s="176"/>
      <c r="U1193" s="172" t="str">
        <f>IFERROR(__xludf.DUMMYFUNCTION("""COMPUTED_VALUE"""),"")</f>
        <v/>
      </c>
      <c r="V1193" s="173" t="str">
        <f>IFERROR(__xludf.DUMMYFUNCTION("""COMPUTED_VALUE"""),"Warped Trapdoor")</f>
        <v>Warped Trapdoor</v>
      </c>
      <c r="W1193" s="174"/>
    </row>
    <row r="1194">
      <c r="B1194" s="175"/>
      <c r="R1194" s="176"/>
      <c r="U1194" s="172" t="str">
        <f>IFERROR(__xludf.DUMMYFUNCTION("""COMPUTED_VALUE"""),"")</f>
        <v/>
      </c>
      <c r="V1194" s="173" t="str">
        <f>IFERROR(__xludf.DUMMYFUNCTION("""COMPUTED_VALUE"""),"Warped Wart Block")</f>
        <v>Warped Wart Block</v>
      </c>
      <c r="W1194" s="174"/>
    </row>
    <row r="1195">
      <c r="B1195" s="175"/>
      <c r="R1195" s="176"/>
      <c r="U1195" s="172" t="str">
        <f>IFERROR(__xludf.DUMMYFUNCTION("""COMPUTED_VALUE"""),"")</f>
        <v/>
      </c>
      <c r="V1195" s="173" t="str">
        <f>IFERROR(__xludf.DUMMYFUNCTION("""COMPUTED_VALUE"""),"Water Bucket")</f>
        <v>Water Bucket</v>
      </c>
      <c r="W1195" s="174"/>
    </row>
    <row r="1196">
      <c r="B1196" s="175"/>
      <c r="R1196" s="176"/>
      <c r="U1196" s="172" t="str">
        <f>IFERROR(__xludf.DUMMYFUNCTION("""COMPUTED_VALUE"""),"")</f>
        <v/>
      </c>
      <c r="V1196" s="173" t="str">
        <f>IFERROR(__xludf.DUMMYFUNCTION("""COMPUTED_VALUE"""),"Waxed Chiseled Copper")</f>
        <v>Waxed Chiseled Copper</v>
      </c>
      <c r="W1196" s="174"/>
    </row>
    <row r="1197">
      <c r="B1197" s="175"/>
      <c r="R1197" s="176"/>
      <c r="U1197" s="172" t="str">
        <f>IFERROR(__xludf.DUMMYFUNCTION("""COMPUTED_VALUE"""),"")</f>
        <v/>
      </c>
      <c r="V1197" s="173" t="str">
        <f>IFERROR(__xludf.DUMMYFUNCTION("""COMPUTED_VALUE"""),"Waxed Copper Block")</f>
        <v>Waxed Copper Block</v>
      </c>
      <c r="W1197" s="174"/>
    </row>
    <row r="1198">
      <c r="B1198" s="175"/>
      <c r="R1198" s="176"/>
      <c r="U1198" s="172" t="str">
        <f>IFERROR(__xludf.DUMMYFUNCTION("""COMPUTED_VALUE"""),"")</f>
        <v/>
      </c>
      <c r="V1198" s="173" t="str">
        <f>IFERROR(__xludf.DUMMYFUNCTION("""COMPUTED_VALUE"""),"Waxed Copper Bulb")</f>
        <v>Waxed Copper Bulb</v>
      </c>
      <c r="W1198" s="174"/>
    </row>
    <row r="1199">
      <c r="B1199" s="175"/>
      <c r="R1199" s="176"/>
      <c r="U1199" s="172" t="str">
        <f>IFERROR(__xludf.DUMMYFUNCTION("""COMPUTED_VALUE"""),"")</f>
        <v/>
      </c>
      <c r="V1199" s="173" t="str">
        <f>IFERROR(__xludf.DUMMYFUNCTION("""COMPUTED_VALUE"""),"Waxed Copper Door")</f>
        <v>Waxed Copper Door</v>
      </c>
      <c r="W1199" s="174"/>
    </row>
    <row r="1200">
      <c r="B1200" s="175"/>
      <c r="R1200" s="176"/>
      <c r="U1200" s="172" t="str">
        <f>IFERROR(__xludf.DUMMYFUNCTION("""COMPUTED_VALUE"""),"")</f>
        <v/>
      </c>
      <c r="V1200" s="173" t="str">
        <f>IFERROR(__xludf.DUMMYFUNCTION("""COMPUTED_VALUE"""),"Waxed Copper Grate")</f>
        <v>Waxed Copper Grate</v>
      </c>
      <c r="W1200" s="174"/>
    </row>
    <row r="1201">
      <c r="B1201" s="175"/>
      <c r="R1201" s="176"/>
      <c r="U1201" s="172" t="str">
        <f>IFERROR(__xludf.DUMMYFUNCTION("""COMPUTED_VALUE"""),"")</f>
        <v/>
      </c>
      <c r="V1201" s="173" t="str">
        <f>IFERROR(__xludf.DUMMYFUNCTION("""COMPUTED_VALUE"""),"Waxed Copper Trapdoor")</f>
        <v>Waxed Copper Trapdoor</v>
      </c>
      <c r="W1201" s="174"/>
    </row>
    <row r="1202">
      <c r="B1202" s="175"/>
      <c r="R1202" s="176"/>
      <c r="U1202" s="172" t="str">
        <f>IFERROR(__xludf.DUMMYFUNCTION("""COMPUTED_VALUE"""),"")</f>
        <v/>
      </c>
      <c r="V1202" s="173" t="str">
        <f>IFERROR(__xludf.DUMMYFUNCTION("""COMPUTED_VALUE"""),"Waxed Cut Copper")</f>
        <v>Waxed Cut Copper</v>
      </c>
      <c r="W1202" s="174"/>
    </row>
    <row r="1203">
      <c r="B1203" s="175"/>
      <c r="R1203" s="176"/>
      <c r="U1203" s="172" t="str">
        <f>IFERROR(__xludf.DUMMYFUNCTION("""COMPUTED_VALUE"""),"")</f>
        <v/>
      </c>
      <c r="V1203" s="173" t="str">
        <f>IFERROR(__xludf.DUMMYFUNCTION("""COMPUTED_VALUE"""),"Waxed Cut Copper Slab")</f>
        <v>Waxed Cut Copper Slab</v>
      </c>
      <c r="W1203" s="174"/>
    </row>
    <row r="1204">
      <c r="B1204" s="175"/>
      <c r="R1204" s="176"/>
      <c r="U1204" s="172" t="str">
        <f>IFERROR(__xludf.DUMMYFUNCTION("""COMPUTED_VALUE"""),"")</f>
        <v/>
      </c>
      <c r="V1204" s="173" t="str">
        <f>IFERROR(__xludf.DUMMYFUNCTION("""COMPUTED_VALUE"""),"Waxed Cut Copper Stairs")</f>
        <v>Waxed Cut Copper Stairs</v>
      </c>
      <c r="W1204" s="174"/>
    </row>
    <row r="1205">
      <c r="B1205" s="175"/>
      <c r="R1205" s="176"/>
      <c r="U1205" s="172" t="str">
        <f>IFERROR(__xludf.DUMMYFUNCTION("""COMPUTED_VALUE"""),"")</f>
        <v/>
      </c>
      <c r="V1205" s="173" t="str">
        <f>IFERROR(__xludf.DUMMYFUNCTION("""COMPUTED_VALUE"""),"Waxed Exposed Chiseled Copper")</f>
        <v>Waxed Exposed Chiseled Copper</v>
      </c>
      <c r="W1205" s="174"/>
    </row>
    <row r="1206">
      <c r="B1206" s="175"/>
      <c r="R1206" s="176"/>
      <c r="U1206" s="172" t="str">
        <f>IFERROR(__xludf.DUMMYFUNCTION("""COMPUTED_VALUE"""),"")</f>
        <v/>
      </c>
      <c r="V1206" s="173" t="str">
        <f>IFERROR(__xludf.DUMMYFUNCTION("""COMPUTED_VALUE"""),"Waxed Exposed Copper")</f>
        <v>Waxed Exposed Copper</v>
      </c>
      <c r="W1206" s="174"/>
    </row>
    <row r="1207">
      <c r="B1207" s="175"/>
      <c r="R1207" s="176"/>
      <c r="U1207" s="172" t="str">
        <f>IFERROR(__xludf.DUMMYFUNCTION("""COMPUTED_VALUE"""),"")</f>
        <v/>
      </c>
      <c r="V1207" s="173" t="str">
        <f>IFERROR(__xludf.DUMMYFUNCTION("""COMPUTED_VALUE"""),"Waxed Exposed Copper Bulb")</f>
        <v>Waxed Exposed Copper Bulb</v>
      </c>
      <c r="W1207" s="174"/>
    </row>
    <row r="1208">
      <c r="B1208" s="175"/>
      <c r="R1208" s="176"/>
      <c r="U1208" s="172" t="str">
        <f>IFERROR(__xludf.DUMMYFUNCTION("""COMPUTED_VALUE"""),"")</f>
        <v/>
      </c>
      <c r="V1208" s="173" t="str">
        <f>IFERROR(__xludf.DUMMYFUNCTION("""COMPUTED_VALUE"""),"Waxed Exposed Copper Door")</f>
        <v>Waxed Exposed Copper Door</v>
      </c>
      <c r="W1208" s="174"/>
    </row>
    <row r="1209">
      <c r="B1209" s="175"/>
      <c r="R1209" s="176"/>
      <c r="U1209" s="172" t="str">
        <f>IFERROR(__xludf.DUMMYFUNCTION("""COMPUTED_VALUE"""),"")</f>
        <v/>
      </c>
      <c r="V1209" s="173" t="str">
        <f>IFERROR(__xludf.DUMMYFUNCTION("""COMPUTED_VALUE"""),"Waxed Exposed Copper Grate")</f>
        <v>Waxed Exposed Copper Grate</v>
      </c>
      <c r="W1209" s="174"/>
    </row>
    <row r="1210">
      <c r="B1210" s="175"/>
      <c r="R1210" s="176"/>
      <c r="U1210" s="172" t="str">
        <f>IFERROR(__xludf.DUMMYFUNCTION("""COMPUTED_VALUE"""),"")</f>
        <v/>
      </c>
      <c r="V1210" s="173" t="str">
        <f>IFERROR(__xludf.DUMMYFUNCTION("""COMPUTED_VALUE"""),"Waxed Exposed Copper Trapdoor")</f>
        <v>Waxed Exposed Copper Trapdoor</v>
      </c>
      <c r="W1210" s="174"/>
    </row>
    <row r="1211">
      <c r="B1211" s="175"/>
      <c r="R1211" s="176"/>
      <c r="U1211" s="172" t="str">
        <f>IFERROR(__xludf.DUMMYFUNCTION("""COMPUTED_VALUE"""),"")</f>
        <v/>
      </c>
      <c r="V1211" s="173" t="str">
        <f>IFERROR(__xludf.DUMMYFUNCTION("""COMPUTED_VALUE"""),"Waxed Exposed Cut Copper")</f>
        <v>Waxed Exposed Cut Copper</v>
      </c>
      <c r="W1211" s="174"/>
    </row>
    <row r="1212">
      <c r="B1212" s="175"/>
      <c r="R1212" s="176"/>
      <c r="U1212" s="172" t="str">
        <f>IFERROR(__xludf.DUMMYFUNCTION("""COMPUTED_VALUE"""),"")</f>
        <v/>
      </c>
      <c r="V1212" s="173" t="str">
        <f>IFERROR(__xludf.DUMMYFUNCTION("""COMPUTED_VALUE"""),"Waxed Exposed Cut Copper Slab")</f>
        <v>Waxed Exposed Cut Copper Slab</v>
      </c>
      <c r="W1212" s="174"/>
    </row>
    <row r="1213">
      <c r="B1213" s="175"/>
      <c r="R1213" s="176"/>
      <c r="U1213" s="172" t="str">
        <f>IFERROR(__xludf.DUMMYFUNCTION("""COMPUTED_VALUE"""),"")</f>
        <v/>
      </c>
      <c r="V1213" s="173" t="str">
        <f>IFERROR(__xludf.DUMMYFUNCTION("""COMPUTED_VALUE"""),"Waxed Exposed Cut Copper Stairs")</f>
        <v>Waxed Exposed Cut Copper Stairs</v>
      </c>
      <c r="W1213" s="174"/>
    </row>
    <row r="1214">
      <c r="B1214" s="175"/>
      <c r="R1214" s="176"/>
      <c r="U1214" s="172" t="str">
        <f>IFERROR(__xludf.DUMMYFUNCTION("""COMPUTED_VALUE"""),"")</f>
        <v/>
      </c>
      <c r="V1214" s="173" t="str">
        <f>IFERROR(__xludf.DUMMYFUNCTION("""COMPUTED_VALUE"""),"Waxed Oxidized Chiseled Copper")</f>
        <v>Waxed Oxidized Chiseled Copper</v>
      </c>
      <c r="W1214" s="174"/>
    </row>
    <row r="1215">
      <c r="B1215" s="175"/>
      <c r="R1215" s="176"/>
      <c r="U1215" s="172" t="str">
        <f>IFERROR(__xludf.DUMMYFUNCTION("""COMPUTED_VALUE"""),"")</f>
        <v/>
      </c>
      <c r="V1215" s="173" t="str">
        <f>IFERROR(__xludf.DUMMYFUNCTION("""COMPUTED_VALUE"""),"Waxed Oxidized Copper")</f>
        <v>Waxed Oxidized Copper</v>
      </c>
      <c r="W1215" s="174"/>
    </row>
    <row r="1216">
      <c r="B1216" s="175"/>
      <c r="R1216" s="176"/>
      <c r="U1216" s="172" t="str">
        <f>IFERROR(__xludf.DUMMYFUNCTION("""COMPUTED_VALUE"""),"")</f>
        <v/>
      </c>
      <c r="V1216" s="173" t="str">
        <f>IFERROR(__xludf.DUMMYFUNCTION("""COMPUTED_VALUE"""),"Waxed Oxidized Copper Bulb")</f>
        <v>Waxed Oxidized Copper Bulb</v>
      </c>
      <c r="W1216" s="174"/>
    </row>
    <row r="1217">
      <c r="B1217" s="175"/>
      <c r="R1217" s="176"/>
      <c r="U1217" s="172" t="str">
        <f>IFERROR(__xludf.DUMMYFUNCTION("""COMPUTED_VALUE"""),"")</f>
        <v/>
      </c>
      <c r="V1217" s="173" t="str">
        <f>IFERROR(__xludf.DUMMYFUNCTION("""COMPUTED_VALUE"""),"Waxed Oxidized Copper Door")</f>
        <v>Waxed Oxidized Copper Door</v>
      </c>
      <c r="W1217" s="174"/>
    </row>
    <row r="1218">
      <c r="B1218" s="175"/>
      <c r="R1218" s="176"/>
      <c r="U1218" s="172" t="str">
        <f>IFERROR(__xludf.DUMMYFUNCTION("""COMPUTED_VALUE"""),"")</f>
        <v/>
      </c>
      <c r="V1218" s="173" t="str">
        <f>IFERROR(__xludf.DUMMYFUNCTION("""COMPUTED_VALUE"""),"Waxed Oxidized Copper Grate")</f>
        <v>Waxed Oxidized Copper Grate</v>
      </c>
      <c r="W1218" s="174"/>
    </row>
    <row r="1219">
      <c r="B1219" s="175"/>
      <c r="R1219" s="176"/>
      <c r="U1219" s="172" t="str">
        <f>IFERROR(__xludf.DUMMYFUNCTION("""COMPUTED_VALUE"""),"")</f>
        <v/>
      </c>
      <c r="V1219" s="173" t="str">
        <f>IFERROR(__xludf.DUMMYFUNCTION("""COMPUTED_VALUE"""),"Waxed Oxidized Copper Trapdoor")</f>
        <v>Waxed Oxidized Copper Trapdoor</v>
      </c>
      <c r="W1219" s="174"/>
    </row>
    <row r="1220">
      <c r="B1220" s="175"/>
      <c r="R1220" s="176"/>
      <c r="U1220" s="172" t="str">
        <f>IFERROR(__xludf.DUMMYFUNCTION("""COMPUTED_VALUE"""),"")</f>
        <v/>
      </c>
      <c r="V1220" s="173" t="str">
        <f>IFERROR(__xludf.DUMMYFUNCTION("""COMPUTED_VALUE"""),"Waxed Oxidized Cut Copper")</f>
        <v>Waxed Oxidized Cut Copper</v>
      </c>
      <c r="W1220" s="174"/>
    </row>
    <row r="1221">
      <c r="B1221" s="175"/>
      <c r="R1221" s="176"/>
      <c r="U1221" s="172" t="str">
        <f>IFERROR(__xludf.DUMMYFUNCTION("""COMPUTED_VALUE"""),"")</f>
        <v/>
      </c>
      <c r="V1221" s="173" t="str">
        <f>IFERROR(__xludf.DUMMYFUNCTION("""COMPUTED_VALUE"""),"Waxed Oxidized Cut Copper Slab")</f>
        <v>Waxed Oxidized Cut Copper Slab</v>
      </c>
      <c r="W1221" s="174"/>
    </row>
    <row r="1222">
      <c r="B1222" s="175"/>
      <c r="R1222" s="176"/>
      <c r="U1222" s="172" t="str">
        <f>IFERROR(__xludf.DUMMYFUNCTION("""COMPUTED_VALUE"""),"")</f>
        <v/>
      </c>
      <c r="V1222" s="173" t="str">
        <f>IFERROR(__xludf.DUMMYFUNCTION("""COMPUTED_VALUE"""),"Waxed Oxidized Cut Copper Stairs")</f>
        <v>Waxed Oxidized Cut Copper Stairs</v>
      </c>
      <c r="W1222" s="174"/>
    </row>
    <row r="1223">
      <c r="B1223" s="175"/>
      <c r="R1223" s="176"/>
      <c r="U1223" s="172" t="str">
        <f>IFERROR(__xludf.DUMMYFUNCTION("""COMPUTED_VALUE"""),"")</f>
        <v/>
      </c>
      <c r="V1223" s="173" t="str">
        <f>IFERROR(__xludf.DUMMYFUNCTION("""COMPUTED_VALUE"""),"Waxed Weathered Chiseled Copper")</f>
        <v>Waxed Weathered Chiseled Copper</v>
      </c>
      <c r="W1223" s="174"/>
    </row>
    <row r="1224">
      <c r="B1224" s="175"/>
      <c r="R1224" s="176"/>
      <c r="U1224" s="172" t="str">
        <f>IFERROR(__xludf.DUMMYFUNCTION("""COMPUTED_VALUE"""),"")</f>
        <v/>
      </c>
      <c r="V1224" s="173" t="str">
        <f>IFERROR(__xludf.DUMMYFUNCTION("""COMPUTED_VALUE"""),"Waxed Weathered Copper")</f>
        <v>Waxed Weathered Copper</v>
      </c>
      <c r="W1224" s="174"/>
    </row>
    <row r="1225">
      <c r="B1225" s="175"/>
      <c r="R1225" s="176"/>
      <c r="U1225" s="172" t="str">
        <f>IFERROR(__xludf.DUMMYFUNCTION("""COMPUTED_VALUE"""),"")</f>
        <v/>
      </c>
      <c r="V1225" s="173" t="str">
        <f>IFERROR(__xludf.DUMMYFUNCTION("""COMPUTED_VALUE"""),"Waxed Weathered Copper Bulb")</f>
        <v>Waxed Weathered Copper Bulb</v>
      </c>
      <c r="W1225" s="174"/>
    </row>
    <row r="1226">
      <c r="B1226" s="175"/>
      <c r="R1226" s="176"/>
      <c r="U1226" s="172" t="str">
        <f>IFERROR(__xludf.DUMMYFUNCTION("""COMPUTED_VALUE"""),"")</f>
        <v/>
      </c>
      <c r="V1226" s="173" t="str">
        <f>IFERROR(__xludf.DUMMYFUNCTION("""COMPUTED_VALUE"""),"Waxed Weathered Copper Door")</f>
        <v>Waxed Weathered Copper Door</v>
      </c>
      <c r="W1226" s="174"/>
    </row>
    <row r="1227">
      <c r="B1227" s="175"/>
      <c r="R1227" s="176"/>
      <c r="U1227" s="172" t="str">
        <f>IFERROR(__xludf.DUMMYFUNCTION("""COMPUTED_VALUE"""),"")</f>
        <v/>
      </c>
      <c r="V1227" s="173" t="str">
        <f>IFERROR(__xludf.DUMMYFUNCTION("""COMPUTED_VALUE"""),"Waxed Weathered Copper Grate")</f>
        <v>Waxed Weathered Copper Grate</v>
      </c>
      <c r="W1227" s="174"/>
    </row>
    <row r="1228">
      <c r="B1228" s="175"/>
      <c r="R1228" s="176"/>
      <c r="U1228" s="172" t="str">
        <f>IFERROR(__xludf.DUMMYFUNCTION("""COMPUTED_VALUE"""),"")</f>
        <v/>
      </c>
      <c r="V1228" s="173" t="str">
        <f>IFERROR(__xludf.DUMMYFUNCTION("""COMPUTED_VALUE"""),"Waxed Weathered Copper Trapdoor")</f>
        <v>Waxed Weathered Copper Trapdoor</v>
      </c>
      <c r="W1228" s="174"/>
    </row>
    <row r="1229">
      <c r="B1229" s="175"/>
      <c r="R1229" s="176"/>
      <c r="U1229" s="172" t="str">
        <f>IFERROR(__xludf.DUMMYFUNCTION("""COMPUTED_VALUE"""),"")</f>
        <v/>
      </c>
      <c r="V1229" s="173" t="str">
        <f>IFERROR(__xludf.DUMMYFUNCTION("""COMPUTED_VALUE"""),"Waxed Weathered Cut Copper")</f>
        <v>Waxed Weathered Cut Copper</v>
      </c>
      <c r="W1229" s="174"/>
    </row>
    <row r="1230">
      <c r="B1230" s="175"/>
      <c r="R1230" s="176"/>
      <c r="U1230" s="172" t="str">
        <f>IFERROR(__xludf.DUMMYFUNCTION("""COMPUTED_VALUE"""),"")</f>
        <v/>
      </c>
      <c r="V1230" s="173" t="str">
        <f>IFERROR(__xludf.DUMMYFUNCTION("""COMPUTED_VALUE"""),"Waxed Weathered Cut Copper Slab")</f>
        <v>Waxed Weathered Cut Copper Slab</v>
      </c>
      <c r="W1230" s="174"/>
    </row>
    <row r="1231">
      <c r="B1231" s="175"/>
      <c r="R1231" s="176"/>
      <c r="U1231" s="172" t="str">
        <f>IFERROR(__xludf.DUMMYFUNCTION("""COMPUTED_VALUE"""),"")</f>
        <v/>
      </c>
      <c r="V1231" s="173" t="str">
        <f>IFERROR(__xludf.DUMMYFUNCTION("""COMPUTED_VALUE"""),"Waxed Weathered Cut Copper Stairs")</f>
        <v>Waxed Weathered Cut Copper Stairs</v>
      </c>
      <c r="W1231" s="174"/>
    </row>
    <row r="1232">
      <c r="B1232" s="175"/>
      <c r="R1232" s="176"/>
      <c r="U1232" s="172" t="str">
        <f>IFERROR(__xludf.DUMMYFUNCTION("""COMPUTED_VALUE"""),"")</f>
        <v/>
      </c>
      <c r="V1232" s="173" t="str">
        <f>IFERROR(__xludf.DUMMYFUNCTION("""COMPUTED_VALUE"""),"Wayfinder Armor Trim")</f>
        <v>Wayfinder Armor Trim</v>
      </c>
      <c r="W1232" s="174"/>
    </row>
    <row r="1233">
      <c r="B1233" s="175"/>
      <c r="R1233" s="176"/>
      <c r="U1233" s="172" t="str">
        <f>IFERROR(__xludf.DUMMYFUNCTION("""COMPUTED_VALUE"""),"")</f>
        <v/>
      </c>
      <c r="V1233" s="173" t="str">
        <f>IFERROR(__xludf.DUMMYFUNCTION("""COMPUTED_VALUE"""),"Weathered Chiseled Copper")</f>
        <v>Weathered Chiseled Copper</v>
      </c>
      <c r="W1233" s="174"/>
    </row>
    <row r="1234">
      <c r="B1234" s="175"/>
      <c r="R1234" s="176"/>
      <c r="U1234" s="172" t="str">
        <f>IFERROR(__xludf.DUMMYFUNCTION("""COMPUTED_VALUE"""),"")</f>
        <v/>
      </c>
      <c r="V1234" s="173" t="str">
        <f>IFERROR(__xludf.DUMMYFUNCTION("""COMPUTED_VALUE"""),"Weathered Copper")</f>
        <v>Weathered Copper</v>
      </c>
      <c r="W1234" s="174"/>
    </row>
    <row r="1235">
      <c r="B1235" s="175"/>
      <c r="R1235" s="176"/>
      <c r="U1235" s="172" t="str">
        <f>IFERROR(__xludf.DUMMYFUNCTION("""COMPUTED_VALUE"""),"")</f>
        <v/>
      </c>
      <c r="V1235" s="173" t="str">
        <f>IFERROR(__xludf.DUMMYFUNCTION("""COMPUTED_VALUE"""),"Weathered Copper Bulb")</f>
        <v>Weathered Copper Bulb</v>
      </c>
      <c r="W1235" s="174"/>
    </row>
    <row r="1236">
      <c r="B1236" s="175"/>
      <c r="R1236" s="176"/>
      <c r="U1236" s="172" t="str">
        <f>IFERROR(__xludf.DUMMYFUNCTION("""COMPUTED_VALUE"""),"")</f>
        <v/>
      </c>
      <c r="V1236" s="173" t="str">
        <f>IFERROR(__xludf.DUMMYFUNCTION("""COMPUTED_VALUE"""),"Weathered Copper Door")</f>
        <v>Weathered Copper Door</v>
      </c>
      <c r="W1236" s="174"/>
    </row>
    <row r="1237">
      <c r="B1237" s="175"/>
      <c r="R1237" s="176"/>
      <c r="U1237" s="172" t="str">
        <f>IFERROR(__xludf.DUMMYFUNCTION("""COMPUTED_VALUE"""),"")</f>
        <v/>
      </c>
      <c r="V1237" s="173" t="str">
        <f>IFERROR(__xludf.DUMMYFUNCTION("""COMPUTED_VALUE"""),"Weathered Copper Grate")</f>
        <v>Weathered Copper Grate</v>
      </c>
      <c r="W1237" s="174"/>
    </row>
    <row r="1238">
      <c r="B1238" s="175"/>
      <c r="R1238" s="176"/>
      <c r="U1238" s="172" t="str">
        <f>IFERROR(__xludf.DUMMYFUNCTION("""COMPUTED_VALUE"""),"")</f>
        <v/>
      </c>
      <c r="V1238" s="173" t="str">
        <f>IFERROR(__xludf.DUMMYFUNCTION("""COMPUTED_VALUE"""),"Weathered Copper Trapdoor")</f>
        <v>Weathered Copper Trapdoor</v>
      </c>
      <c r="W1238" s="174"/>
    </row>
    <row r="1239">
      <c r="B1239" s="175"/>
      <c r="R1239" s="176"/>
      <c r="U1239" s="172" t="str">
        <f>IFERROR(__xludf.DUMMYFUNCTION("""COMPUTED_VALUE"""),"")</f>
        <v/>
      </c>
      <c r="V1239" s="173" t="str">
        <f>IFERROR(__xludf.DUMMYFUNCTION("""COMPUTED_VALUE"""),"Weathered Cut Copper")</f>
        <v>Weathered Cut Copper</v>
      </c>
      <c r="W1239" s="174"/>
    </row>
    <row r="1240">
      <c r="B1240" s="175"/>
      <c r="R1240" s="176"/>
      <c r="U1240" s="172" t="str">
        <f>IFERROR(__xludf.DUMMYFUNCTION("""COMPUTED_VALUE"""),"")</f>
        <v/>
      </c>
      <c r="V1240" s="173" t="str">
        <f>IFERROR(__xludf.DUMMYFUNCTION("""COMPUTED_VALUE"""),"Weathered Cut Copper Slab")</f>
        <v>Weathered Cut Copper Slab</v>
      </c>
      <c r="W1240" s="174"/>
    </row>
    <row r="1241">
      <c r="B1241" s="175"/>
      <c r="R1241" s="176"/>
      <c r="U1241" s="172" t="str">
        <f>IFERROR(__xludf.DUMMYFUNCTION("""COMPUTED_VALUE"""),"")</f>
        <v/>
      </c>
      <c r="V1241" s="173" t="str">
        <f>IFERROR(__xludf.DUMMYFUNCTION("""COMPUTED_VALUE"""),"Weathered Cut Copper Stairs")</f>
        <v>Weathered Cut Copper Stairs</v>
      </c>
      <c r="W1241" s="174"/>
    </row>
    <row r="1242">
      <c r="B1242" s="175"/>
      <c r="R1242" s="176"/>
      <c r="U1242" s="172" t="str">
        <f>IFERROR(__xludf.DUMMYFUNCTION("""COMPUTED_VALUE"""),"")</f>
        <v/>
      </c>
      <c r="V1242" s="173" t="str">
        <f>IFERROR(__xludf.DUMMYFUNCTION("""COMPUTED_VALUE"""),"Weeping Vines")</f>
        <v>Weeping Vines</v>
      </c>
      <c r="W1242" s="174"/>
    </row>
    <row r="1243">
      <c r="B1243" s="175"/>
      <c r="R1243" s="176"/>
      <c r="U1243" s="172" t="str">
        <f>IFERROR(__xludf.DUMMYFUNCTION("""COMPUTED_VALUE"""),"")</f>
        <v/>
      </c>
      <c r="V1243" s="173" t="str">
        <f>IFERROR(__xludf.DUMMYFUNCTION("""COMPUTED_VALUE"""),"Wet Sponge")</f>
        <v>Wet Sponge</v>
      </c>
      <c r="W1243" s="174"/>
    </row>
    <row r="1244">
      <c r="B1244" s="175"/>
      <c r="R1244" s="176"/>
      <c r="U1244" s="172" t="str">
        <f>IFERROR(__xludf.DUMMYFUNCTION("""COMPUTED_VALUE"""),"")</f>
        <v/>
      </c>
      <c r="V1244" s="173" t="str">
        <f>IFERROR(__xludf.DUMMYFUNCTION("""COMPUTED_VALUE"""),"Wheat")</f>
        <v>Wheat</v>
      </c>
      <c r="W1244" s="174"/>
    </row>
    <row r="1245">
      <c r="B1245" s="175"/>
      <c r="R1245" s="176"/>
      <c r="U1245" s="172" t="str">
        <f>IFERROR(__xludf.DUMMYFUNCTION("""COMPUTED_VALUE"""),"")</f>
        <v/>
      </c>
      <c r="V1245" s="173" t="str">
        <f>IFERROR(__xludf.DUMMYFUNCTION("""COMPUTED_VALUE"""),"Wheat Seeds")</f>
        <v>Wheat Seeds</v>
      </c>
      <c r="W1245" s="174"/>
    </row>
    <row r="1246">
      <c r="B1246" s="175"/>
      <c r="R1246" s="176"/>
      <c r="U1246" s="172" t="str">
        <f>IFERROR(__xludf.DUMMYFUNCTION("""COMPUTED_VALUE"""),"")</f>
        <v/>
      </c>
      <c r="V1246" s="173" t="str">
        <f>IFERROR(__xludf.DUMMYFUNCTION("""COMPUTED_VALUE"""),"White Banner")</f>
        <v>White Banner</v>
      </c>
      <c r="W1246" s="174"/>
    </row>
    <row r="1247">
      <c r="B1247" s="175"/>
      <c r="R1247" s="176"/>
      <c r="U1247" s="172" t="str">
        <f>IFERROR(__xludf.DUMMYFUNCTION("""COMPUTED_VALUE"""),"")</f>
        <v/>
      </c>
      <c r="V1247" s="173" t="str">
        <f>IFERROR(__xludf.DUMMYFUNCTION("""COMPUTED_VALUE"""),"White Bed")</f>
        <v>White Bed</v>
      </c>
      <c r="W1247" s="174"/>
    </row>
    <row r="1248">
      <c r="B1248" s="175"/>
      <c r="R1248" s="176"/>
      <c r="U1248" s="172" t="str">
        <f>IFERROR(__xludf.DUMMYFUNCTION("""COMPUTED_VALUE"""),"")</f>
        <v/>
      </c>
      <c r="V1248" s="173" t="str">
        <f>IFERROR(__xludf.DUMMYFUNCTION("""COMPUTED_VALUE"""),"White Candle")</f>
        <v>White Candle</v>
      </c>
      <c r="W1248" s="174"/>
    </row>
    <row r="1249">
      <c r="B1249" s="175"/>
      <c r="R1249" s="176"/>
      <c r="U1249" s="172" t="str">
        <f>IFERROR(__xludf.DUMMYFUNCTION("""COMPUTED_VALUE"""),"")</f>
        <v/>
      </c>
      <c r="V1249" s="173" t="str">
        <f>IFERROR(__xludf.DUMMYFUNCTION("""COMPUTED_VALUE"""),"White Carpet")</f>
        <v>White Carpet</v>
      </c>
      <c r="W1249" s="174"/>
    </row>
    <row r="1250">
      <c r="B1250" s="175"/>
      <c r="R1250" s="176"/>
      <c r="U1250" s="172" t="str">
        <f>IFERROR(__xludf.DUMMYFUNCTION("""COMPUTED_VALUE"""),"")</f>
        <v/>
      </c>
      <c r="V1250" s="173" t="str">
        <f>IFERROR(__xludf.DUMMYFUNCTION("""COMPUTED_VALUE"""),"White Concrete")</f>
        <v>White Concrete</v>
      </c>
      <c r="W1250" s="174"/>
    </row>
    <row r="1251">
      <c r="B1251" s="175"/>
      <c r="R1251" s="176"/>
      <c r="U1251" s="172" t="str">
        <f>IFERROR(__xludf.DUMMYFUNCTION("""COMPUTED_VALUE"""),"")</f>
        <v/>
      </c>
      <c r="V1251" s="173" t="str">
        <f>IFERROR(__xludf.DUMMYFUNCTION("""COMPUTED_VALUE"""),"White Concrete Powder")</f>
        <v>White Concrete Powder</v>
      </c>
      <c r="W1251" s="174"/>
    </row>
    <row r="1252">
      <c r="B1252" s="175"/>
      <c r="R1252" s="176"/>
      <c r="U1252" s="172" t="str">
        <f>IFERROR(__xludf.DUMMYFUNCTION("""COMPUTED_VALUE"""),"")</f>
        <v/>
      </c>
      <c r="V1252" s="173" t="str">
        <f>IFERROR(__xludf.DUMMYFUNCTION("""COMPUTED_VALUE"""),"White Dye")</f>
        <v>White Dye</v>
      </c>
      <c r="W1252" s="174"/>
    </row>
    <row r="1253">
      <c r="B1253" s="175"/>
      <c r="R1253" s="176"/>
      <c r="U1253" s="172" t="str">
        <f>IFERROR(__xludf.DUMMYFUNCTION("""COMPUTED_VALUE"""),"")</f>
        <v/>
      </c>
      <c r="V1253" s="173" t="str">
        <f>IFERROR(__xludf.DUMMYFUNCTION("""COMPUTED_VALUE"""),"White Glazed Terracotta")</f>
        <v>White Glazed Terracotta</v>
      </c>
      <c r="W1253" s="174"/>
    </row>
    <row r="1254">
      <c r="B1254" s="175"/>
      <c r="R1254" s="176"/>
      <c r="U1254" s="172" t="str">
        <f>IFERROR(__xludf.DUMMYFUNCTION("""COMPUTED_VALUE"""),"")</f>
        <v/>
      </c>
      <c r="V1254" s="173" t="str">
        <f>IFERROR(__xludf.DUMMYFUNCTION("""COMPUTED_VALUE"""),"White Shulker Box")</f>
        <v>White Shulker Box</v>
      </c>
      <c r="W1254" s="174"/>
    </row>
    <row r="1255">
      <c r="B1255" s="175"/>
      <c r="R1255" s="176"/>
      <c r="U1255" s="172" t="str">
        <f>IFERROR(__xludf.DUMMYFUNCTION("""COMPUTED_VALUE"""),"")</f>
        <v/>
      </c>
      <c r="V1255" s="173" t="str">
        <f>IFERROR(__xludf.DUMMYFUNCTION("""COMPUTED_VALUE"""),"White Stained Glass")</f>
        <v>White Stained Glass</v>
      </c>
      <c r="W1255" s="174"/>
    </row>
    <row r="1256">
      <c r="B1256" s="175"/>
      <c r="R1256" s="176"/>
      <c r="U1256" s="172" t="str">
        <f>IFERROR(__xludf.DUMMYFUNCTION("""COMPUTED_VALUE"""),"")</f>
        <v/>
      </c>
      <c r="V1256" s="173" t="str">
        <f>IFERROR(__xludf.DUMMYFUNCTION("""COMPUTED_VALUE"""),"White Stained Glass Pane")</f>
        <v>White Stained Glass Pane</v>
      </c>
      <c r="W1256" s="174"/>
    </row>
    <row r="1257">
      <c r="B1257" s="175"/>
      <c r="R1257" s="176"/>
      <c r="U1257" s="172" t="str">
        <f>IFERROR(__xludf.DUMMYFUNCTION("""COMPUTED_VALUE"""),"")</f>
        <v/>
      </c>
      <c r="V1257" s="173" t="str">
        <f>IFERROR(__xludf.DUMMYFUNCTION("""COMPUTED_VALUE"""),"White Terracotta")</f>
        <v>White Terracotta</v>
      </c>
      <c r="W1257" s="174"/>
    </row>
    <row r="1258">
      <c r="B1258" s="175"/>
      <c r="R1258" s="176"/>
      <c r="U1258" s="172" t="str">
        <f>IFERROR(__xludf.DUMMYFUNCTION("""COMPUTED_VALUE"""),"")</f>
        <v/>
      </c>
      <c r="V1258" s="173" t="str">
        <f>IFERROR(__xludf.DUMMYFUNCTION("""COMPUTED_VALUE"""),"White Tulip")</f>
        <v>White Tulip</v>
      </c>
      <c r="W1258" s="174"/>
    </row>
    <row r="1259">
      <c r="B1259" s="175"/>
      <c r="R1259" s="176"/>
      <c r="U1259" s="172" t="str">
        <f>IFERROR(__xludf.DUMMYFUNCTION("""COMPUTED_VALUE"""),"")</f>
        <v/>
      </c>
      <c r="V1259" s="173" t="str">
        <f>IFERROR(__xludf.DUMMYFUNCTION("""COMPUTED_VALUE"""),"White Wool")</f>
        <v>White Wool</v>
      </c>
      <c r="W1259" s="174"/>
    </row>
    <row r="1260">
      <c r="B1260" s="175"/>
      <c r="R1260" s="176"/>
      <c r="U1260" s="172" t="str">
        <f>IFERROR(__xludf.DUMMYFUNCTION("""COMPUTED_VALUE"""),"")</f>
        <v/>
      </c>
      <c r="V1260" s="173" t="str">
        <f>IFERROR(__xludf.DUMMYFUNCTION("""COMPUTED_VALUE"""),"Wild Armor Trim")</f>
        <v>Wild Armor Trim</v>
      </c>
      <c r="W1260" s="174"/>
    </row>
    <row r="1261">
      <c r="B1261" s="175"/>
      <c r="R1261" s="176"/>
      <c r="U1261" s="172" t="str">
        <f>IFERROR(__xludf.DUMMYFUNCTION("""COMPUTED_VALUE"""),"")</f>
        <v/>
      </c>
      <c r="V1261" s="173" t="str">
        <f>IFERROR(__xludf.DUMMYFUNCTION("""COMPUTED_VALUE"""),"Wind Charge")</f>
        <v>Wind Charge</v>
      </c>
      <c r="W1261" s="174"/>
    </row>
    <row r="1262">
      <c r="B1262" s="175"/>
      <c r="R1262" s="176"/>
      <c r="U1262" s="172" t="str">
        <f>IFERROR(__xludf.DUMMYFUNCTION("""COMPUTED_VALUE"""),"")</f>
        <v/>
      </c>
      <c r="V1262" s="173" t="str">
        <f>IFERROR(__xludf.DUMMYFUNCTION("""COMPUTED_VALUE"""),"Wither Rose")</f>
        <v>Wither Rose</v>
      </c>
      <c r="W1262" s="174"/>
    </row>
    <row r="1263">
      <c r="B1263" s="175"/>
      <c r="R1263" s="176"/>
      <c r="U1263" s="172" t="str">
        <f>IFERROR(__xludf.DUMMYFUNCTION("""COMPUTED_VALUE"""),"")</f>
        <v/>
      </c>
      <c r="V1263" s="173" t="str">
        <f>IFERROR(__xludf.DUMMYFUNCTION("""COMPUTED_VALUE"""),"Wither Skeleton Skull")</f>
        <v>Wither Skeleton Skull</v>
      </c>
      <c r="W1263" s="174"/>
    </row>
    <row r="1264">
      <c r="B1264" s="175"/>
      <c r="R1264" s="176"/>
      <c r="U1264" s="172" t="str">
        <f>IFERROR(__xludf.DUMMYFUNCTION("""COMPUTED_VALUE"""),"")</f>
        <v/>
      </c>
      <c r="V1264" s="173" t="str">
        <f>IFERROR(__xludf.DUMMYFUNCTION("""COMPUTED_VALUE"""),"Wolf Armor")</f>
        <v>Wolf Armor</v>
      </c>
      <c r="W1264" s="174"/>
    </row>
    <row r="1265">
      <c r="B1265" s="175"/>
      <c r="R1265" s="176"/>
      <c r="U1265" s="172" t="str">
        <f>IFERROR(__xludf.DUMMYFUNCTION("""COMPUTED_VALUE"""),"")</f>
        <v/>
      </c>
      <c r="V1265" s="173" t="str">
        <f>IFERROR(__xludf.DUMMYFUNCTION("""COMPUTED_VALUE"""),"Wooden Axe")</f>
        <v>Wooden Axe</v>
      </c>
      <c r="W1265" s="174"/>
    </row>
    <row r="1266">
      <c r="B1266" s="175"/>
      <c r="R1266" s="176"/>
      <c r="U1266" s="172" t="str">
        <f>IFERROR(__xludf.DUMMYFUNCTION("""COMPUTED_VALUE"""),"")</f>
        <v/>
      </c>
      <c r="V1266" s="173" t="str">
        <f>IFERROR(__xludf.DUMMYFUNCTION("""COMPUTED_VALUE"""),"Wooden Hoe")</f>
        <v>Wooden Hoe</v>
      </c>
      <c r="W1266" s="174"/>
    </row>
    <row r="1267">
      <c r="B1267" s="175"/>
      <c r="R1267" s="176"/>
      <c r="U1267" s="172" t="str">
        <f>IFERROR(__xludf.DUMMYFUNCTION("""COMPUTED_VALUE"""),"")</f>
        <v/>
      </c>
      <c r="V1267" s="173" t="str">
        <f>IFERROR(__xludf.DUMMYFUNCTION("""COMPUTED_VALUE"""),"Wooden Pickaxe")</f>
        <v>Wooden Pickaxe</v>
      </c>
      <c r="W1267" s="174"/>
    </row>
    <row r="1268">
      <c r="B1268" s="175"/>
      <c r="R1268" s="176"/>
      <c r="U1268" s="172" t="str">
        <f>IFERROR(__xludf.DUMMYFUNCTION("""COMPUTED_VALUE"""),"")</f>
        <v/>
      </c>
      <c r="V1268" s="173" t="str">
        <f>IFERROR(__xludf.DUMMYFUNCTION("""COMPUTED_VALUE"""),"Wooden Shovel")</f>
        <v>Wooden Shovel</v>
      </c>
      <c r="W1268" s="174"/>
    </row>
    <row r="1269">
      <c r="B1269" s="175"/>
      <c r="R1269" s="176"/>
      <c r="U1269" s="172" t="str">
        <f>IFERROR(__xludf.DUMMYFUNCTION("""COMPUTED_VALUE"""),"")</f>
        <v/>
      </c>
      <c r="V1269" s="173" t="str">
        <f>IFERROR(__xludf.DUMMYFUNCTION("""COMPUTED_VALUE"""),"Wooden Sword")</f>
        <v>Wooden Sword</v>
      </c>
      <c r="W1269" s="174"/>
    </row>
    <row r="1270">
      <c r="B1270" s="175"/>
      <c r="R1270" s="176"/>
      <c r="U1270" s="172" t="str">
        <f>IFERROR(__xludf.DUMMYFUNCTION("""COMPUTED_VALUE"""),"")</f>
        <v/>
      </c>
      <c r="V1270" s="173" t="str">
        <f>IFERROR(__xludf.DUMMYFUNCTION("""COMPUTED_VALUE"""),"Writable Book")</f>
        <v>Writable Book</v>
      </c>
      <c r="W1270" s="174"/>
    </row>
    <row r="1271">
      <c r="B1271" s="175"/>
      <c r="R1271" s="176"/>
      <c r="U1271" s="172" t="str">
        <f>IFERROR(__xludf.DUMMYFUNCTION("""COMPUTED_VALUE"""),"")</f>
        <v/>
      </c>
      <c r="V1271" s="173" t="str">
        <f>IFERROR(__xludf.DUMMYFUNCTION("""COMPUTED_VALUE"""),"Written Book")</f>
        <v>Written Book</v>
      </c>
      <c r="W1271" s="174"/>
    </row>
    <row r="1272">
      <c r="B1272" s="175"/>
      <c r="R1272" s="176"/>
      <c r="U1272" s="172" t="str">
        <f>IFERROR(__xludf.DUMMYFUNCTION("""COMPUTED_VALUE"""),"")</f>
        <v/>
      </c>
      <c r="V1272" s="173" t="str">
        <f>IFERROR(__xludf.DUMMYFUNCTION("""COMPUTED_VALUE"""),"Yellow Banner")</f>
        <v>Yellow Banner</v>
      </c>
      <c r="W1272" s="174"/>
    </row>
    <row r="1273">
      <c r="B1273" s="175"/>
      <c r="R1273" s="176"/>
      <c r="U1273" s="172" t="str">
        <f>IFERROR(__xludf.DUMMYFUNCTION("""COMPUTED_VALUE"""),"")</f>
        <v/>
      </c>
      <c r="V1273" s="173" t="str">
        <f>IFERROR(__xludf.DUMMYFUNCTION("""COMPUTED_VALUE"""),"Yellow Bed")</f>
        <v>Yellow Bed</v>
      </c>
      <c r="W1273" s="174"/>
    </row>
    <row r="1274">
      <c r="B1274" s="175"/>
      <c r="R1274" s="176"/>
      <c r="U1274" s="172" t="str">
        <f>IFERROR(__xludf.DUMMYFUNCTION("""COMPUTED_VALUE"""),"")</f>
        <v/>
      </c>
      <c r="V1274" s="173" t="str">
        <f>IFERROR(__xludf.DUMMYFUNCTION("""COMPUTED_VALUE"""),"Yellow Candle")</f>
        <v>Yellow Candle</v>
      </c>
      <c r="W1274" s="174"/>
    </row>
    <row r="1275">
      <c r="B1275" s="175"/>
      <c r="R1275" s="176"/>
      <c r="U1275" s="172" t="str">
        <f>IFERROR(__xludf.DUMMYFUNCTION("""COMPUTED_VALUE"""),"")</f>
        <v/>
      </c>
      <c r="V1275" s="173" t="str">
        <f>IFERROR(__xludf.DUMMYFUNCTION("""COMPUTED_VALUE"""),"Yellow Carpet")</f>
        <v>Yellow Carpet</v>
      </c>
      <c r="W1275" s="174"/>
    </row>
    <row r="1276">
      <c r="B1276" s="175"/>
      <c r="R1276" s="176"/>
      <c r="U1276" s="172" t="str">
        <f>IFERROR(__xludf.DUMMYFUNCTION("""COMPUTED_VALUE"""),"")</f>
        <v/>
      </c>
      <c r="V1276" s="173" t="str">
        <f>IFERROR(__xludf.DUMMYFUNCTION("""COMPUTED_VALUE"""),"Yellow Concrete")</f>
        <v>Yellow Concrete</v>
      </c>
      <c r="W1276" s="174"/>
    </row>
    <row r="1277">
      <c r="B1277" s="175"/>
      <c r="R1277" s="176"/>
      <c r="U1277" s="172" t="str">
        <f>IFERROR(__xludf.DUMMYFUNCTION("""COMPUTED_VALUE"""),"")</f>
        <v/>
      </c>
      <c r="V1277" s="173" t="str">
        <f>IFERROR(__xludf.DUMMYFUNCTION("""COMPUTED_VALUE"""),"Yellow Concrete Powder")</f>
        <v>Yellow Concrete Powder</v>
      </c>
      <c r="W1277" s="174"/>
    </row>
    <row r="1278">
      <c r="B1278" s="175"/>
      <c r="R1278" s="176"/>
      <c r="U1278" s="172" t="str">
        <f>IFERROR(__xludf.DUMMYFUNCTION("""COMPUTED_VALUE"""),"")</f>
        <v/>
      </c>
      <c r="V1278" s="173" t="str">
        <f>IFERROR(__xludf.DUMMYFUNCTION("""COMPUTED_VALUE"""),"Yellow Dye")</f>
        <v>Yellow Dye</v>
      </c>
      <c r="W1278" s="174"/>
    </row>
    <row r="1279">
      <c r="B1279" s="175"/>
      <c r="R1279" s="176"/>
      <c r="U1279" s="172" t="str">
        <f>IFERROR(__xludf.DUMMYFUNCTION("""COMPUTED_VALUE"""),"")</f>
        <v/>
      </c>
      <c r="V1279" s="173" t="str">
        <f>IFERROR(__xludf.DUMMYFUNCTION("""COMPUTED_VALUE"""),"Yellow Glazed Terracotta")</f>
        <v>Yellow Glazed Terracotta</v>
      </c>
      <c r="W1279" s="174"/>
    </row>
    <row r="1280">
      <c r="B1280" s="175"/>
      <c r="R1280" s="176"/>
      <c r="U1280" s="172" t="str">
        <f>IFERROR(__xludf.DUMMYFUNCTION("""COMPUTED_VALUE"""),"")</f>
        <v/>
      </c>
      <c r="V1280" s="173" t="str">
        <f>IFERROR(__xludf.DUMMYFUNCTION("""COMPUTED_VALUE"""),"Yellow Shulker Box")</f>
        <v>Yellow Shulker Box</v>
      </c>
      <c r="W1280" s="174"/>
    </row>
    <row r="1281">
      <c r="B1281" s="175"/>
      <c r="R1281" s="176"/>
      <c r="U1281" s="172" t="str">
        <f>IFERROR(__xludf.DUMMYFUNCTION("""COMPUTED_VALUE"""),"")</f>
        <v/>
      </c>
      <c r="V1281" s="173" t="str">
        <f>IFERROR(__xludf.DUMMYFUNCTION("""COMPUTED_VALUE"""),"Yellow Stained Glass")</f>
        <v>Yellow Stained Glass</v>
      </c>
      <c r="W1281" s="174"/>
    </row>
    <row r="1282">
      <c r="B1282" s="175"/>
      <c r="R1282" s="176"/>
      <c r="U1282" s="172" t="str">
        <f>IFERROR(__xludf.DUMMYFUNCTION("""COMPUTED_VALUE"""),"")</f>
        <v/>
      </c>
      <c r="V1282" s="173" t="str">
        <f>IFERROR(__xludf.DUMMYFUNCTION("""COMPUTED_VALUE"""),"Yellow Stained Glass Pane")</f>
        <v>Yellow Stained Glass Pane</v>
      </c>
      <c r="W1282" s="174"/>
    </row>
    <row r="1283">
      <c r="B1283" s="175"/>
      <c r="R1283" s="176"/>
      <c r="U1283" s="172" t="str">
        <f>IFERROR(__xludf.DUMMYFUNCTION("""COMPUTED_VALUE"""),"")</f>
        <v/>
      </c>
      <c r="V1283" s="173" t="str">
        <f>IFERROR(__xludf.DUMMYFUNCTION("""COMPUTED_VALUE"""),"Yellow Terracotta")</f>
        <v>Yellow Terracotta</v>
      </c>
      <c r="W1283" s="174"/>
    </row>
    <row r="1284">
      <c r="B1284" s="175"/>
      <c r="R1284" s="176"/>
      <c r="U1284" s="172" t="str">
        <f>IFERROR(__xludf.DUMMYFUNCTION("""COMPUTED_VALUE"""),"")</f>
        <v/>
      </c>
      <c r="V1284" s="173" t="str">
        <f>IFERROR(__xludf.DUMMYFUNCTION("""COMPUTED_VALUE"""),"Yellow Wool")</f>
        <v>Yellow Wool</v>
      </c>
      <c r="W1284" s="174"/>
    </row>
    <row r="1285">
      <c r="B1285" s="175"/>
      <c r="R1285" s="176"/>
      <c r="U1285" s="172" t="str">
        <f>IFERROR(__xludf.DUMMYFUNCTION("""COMPUTED_VALUE"""),"")</f>
        <v/>
      </c>
      <c r="V1285" s="173" t="str">
        <f>IFERROR(__xludf.DUMMYFUNCTION("""COMPUTED_VALUE"""),"Zombie Head")</f>
        <v>Zombie Head</v>
      </c>
      <c r="W1285" s="174"/>
    </row>
  </sheetData>
  <mergeCells count="915">
    <mergeCell ref="D191:G191"/>
    <mergeCell ref="H191:R191"/>
    <mergeCell ref="B189:C189"/>
    <mergeCell ref="D189:G189"/>
    <mergeCell ref="H189:R189"/>
    <mergeCell ref="B190:C190"/>
    <mergeCell ref="D190:G190"/>
    <mergeCell ref="H190:R190"/>
    <mergeCell ref="B191:C191"/>
    <mergeCell ref="D194:G194"/>
    <mergeCell ref="H194:R194"/>
    <mergeCell ref="B192:C192"/>
    <mergeCell ref="D192:G192"/>
    <mergeCell ref="H192:R192"/>
    <mergeCell ref="B193:C193"/>
    <mergeCell ref="D193:G193"/>
    <mergeCell ref="H193:R193"/>
    <mergeCell ref="B194:C194"/>
    <mergeCell ref="D197:G197"/>
    <mergeCell ref="H197:R197"/>
    <mergeCell ref="B195:C195"/>
    <mergeCell ref="D195:G195"/>
    <mergeCell ref="H195:R195"/>
    <mergeCell ref="B196:C196"/>
    <mergeCell ref="D196:G196"/>
    <mergeCell ref="H196:R196"/>
    <mergeCell ref="B197:C197"/>
    <mergeCell ref="D200:G200"/>
    <mergeCell ref="H200:R200"/>
    <mergeCell ref="B198:C198"/>
    <mergeCell ref="D198:G198"/>
    <mergeCell ref="H198:R198"/>
    <mergeCell ref="B199:C199"/>
    <mergeCell ref="D199:G199"/>
    <mergeCell ref="H199:R199"/>
    <mergeCell ref="B200:C200"/>
    <mergeCell ref="D203:G203"/>
    <mergeCell ref="H203:R203"/>
    <mergeCell ref="B201:C201"/>
    <mergeCell ref="D201:G201"/>
    <mergeCell ref="H201:R201"/>
    <mergeCell ref="B202:C202"/>
    <mergeCell ref="D202:G202"/>
    <mergeCell ref="H202:R202"/>
    <mergeCell ref="B203:C203"/>
    <mergeCell ref="D206:G206"/>
    <mergeCell ref="H206:R206"/>
    <mergeCell ref="B204:C204"/>
    <mergeCell ref="D204:G204"/>
    <mergeCell ref="H204:R204"/>
    <mergeCell ref="B205:C205"/>
    <mergeCell ref="D205:G205"/>
    <mergeCell ref="H205:R205"/>
    <mergeCell ref="B206:C206"/>
    <mergeCell ref="D209:G209"/>
    <mergeCell ref="H209:R209"/>
    <mergeCell ref="B207:C207"/>
    <mergeCell ref="D207:G207"/>
    <mergeCell ref="H207:R207"/>
    <mergeCell ref="B208:C208"/>
    <mergeCell ref="D208:G208"/>
    <mergeCell ref="H208:R208"/>
    <mergeCell ref="B209:C209"/>
    <mergeCell ref="D212:G212"/>
    <mergeCell ref="H212:R212"/>
    <mergeCell ref="B210:C210"/>
    <mergeCell ref="D210:G210"/>
    <mergeCell ref="H210:R210"/>
    <mergeCell ref="B211:C211"/>
    <mergeCell ref="D211:G211"/>
    <mergeCell ref="H211:R211"/>
    <mergeCell ref="B212:C212"/>
    <mergeCell ref="D215:G215"/>
    <mergeCell ref="H215:R215"/>
    <mergeCell ref="B213:C213"/>
    <mergeCell ref="D213:G213"/>
    <mergeCell ref="H213:R213"/>
    <mergeCell ref="B214:C214"/>
    <mergeCell ref="D214:G214"/>
    <mergeCell ref="H214:R214"/>
    <mergeCell ref="B215:C215"/>
    <mergeCell ref="D218:G218"/>
    <mergeCell ref="H218:R218"/>
    <mergeCell ref="B216:C216"/>
    <mergeCell ref="D216:G216"/>
    <mergeCell ref="H216:R216"/>
    <mergeCell ref="B217:C217"/>
    <mergeCell ref="D217:G217"/>
    <mergeCell ref="H217:R217"/>
    <mergeCell ref="B218:C218"/>
    <mergeCell ref="D221:G221"/>
    <mergeCell ref="H221:R221"/>
    <mergeCell ref="B219:C219"/>
    <mergeCell ref="D219:G219"/>
    <mergeCell ref="H219:R219"/>
    <mergeCell ref="B220:C220"/>
    <mergeCell ref="D220:G220"/>
    <mergeCell ref="H220:R220"/>
    <mergeCell ref="B221:C221"/>
    <mergeCell ref="D224:G224"/>
    <mergeCell ref="H224:R224"/>
    <mergeCell ref="B222:C222"/>
    <mergeCell ref="D222:G222"/>
    <mergeCell ref="H222:R222"/>
    <mergeCell ref="B223:C223"/>
    <mergeCell ref="D223:G223"/>
    <mergeCell ref="H223:R223"/>
    <mergeCell ref="B224:C224"/>
    <mergeCell ref="D227:G227"/>
    <mergeCell ref="H227:R227"/>
    <mergeCell ref="B225:C225"/>
    <mergeCell ref="D225:G225"/>
    <mergeCell ref="H225:R225"/>
    <mergeCell ref="B226:C226"/>
    <mergeCell ref="D226:G226"/>
    <mergeCell ref="H226:R226"/>
    <mergeCell ref="B227:C227"/>
    <mergeCell ref="D230:G230"/>
    <mergeCell ref="H230:R230"/>
    <mergeCell ref="B228:C228"/>
    <mergeCell ref="D228:G228"/>
    <mergeCell ref="H228:R228"/>
    <mergeCell ref="B229:C229"/>
    <mergeCell ref="D229:G229"/>
    <mergeCell ref="H229:R229"/>
    <mergeCell ref="B230:C230"/>
    <mergeCell ref="D233:G233"/>
    <mergeCell ref="H233:R233"/>
    <mergeCell ref="B231:C231"/>
    <mergeCell ref="D231:G231"/>
    <mergeCell ref="H231:R231"/>
    <mergeCell ref="B232:C232"/>
    <mergeCell ref="D232:G232"/>
    <mergeCell ref="H232:R232"/>
    <mergeCell ref="B233:C233"/>
    <mergeCell ref="D236:G236"/>
    <mergeCell ref="H236:R236"/>
    <mergeCell ref="B234:C234"/>
    <mergeCell ref="D234:G234"/>
    <mergeCell ref="H234:R234"/>
    <mergeCell ref="B235:C235"/>
    <mergeCell ref="D235:G235"/>
    <mergeCell ref="H235:R235"/>
    <mergeCell ref="B236:C236"/>
    <mergeCell ref="D239:G239"/>
    <mergeCell ref="H239:R239"/>
    <mergeCell ref="B237:C237"/>
    <mergeCell ref="D237:G237"/>
    <mergeCell ref="H237:R237"/>
    <mergeCell ref="B238:C238"/>
    <mergeCell ref="D238:G238"/>
    <mergeCell ref="H238:R238"/>
    <mergeCell ref="B239:C239"/>
    <mergeCell ref="D242:G242"/>
    <mergeCell ref="H242:R242"/>
    <mergeCell ref="B240:C240"/>
    <mergeCell ref="D240:G240"/>
    <mergeCell ref="H240:R240"/>
    <mergeCell ref="B241:C241"/>
    <mergeCell ref="D241:G241"/>
    <mergeCell ref="H241:R241"/>
    <mergeCell ref="B242:C242"/>
    <mergeCell ref="D245:G245"/>
    <mergeCell ref="H245:R245"/>
    <mergeCell ref="B243:C243"/>
    <mergeCell ref="D243:G243"/>
    <mergeCell ref="H243:R243"/>
    <mergeCell ref="B244:C244"/>
    <mergeCell ref="D244:G244"/>
    <mergeCell ref="H244:R244"/>
    <mergeCell ref="B245:C245"/>
    <mergeCell ref="D248:G248"/>
    <mergeCell ref="H248:R248"/>
    <mergeCell ref="B246:C246"/>
    <mergeCell ref="D246:G246"/>
    <mergeCell ref="H246:R246"/>
    <mergeCell ref="B247:C247"/>
    <mergeCell ref="D247:G247"/>
    <mergeCell ref="H247:R247"/>
    <mergeCell ref="B248:C248"/>
    <mergeCell ref="D251:G251"/>
    <mergeCell ref="H251:R251"/>
    <mergeCell ref="B249:C249"/>
    <mergeCell ref="D249:G249"/>
    <mergeCell ref="H249:R249"/>
    <mergeCell ref="B250:C250"/>
    <mergeCell ref="D250:G250"/>
    <mergeCell ref="H250:R250"/>
    <mergeCell ref="B251:C251"/>
    <mergeCell ref="D254:G254"/>
    <mergeCell ref="H254:R254"/>
    <mergeCell ref="B252:C252"/>
    <mergeCell ref="D252:G252"/>
    <mergeCell ref="H252:R252"/>
    <mergeCell ref="B253:C253"/>
    <mergeCell ref="D253:G253"/>
    <mergeCell ref="H253:R253"/>
    <mergeCell ref="B254:C254"/>
    <mergeCell ref="D257:G257"/>
    <mergeCell ref="H257:R257"/>
    <mergeCell ref="B255:C255"/>
    <mergeCell ref="D255:G255"/>
    <mergeCell ref="H255:R255"/>
    <mergeCell ref="B256:C256"/>
    <mergeCell ref="D256:G256"/>
    <mergeCell ref="H256:R256"/>
    <mergeCell ref="B257:C257"/>
    <mergeCell ref="D260:G260"/>
    <mergeCell ref="H260:R260"/>
    <mergeCell ref="B258:C258"/>
    <mergeCell ref="D258:G258"/>
    <mergeCell ref="H258:R258"/>
    <mergeCell ref="B259:C259"/>
    <mergeCell ref="D259:G259"/>
    <mergeCell ref="H259:R259"/>
    <mergeCell ref="B260:C260"/>
    <mergeCell ref="D263:G263"/>
    <mergeCell ref="H263:R263"/>
    <mergeCell ref="B261:C261"/>
    <mergeCell ref="D261:G261"/>
    <mergeCell ref="H261:R261"/>
    <mergeCell ref="B262:C262"/>
    <mergeCell ref="D262:G262"/>
    <mergeCell ref="H262:R262"/>
    <mergeCell ref="B263:C263"/>
    <mergeCell ref="D266:G266"/>
    <mergeCell ref="H266:R266"/>
    <mergeCell ref="B264:C264"/>
    <mergeCell ref="D264:G264"/>
    <mergeCell ref="H264:R264"/>
    <mergeCell ref="B265:C265"/>
    <mergeCell ref="D265:G265"/>
    <mergeCell ref="H265:R265"/>
    <mergeCell ref="B266:C266"/>
    <mergeCell ref="D269:G269"/>
    <mergeCell ref="H269:R269"/>
    <mergeCell ref="B267:C267"/>
    <mergeCell ref="D267:G267"/>
    <mergeCell ref="H267:R267"/>
    <mergeCell ref="B268:C268"/>
    <mergeCell ref="D268:G268"/>
    <mergeCell ref="H268:R268"/>
    <mergeCell ref="B269:C269"/>
    <mergeCell ref="D272:G272"/>
    <mergeCell ref="H272:R272"/>
    <mergeCell ref="B270:C270"/>
    <mergeCell ref="D270:G270"/>
    <mergeCell ref="H270:R270"/>
    <mergeCell ref="B271:C271"/>
    <mergeCell ref="D271:G271"/>
    <mergeCell ref="H271:R271"/>
    <mergeCell ref="B272:C272"/>
    <mergeCell ref="D296:G296"/>
    <mergeCell ref="H296:R296"/>
    <mergeCell ref="B294:C294"/>
    <mergeCell ref="D294:G294"/>
    <mergeCell ref="H294:R294"/>
    <mergeCell ref="B295:C295"/>
    <mergeCell ref="D295:G295"/>
    <mergeCell ref="H295:R295"/>
    <mergeCell ref="B296:C296"/>
    <mergeCell ref="D299:G299"/>
    <mergeCell ref="H299:R299"/>
    <mergeCell ref="B297:C297"/>
    <mergeCell ref="D297:G297"/>
    <mergeCell ref="H297:R297"/>
    <mergeCell ref="B298:C298"/>
    <mergeCell ref="D298:G298"/>
    <mergeCell ref="H298:R298"/>
    <mergeCell ref="B299:C299"/>
    <mergeCell ref="D302:G302"/>
    <mergeCell ref="H302:R302"/>
    <mergeCell ref="B300:C300"/>
    <mergeCell ref="D300:G300"/>
    <mergeCell ref="H300:R300"/>
    <mergeCell ref="B301:C301"/>
    <mergeCell ref="D301:G301"/>
    <mergeCell ref="H301:R301"/>
    <mergeCell ref="B302:C302"/>
    <mergeCell ref="D305:G305"/>
    <mergeCell ref="H305:R305"/>
    <mergeCell ref="B303:C303"/>
    <mergeCell ref="D303:G303"/>
    <mergeCell ref="H303:R303"/>
    <mergeCell ref="B304:C304"/>
    <mergeCell ref="D304:G304"/>
    <mergeCell ref="H304:R304"/>
    <mergeCell ref="B305:C305"/>
    <mergeCell ref="D308:G308"/>
    <mergeCell ref="H308:R308"/>
    <mergeCell ref="B306:C306"/>
    <mergeCell ref="D306:G306"/>
    <mergeCell ref="H306:R306"/>
    <mergeCell ref="B307:C307"/>
    <mergeCell ref="D307:G307"/>
    <mergeCell ref="H307:R307"/>
    <mergeCell ref="B308:C308"/>
    <mergeCell ref="D77:G77"/>
    <mergeCell ref="H77:R77"/>
    <mergeCell ref="B75:C75"/>
    <mergeCell ref="D75:G75"/>
    <mergeCell ref="H75:R75"/>
    <mergeCell ref="B76:C76"/>
    <mergeCell ref="D76:G76"/>
    <mergeCell ref="H76:R76"/>
    <mergeCell ref="B77:C77"/>
    <mergeCell ref="D80:G80"/>
    <mergeCell ref="H80:R80"/>
    <mergeCell ref="B78:C78"/>
    <mergeCell ref="D78:G78"/>
    <mergeCell ref="H78:R78"/>
    <mergeCell ref="B79:C79"/>
    <mergeCell ref="D79:G79"/>
    <mergeCell ref="H79:R79"/>
    <mergeCell ref="B80:C80"/>
    <mergeCell ref="D83:G83"/>
    <mergeCell ref="H83:R83"/>
    <mergeCell ref="B81:C81"/>
    <mergeCell ref="D81:G81"/>
    <mergeCell ref="H81:R81"/>
    <mergeCell ref="B82:C82"/>
    <mergeCell ref="D82:G82"/>
    <mergeCell ref="H82:R82"/>
    <mergeCell ref="B83:C83"/>
    <mergeCell ref="D311:G311"/>
    <mergeCell ref="H311:R311"/>
    <mergeCell ref="B309:C309"/>
    <mergeCell ref="D309:G309"/>
    <mergeCell ref="H309:R309"/>
    <mergeCell ref="B310:C310"/>
    <mergeCell ref="D310:G310"/>
    <mergeCell ref="H310:R310"/>
    <mergeCell ref="B311:C311"/>
    <mergeCell ref="D275:G275"/>
    <mergeCell ref="H275:R275"/>
    <mergeCell ref="B273:C273"/>
    <mergeCell ref="D273:G273"/>
    <mergeCell ref="H273:R273"/>
    <mergeCell ref="B274:C274"/>
    <mergeCell ref="D274:G274"/>
    <mergeCell ref="H274:R274"/>
    <mergeCell ref="B275:C275"/>
    <mergeCell ref="D278:G278"/>
    <mergeCell ref="H278:R278"/>
    <mergeCell ref="B276:C276"/>
    <mergeCell ref="D276:G276"/>
    <mergeCell ref="H276:R276"/>
    <mergeCell ref="B277:C277"/>
    <mergeCell ref="D277:G277"/>
    <mergeCell ref="H277:R277"/>
    <mergeCell ref="B278:C278"/>
    <mergeCell ref="D281:G281"/>
    <mergeCell ref="H281:R281"/>
    <mergeCell ref="B279:C279"/>
    <mergeCell ref="D279:G279"/>
    <mergeCell ref="H279:R279"/>
    <mergeCell ref="B280:C280"/>
    <mergeCell ref="D280:G280"/>
    <mergeCell ref="H280:R280"/>
    <mergeCell ref="B281:C281"/>
    <mergeCell ref="D284:G284"/>
    <mergeCell ref="H284:R284"/>
    <mergeCell ref="B282:C282"/>
    <mergeCell ref="D282:G282"/>
    <mergeCell ref="H282:R282"/>
    <mergeCell ref="B283:C283"/>
    <mergeCell ref="D283:G283"/>
    <mergeCell ref="H283:R283"/>
    <mergeCell ref="B284:C284"/>
    <mergeCell ref="D287:G287"/>
    <mergeCell ref="H287:R287"/>
    <mergeCell ref="B285:C285"/>
    <mergeCell ref="D285:G285"/>
    <mergeCell ref="H285:R285"/>
    <mergeCell ref="B286:C286"/>
    <mergeCell ref="D286:G286"/>
    <mergeCell ref="H286:R286"/>
    <mergeCell ref="B287:C287"/>
    <mergeCell ref="D290:G290"/>
    <mergeCell ref="H290:R290"/>
    <mergeCell ref="B288:C288"/>
    <mergeCell ref="D288:G288"/>
    <mergeCell ref="H288:R288"/>
    <mergeCell ref="B289:C289"/>
    <mergeCell ref="D289:G289"/>
    <mergeCell ref="H289:R289"/>
    <mergeCell ref="B290:C290"/>
    <mergeCell ref="D293:G293"/>
    <mergeCell ref="H293:R293"/>
    <mergeCell ref="B291:C291"/>
    <mergeCell ref="D291:G291"/>
    <mergeCell ref="H291:R291"/>
    <mergeCell ref="B292:C292"/>
    <mergeCell ref="D292:G292"/>
    <mergeCell ref="H292:R292"/>
    <mergeCell ref="B293:C293"/>
    <mergeCell ref="H21:M21"/>
    <mergeCell ref="H22:M22"/>
    <mergeCell ref="H23:M23"/>
    <mergeCell ref="H24:M24"/>
    <mergeCell ref="E18:G18"/>
    <mergeCell ref="H18:M18"/>
    <mergeCell ref="B19:C19"/>
    <mergeCell ref="E19:G19"/>
    <mergeCell ref="H19:M19"/>
    <mergeCell ref="E20:G20"/>
    <mergeCell ref="H20:M20"/>
    <mergeCell ref="B25:C25"/>
    <mergeCell ref="E25:G25"/>
    <mergeCell ref="H25:M25"/>
    <mergeCell ref="U25:W25"/>
    <mergeCell ref="B26:C26"/>
    <mergeCell ref="E26:G26"/>
    <mergeCell ref="H26:M26"/>
    <mergeCell ref="U26:W26"/>
    <mergeCell ref="B30:M30"/>
    <mergeCell ref="P30:W30"/>
    <mergeCell ref="B27:C27"/>
    <mergeCell ref="E27:G27"/>
    <mergeCell ref="H27:M27"/>
    <mergeCell ref="U27:W27"/>
    <mergeCell ref="B28:C28"/>
    <mergeCell ref="E28:G28"/>
    <mergeCell ref="H28:M28"/>
    <mergeCell ref="U47:U48"/>
    <mergeCell ref="V47:V48"/>
    <mergeCell ref="D44:D45"/>
    <mergeCell ref="E44:I45"/>
    <mergeCell ref="J44:M45"/>
    <mergeCell ref="P44:P45"/>
    <mergeCell ref="Q44:Q45"/>
    <mergeCell ref="U44:U45"/>
    <mergeCell ref="V44:V45"/>
    <mergeCell ref="B44:C45"/>
    <mergeCell ref="B47:C48"/>
    <mergeCell ref="D47:D48"/>
    <mergeCell ref="E47:I48"/>
    <mergeCell ref="J47:M48"/>
    <mergeCell ref="P47:P48"/>
    <mergeCell ref="Q47:Q48"/>
    <mergeCell ref="G52:G53"/>
    <mergeCell ref="I52:K53"/>
    <mergeCell ref="P53:P54"/>
    <mergeCell ref="Q53:Q54"/>
    <mergeCell ref="U53:U54"/>
    <mergeCell ref="V53:V54"/>
    <mergeCell ref="B50:G51"/>
    <mergeCell ref="I50:M51"/>
    <mergeCell ref="P50:P51"/>
    <mergeCell ref="Q50:Q51"/>
    <mergeCell ref="U50:U51"/>
    <mergeCell ref="V50:V51"/>
    <mergeCell ref="B52:C53"/>
    <mergeCell ref="L52:M53"/>
    <mergeCell ref="J54:K55"/>
    <mergeCell ref="L54:L55"/>
    <mergeCell ref="M54:M55"/>
    <mergeCell ref="P56:P57"/>
    <mergeCell ref="Q56:Q57"/>
    <mergeCell ref="U56:U57"/>
    <mergeCell ref="V56:V57"/>
    <mergeCell ref="I57:M58"/>
    <mergeCell ref="D52:E53"/>
    <mergeCell ref="F52:F53"/>
    <mergeCell ref="B54:C55"/>
    <mergeCell ref="D54:E55"/>
    <mergeCell ref="F54:F55"/>
    <mergeCell ref="G54:G55"/>
    <mergeCell ref="I54:I55"/>
    <mergeCell ref="B57:G58"/>
    <mergeCell ref="B59:C59"/>
    <mergeCell ref="D59:E59"/>
    <mergeCell ref="I59:J59"/>
    <mergeCell ref="B60:C60"/>
    <mergeCell ref="D60:E60"/>
    <mergeCell ref="I60:J60"/>
    <mergeCell ref="H4:M4"/>
    <mergeCell ref="P4:W4"/>
    <mergeCell ref="A1:X1"/>
    <mergeCell ref="B2:E2"/>
    <mergeCell ref="F2:G2"/>
    <mergeCell ref="H2:K2"/>
    <mergeCell ref="N2:Q2"/>
    <mergeCell ref="S2:V2"/>
    <mergeCell ref="B4:G4"/>
    <mergeCell ref="P7:R7"/>
    <mergeCell ref="S7:W7"/>
    <mergeCell ref="B5:G5"/>
    <mergeCell ref="H5:M5"/>
    <mergeCell ref="P5:R5"/>
    <mergeCell ref="S5:W5"/>
    <mergeCell ref="S6:W6"/>
    <mergeCell ref="B7:G7"/>
    <mergeCell ref="H7:M7"/>
    <mergeCell ref="B8:G8"/>
    <mergeCell ref="H8:M8"/>
    <mergeCell ref="P8:R8"/>
    <mergeCell ref="S8:W8"/>
    <mergeCell ref="B10:G10"/>
    <mergeCell ref="H10:M10"/>
    <mergeCell ref="P10:W10"/>
    <mergeCell ref="B11:G11"/>
    <mergeCell ref="H11:M11"/>
    <mergeCell ref="P11:R11"/>
    <mergeCell ref="P12:R12"/>
    <mergeCell ref="B13:G13"/>
    <mergeCell ref="H13:M13"/>
    <mergeCell ref="P13:R13"/>
    <mergeCell ref="B14:G14"/>
    <mergeCell ref="H14:M14"/>
    <mergeCell ref="P14:R14"/>
    <mergeCell ref="S14:W14"/>
    <mergeCell ref="B16:M16"/>
    <mergeCell ref="P16:W16"/>
    <mergeCell ref="B18:C18"/>
    <mergeCell ref="E23:G23"/>
    <mergeCell ref="E24:G24"/>
    <mergeCell ref="B20:C20"/>
    <mergeCell ref="B21:C21"/>
    <mergeCell ref="E21:G21"/>
    <mergeCell ref="B22:C22"/>
    <mergeCell ref="E22:G22"/>
    <mergeCell ref="B23:C23"/>
    <mergeCell ref="B24:C24"/>
    <mergeCell ref="Q32:Q33"/>
    <mergeCell ref="U32:U33"/>
    <mergeCell ref="V32:V33"/>
    <mergeCell ref="B32:C33"/>
    <mergeCell ref="D32:D33"/>
    <mergeCell ref="E32:G33"/>
    <mergeCell ref="I32:I33"/>
    <mergeCell ref="J32:J33"/>
    <mergeCell ref="K32:M33"/>
    <mergeCell ref="P32:P33"/>
    <mergeCell ref="Q35:Q36"/>
    <mergeCell ref="U35:U36"/>
    <mergeCell ref="V35:V36"/>
    <mergeCell ref="B34:E34"/>
    <mergeCell ref="I34:K34"/>
    <mergeCell ref="B35:F36"/>
    <mergeCell ref="G35:G36"/>
    <mergeCell ref="I35:L36"/>
    <mergeCell ref="M35:M36"/>
    <mergeCell ref="P35:P36"/>
    <mergeCell ref="Q38:Q39"/>
    <mergeCell ref="U38:U39"/>
    <mergeCell ref="V38:V39"/>
    <mergeCell ref="B38:C39"/>
    <mergeCell ref="D38:D39"/>
    <mergeCell ref="E38:G39"/>
    <mergeCell ref="I38:I39"/>
    <mergeCell ref="J38:J39"/>
    <mergeCell ref="K38:M39"/>
    <mergeCell ref="P38:P39"/>
    <mergeCell ref="Q41:Q42"/>
    <mergeCell ref="U41:U42"/>
    <mergeCell ref="V41:V42"/>
    <mergeCell ref="B41:C42"/>
    <mergeCell ref="D41:D42"/>
    <mergeCell ref="E41:G42"/>
    <mergeCell ref="I41:I42"/>
    <mergeCell ref="J41:J42"/>
    <mergeCell ref="K41:M42"/>
    <mergeCell ref="P41:P42"/>
    <mergeCell ref="B62:C62"/>
    <mergeCell ref="D62:E62"/>
    <mergeCell ref="F62:G62"/>
    <mergeCell ref="I62:M62"/>
    <mergeCell ref="B64:R64"/>
    <mergeCell ref="U64:W64"/>
    <mergeCell ref="B65:C65"/>
    <mergeCell ref="H68:R68"/>
    <mergeCell ref="H69:R69"/>
    <mergeCell ref="H70:R70"/>
    <mergeCell ref="D65:G65"/>
    <mergeCell ref="H65:R65"/>
    <mergeCell ref="B66:C66"/>
    <mergeCell ref="D66:G66"/>
    <mergeCell ref="H66:R66"/>
    <mergeCell ref="D67:G67"/>
    <mergeCell ref="H67:R67"/>
    <mergeCell ref="B71:C71"/>
    <mergeCell ref="D71:G71"/>
    <mergeCell ref="H71:R71"/>
    <mergeCell ref="B67:C67"/>
    <mergeCell ref="B68:C68"/>
    <mergeCell ref="D68:G68"/>
    <mergeCell ref="B69:C69"/>
    <mergeCell ref="D69:G69"/>
    <mergeCell ref="B70:C70"/>
    <mergeCell ref="D70:G70"/>
    <mergeCell ref="D74:G74"/>
    <mergeCell ref="H74:R74"/>
    <mergeCell ref="B72:C72"/>
    <mergeCell ref="D72:G72"/>
    <mergeCell ref="H72:R72"/>
    <mergeCell ref="B73:C73"/>
    <mergeCell ref="D73:G73"/>
    <mergeCell ref="H73:R73"/>
    <mergeCell ref="B74:C74"/>
    <mergeCell ref="D86:G86"/>
    <mergeCell ref="H86:R86"/>
    <mergeCell ref="B84:C84"/>
    <mergeCell ref="D84:G84"/>
    <mergeCell ref="H84:R84"/>
    <mergeCell ref="B85:C85"/>
    <mergeCell ref="D85:G85"/>
    <mergeCell ref="H85:R85"/>
    <mergeCell ref="B86:C86"/>
    <mergeCell ref="D89:G89"/>
    <mergeCell ref="H89:R89"/>
    <mergeCell ref="B87:C87"/>
    <mergeCell ref="D87:G87"/>
    <mergeCell ref="H87:R87"/>
    <mergeCell ref="B88:C88"/>
    <mergeCell ref="D88:G88"/>
    <mergeCell ref="H88:R88"/>
    <mergeCell ref="B89:C89"/>
    <mergeCell ref="D92:G92"/>
    <mergeCell ref="H92:R92"/>
    <mergeCell ref="B90:C90"/>
    <mergeCell ref="D90:G90"/>
    <mergeCell ref="H90:R90"/>
    <mergeCell ref="B91:C91"/>
    <mergeCell ref="D91:G91"/>
    <mergeCell ref="H91:R91"/>
    <mergeCell ref="B92:C92"/>
    <mergeCell ref="D95:G95"/>
    <mergeCell ref="H95:R95"/>
    <mergeCell ref="B93:C93"/>
    <mergeCell ref="D93:G93"/>
    <mergeCell ref="H93:R93"/>
    <mergeCell ref="B94:C94"/>
    <mergeCell ref="D94:G94"/>
    <mergeCell ref="H94:R94"/>
    <mergeCell ref="B95:C95"/>
    <mergeCell ref="D98:G98"/>
    <mergeCell ref="H98:R98"/>
    <mergeCell ref="B96:C96"/>
    <mergeCell ref="D96:G96"/>
    <mergeCell ref="H96:R96"/>
    <mergeCell ref="B97:C97"/>
    <mergeCell ref="D97:G97"/>
    <mergeCell ref="H97:R97"/>
    <mergeCell ref="B98:C98"/>
    <mergeCell ref="D101:G101"/>
    <mergeCell ref="H101:R101"/>
    <mergeCell ref="B99:C99"/>
    <mergeCell ref="D99:G99"/>
    <mergeCell ref="H99:R99"/>
    <mergeCell ref="B100:C100"/>
    <mergeCell ref="D100:G100"/>
    <mergeCell ref="H100:R100"/>
    <mergeCell ref="B101:C101"/>
    <mergeCell ref="D104:G104"/>
    <mergeCell ref="H104:R104"/>
    <mergeCell ref="B102:C102"/>
    <mergeCell ref="D102:G102"/>
    <mergeCell ref="H102:R102"/>
    <mergeCell ref="B103:C103"/>
    <mergeCell ref="D103:G103"/>
    <mergeCell ref="H103:R103"/>
    <mergeCell ref="B104:C104"/>
    <mergeCell ref="D107:G107"/>
    <mergeCell ref="H107:R107"/>
    <mergeCell ref="B105:C105"/>
    <mergeCell ref="D105:G105"/>
    <mergeCell ref="H105:R105"/>
    <mergeCell ref="B106:C106"/>
    <mergeCell ref="D106:G106"/>
    <mergeCell ref="H106:R106"/>
    <mergeCell ref="B107:C107"/>
    <mergeCell ref="D110:G110"/>
    <mergeCell ref="H110:R110"/>
    <mergeCell ref="B108:C108"/>
    <mergeCell ref="D108:G108"/>
    <mergeCell ref="H108:R108"/>
    <mergeCell ref="B109:C109"/>
    <mergeCell ref="D109:G109"/>
    <mergeCell ref="H109:R109"/>
    <mergeCell ref="B110:C110"/>
    <mergeCell ref="D113:G113"/>
    <mergeCell ref="H113:R113"/>
    <mergeCell ref="B111:C111"/>
    <mergeCell ref="D111:G111"/>
    <mergeCell ref="H111:R111"/>
    <mergeCell ref="B112:C112"/>
    <mergeCell ref="D112:G112"/>
    <mergeCell ref="H112:R112"/>
    <mergeCell ref="B113:C113"/>
    <mergeCell ref="D116:G116"/>
    <mergeCell ref="H116:R116"/>
    <mergeCell ref="B114:C114"/>
    <mergeCell ref="D114:G114"/>
    <mergeCell ref="H114:R114"/>
    <mergeCell ref="B115:C115"/>
    <mergeCell ref="D115:G115"/>
    <mergeCell ref="H115:R115"/>
    <mergeCell ref="B116:C116"/>
    <mergeCell ref="D119:G119"/>
    <mergeCell ref="H119:R119"/>
    <mergeCell ref="B117:C117"/>
    <mergeCell ref="D117:G117"/>
    <mergeCell ref="H117:R117"/>
    <mergeCell ref="B118:C118"/>
    <mergeCell ref="D118:G118"/>
    <mergeCell ref="H118:R118"/>
    <mergeCell ref="B119:C119"/>
    <mergeCell ref="D122:G122"/>
    <mergeCell ref="H122:R122"/>
    <mergeCell ref="B120:C120"/>
    <mergeCell ref="D120:G120"/>
    <mergeCell ref="H120:R120"/>
    <mergeCell ref="B121:C121"/>
    <mergeCell ref="D121:G121"/>
    <mergeCell ref="H121:R121"/>
    <mergeCell ref="B122:C122"/>
    <mergeCell ref="D125:G125"/>
    <mergeCell ref="H125:R125"/>
    <mergeCell ref="B123:C123"/>
    <mergeCell ref="D123:G123"/>
    <mergeCell ref="H123:R123"/>
    <mergeCell ref="B124:C124"/>
    <mergeCell ref="D124:G124"/>
    <mergeCell ref="H124:R124"/>
    <mergeCell ref="B125:C125"/>
    <mergeCell ref="D128:G128"/>
    <mergeCell ref="H128:R128"/>
    <mergeCell ref="B126:C126"/>
    <mergeCell ref="D126:G126"/>
    <mergeCell ref="H126:R126"/>
    <mergeCell ref="B127:C127"/>
    <mergeCell ref="D127:G127"/>
    <mergeCell ref="H127:R127"/>
    <mergeCell ref="B128:C128"/>
    <mergeCell ref="D131:G131"/>
    <mergeCell ref="H131:R131"/>
    <mergeCell ref="B129:C129"/>
    <mergeCell ref="D129:G129"/>
    <mergeCell ref="H129:R129"/>
    <mergeCell ref="B130:C130"/>
    <mergeCell ref="D130:G130"/>
    <mergeCell ref="H130:R130"/>
    <mergeCell ref="B131:C131"/>
    <mergeCell ref="D134:G134"/>
    <mergeCell ref="H134:R134"/>
    <mergeCell ref="B132:C132"/>
    <mergeCell ref="D132:G132"/>
    <mergeCell ref="H132:R132"/>
    <mergeCell ref="B133:C133"/>
    <mergeCell ref="D133:G133"/>
    <mergeCell ref="H133:R133"/>
    <mergeCell ref="B134:C134"/>
    <mergeCell ref="D137:G137"/>
    <mergeCell ref="H137:R137"/>
    <mergeCell ref="B135:C135"/>
    <mergeCell ref="D135:G135"/>
    <mergeCell ref="H135:R135"/>
    <mergeCell ref="B136:C136"/>
    <mergeCell ref="D136:G136"/>
    <mergeCell ref="H136:R136"/>
    <mergeCell ref="B137:C137"/>
    <mergeCell ref="D140:G140"/>
    <mergeCell ref="H140:R140"/>
    <mergeCell ref="B138:C138"/>
    <mergeCell ref="D138:G138"/>
    <mergeCell ref="H138:R138"/>
    <mergeCell ref="B139:C139"/>
    <mergeCell ref="D139:G139"/>
    <mergeCell ref="H139:R139"/>
    <mergeCell ref="B140:C140"/>
    <mergeCell ref="D143:G143"/>
    <mergeCell ref="H143:R143"/>
    <mergeCell ref="B141:C141"/>
    <mergeCell ref="D141:G141"/>
    <mergeCell ref="H141:R141"/>
    <mergeCell ref="B142:C142"/>
    <mergeCell ref="D142:G142"/>
    <mergeCell ref="H142:R142"/>
    <mergeCell ref="B143:C143"/>
    <mergeCell ref="D146:G146"/>
    <mergeCell ref="H146:R146"/>
    <mergeCell ref="B144:C144"/>
    <mergeCell ref="D144:G144"/>
    <mergeCell ref="H144:R144"/>
    <mergeCell ref="B145:C145"/>
    <mergeCell ref="D145:G145"/>
    <mergeCell ref="H145:R145"/>
    <mergeCell ref="B146:C146"/>
    <mergeCell ref="D149:G149"/>
    <mergeCell ref="H149:R149"/>
    <mergeCell ref="B147:C147"/>
    <mergeCell ref="D147:G147"/>
    <mergeCell ref="H147:R147"/>
    <mergeCell ref="B148:C148"/>
    <mergeCell ref="D148:G148"/>
    <mergeCell ref="H148:R148"/>
    <mergeCell ref="B149:C149"/>
    <mergeCell ref="D152:G152"/>
    <mergeCell ref="H152:R152"/>
    <mergeCell ref="B150:C150"/>
    <mergeCell ref="D150:G150"/>
    <mergeCell ref="H150:R150"/>
    <mergeCell ref="B151:C151"/>
    <mergeCell ref="D151:G151"/>
    <mergeCell ref="H151:R151"/>
    <mergeCell ref="B152:C152"/>
    <mergeCell ref="D155:G155"/>
    <mergeCell ref="H155:R155"/>
    <mergeCell ref="B153:C153"/>
    <mergeCell ref="D153:G153"/>
    <mergeCell ref="H153:R153"/>
    <mergeCell ref="B154:C154"/>
    <mergeCell ref="D154:G154"/>
    <mergeCell ref="H154:R154"/>
    <mergeCell ref="B155:C155"/>
    <mergeCell ref="D158:G158"/>
    <mergeCell ref="H158:R158"/>
    <mergeCell ref="B156:C156"/>
    <mergeCell ref="D156:G156"/>
    <mergeCell ref="H156:R156"/>
    <mergeCell ref="B157:C157"/>
    <mergeCell ref="D157:G157"/>
    <mergeCell ref="H157:R157"/>
    <mergeCell ref="B158:C158"/>
    <mergeCell ref="D161:G161"/>
    <mergeCell ref="H161:R161"/>
    <mergeCell ref="B159:C159"/>
    <mergeCell ref="D159:G159"/>
    <mergeCell ref="H159:R159"/>
    <mergeCell ref="B160:C160"/>
    <mergeCell ref="D160:G160"/>
    <mergeCell ref="H160:R160"/>
    <mergeCell ref="B161:C161"/>
    <mergeCell ref="D164:G164"/>
    <mergeCell ref="H164:R164"/>
    <mergeCell ref="B162:C162"/>
    <mergeCell ref="D162:G162"/>
    <mergeCell ref="H162:R162"/>
    <mergeCell ref="B163:C163"/>
    <mergeCell ref="D163:G163"/>
    <mergeCell ref="H163:R163"/>
    <mergeCell ref="B164:C164"/>
    <mergeCell ref="D167:G167"/>
    <mergeCell ref="H167:R167"/>
    <mergeCell ref="B165:C165"/>
    <mergeCell ref="D165:G165"/>
    <mergeCell ref="H165:R165"/>
    <mergeCell ref="B166:C166"/>
    <mergeCell ref="D166:G166"/>
    <mergeCell ref="H166:R166"/>
    <mergeCell ref="B167:C167"/>
    <mergeCell ref="D170:G170"/>
    <mergeCell ref="H170:R170"/>
    <mergeCell ref="B168:C168"/>
    <mergeCell ref="D168:G168"/>
    <mergeCell ref="H168:R168"/>
    <mergeCell ref="B169:C169"/>
    <mergeCell ref="D169:G169"/>
    <mergeCell ref="H169:R169"/>
    <mergeCell ref="B170:C170"/>
    <mergeCell ref="D173:G173"/>
    <mergeCell ref="H173:R173"/>
    <mergeCell ref="B171:C171"/>
    <mergeCell ref="D171:G171"/>
    <mergeCell ref="H171:R171"/>
    <mergeCell ref="B172:C172"/>
    <mergeCell ref="D172:G172"/>
    <mergeCell ref="H172:R172"/>
    <mergeCell ref="B173:C173"/>
    <mergeCell ref="D176:G176"/>
    <mergeCell ref="H176:R176"/>
    <mergeCell ref="B174:C174"/>
    <mergeCell ref="D174:G174"/>
    <mergeCell ref="H174:R174"/>
    <mergeCell ref="B175:C175"/>
    <mergeCell ref="D175:G175"/>
    <mergeCell ref="H175:R175"/>
    <mergeCell ref="B176:C176"/>
    <mergeCell ref="D179:G179"/>
    <mergeCell ref="H179:R179"/>
    <mergeCell ref="B177:C177"/>
    <mergeCell ref="D177:G177"/>
    <mergeCell ref="H177:R177"/>
    <mergeCell ref="B178:C178"/>
    <mergeCell ref="D178:G178"/>
    <mergeCell ref="H178:R178"/>
    <mergeCell ref="B179:C179"/>
    <mergeCell ref="D182:G182"/>
    <mergeCell ref="H182:R182"/>
    <mergeCell ref="B180:C180"/>
    <mergeCell ref="D180:G180"/>
    <mergeCell ref="H180:R180"/>
    <mergeCell ref="B181:C181"/>
    <mergeCell ref="D181:G181"/>
    <mergeCell ref="H181:R181"/>
    <mergeCell ref="B182:C182"/>
    <mergeCell ref="D185:G185"/>
    <mergeCell ref="H185:R185"/>
    <mergeCell ref="B183:C183"/>
    <mergeCell ref="D183:G183"/>
    <mergeCell ref="H183:R183"/>
    <mergeCell ref="B184:C184"/>
    <mergeCell ref="D184:G184"/>
    <mergeCell ref="H184:R184"/>
    <mergeCell ref="B185:C185"/>
    <mergeCell ref="D188:G188"/>
    <mergeCell ref="H188:R188"/>
    <mergeCell ref="B186:C186"/>
    <mergeCell ref="D186:G186"/>
    <mergeCell ref="H186:R186"/>
    <mergeCell ref="B187:C187"/>
    <mergeCell ref="D187:G187"/>
    <mergeCell ref="H187:R187"/>
    <mergeCell ref="B188:C188"/>
  </mergeCells>
  <conditionalFormatting sqref="G35:G36">
    <cfRule type="cellIs" dxfId="0" priority="1" operator="lessThanOrEqual">
      <formula>1200</formula>
    </cfRule>
  </conditionalFormatting>
  <conditionalFormatting sqref="G35:G36">
    <cfRule type="cellIs" dxfId="1" priority="2" operator="greaterThan">
      <formula>1200</formula>
    </cfRule>
  </conditionalFormatting>
  <conditionalFormatting sqref="M35:M36">
    <cfRule type="cellIs" dxfId="0" priority="3" operator="lessThanOrEqual">
      <formula>125</formula>
    </cfRule>
  </conditionalFormatting>
  <conditionalFormatting sqref="M35:M36">
    <cfRule type="cellIs" dxfId="1" priority="4" operator="greaterThan">
      <formula>125</formula>
    </cfRule>
  </conditionalFormatting>
  <conditionalFormatting sqref="I32:M33">
    <cfRule type="expression" dxfId="2" priority="5">
      <formula>$J$5=TRUE</formula>
    </cfRule>
  </conditionalFormatting>
  <conditionalFormatting sqref="B32:G33">
    <cfRule type="expression" dxfId="2" priority="6">
      <formula>$D$5=TRUE</formula>
    </cfRule>
  </conditionalFormatting>
  <conditionalFormatting sqref="I41:M42">
    <cfRule type="expression" dxfId="2" priority="7">
      <formula>$J$11=TRUE</formula>
    </cfRule>
  </conditionalFormatting>
  <conditionalFormatting sqref="B38:G39">
    <cfRule type="expression" dxfId="2" priority="8">
      <formula>$D$9=TRUE</formula>
    </cfRule>
  </conditionalFormatting>
  <conditionalFormatting sqref="I38:M39">
    <cfRule type="expression" dxfId="2" priority="9">
      <formula>$J$9=TRUE</formula>
    </cfRule>
  </conditionalFormatting>
  <conditionalFormatting sqref="B41:G42">
    <cfRule type="expression" dxfId="2" priority="10">
      <formula>$D$11=TRUE</formula>
    </cfRule>
  </conditionalFormatting>
  <conditionalFormatting sqref="B44:C45 E44:M45">
    <cfRule type="expression" dxfId="2" priority="11">
      <formula>$D$13=TRUE</formula>
    </cfRule>
  </conditionalFormatting>
  <conditionalFormatting sqref="B47:M48">
    <cfRule type="expression" dxfId="2" priority="12">
      <formula>#REF!=TRUE</formula>
    </cfRule>
  </conditionalFormatting>
  <hyperlinks>
    <hyperlink r:id="rId2" location="gid=0" ref="P5"/>
    <hyperlink r:id="rId3" ref="S5"/>
    <hyperlink r:id="rId4" ref="P6"/>
    <hyperlink r:id="rId5" ref="S6"/>
    <hyperlink r:id="rId6" ref="P7"/>
    <hyperlink r:id="rId7" ref="S7"/>
    <hyperlink r:id="rId8" ref="P8"/>
    <hyperlink r:id="rId9" ref="S8"/>
    <hyperlink r:id="rId10" ref="P11"/>
    <hyperlink r:id="rId11" ref="P12"/>
    <hyperlink r:id="rId12" ref="P13"/>
    <hyperlink r:id="rId13" ref="I62"/>
  </hyperlinks>
  <drawing r:id="rId14"/>
  <legacyDrawing r:id="rId15"/>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4.13"/>
    <col customWidth="1" min="3" max="3" width="7.25"/>
  </cols>
  <sheetData>
    <row r="1" ht="29.25" customHeight="1">
      <c r="A1" s="204" t="s">
        <v>141</v>
      </c>
    </row>
    <row r="2">
      <c r="A2" s="205" t="s">
        <v>142</v>
      </c>
      <c r="B2" s="205" t="s">
        <v>143</v>
      </c>
      <c r="C2" s="206" t="s">
        <v>1</v>
      </c>
      <c r="D2" s="206" t="s">
        <v>144</v>
      </c>
      <c r="E2" s="205" t="s">
        <v>145</v>
      </c>
      <c r="F2" s="207"/>
    </row>
    <row r="3">
      <c r="A3" s="208" t="s">
        <v>146</v>
      </c>
      <c r="B3" s="209"/>
      <c r="C3" s="210"/>
      <c r="D3" s="210">
        <v>0.0</v>
      </c>
      <c r="E3" s="208" t="s">
        <v>147</v>
      </c>
    </row>
    <row r="4">
      <c r="A4" s="208" t="s">
        <v>148</v>
      </c>
      <c r="B4" s="209"/>
      <c r="C4" s="210"/>
      <c r="D4" s="210">
        <v>0.0</v>
      </c>
    </row>
    <row r="5">
      <c r="A5" s="208" t="s">
        <v>149</v>
      </c>
      <c r="B5" s="209"/>
      <c r="C5" s="209"/>
      <c r="D5" s="210">
        <v>0.0</v>
      </c>
    </row>
    <row r="6">
      <c r="A6" s="208" t="s">
        <v>150</v>
      </c>
      <c r="B6" s="209"/>
      <c r="C6" s="209"/>
      <c r="D6" s="210">
        <v>0.0</v>
      </c>
    </row>
    <row r="7">
      <c r="A7" s="211" t="s">
        <v>151</v>
      </c>
      <c r="B7" s="212"/>
      <c r="C7" s="212"/>
      <c r="D7" s="213">
        <v>0.0</v>
      </c>
      <c r="E7" s="211"/>
      <c r="F7" s="214"/>
    </row>
    <row r="8">
      <c r="A8" s="215" t="s">
        <v>152</v>
      </c>
      <c r="B8" s="216"/>
      <c r="C8" s="216"/>
      <c r="D8" s="217">
        <v>0.0</v>
      </c>
      <c r="E8" s="215" t="s">
        <v>153</v>
      </c>
      <c r="F8" s="79"/>
    </row>
    <row r="9">
      <c r="A9" s="208" t="s">
        <v>154</v>
      </c>
      <c r="B9" s="209"/>
      <c r="C9" s="209"/>
      <c r="D9" s="210">
        <v>0.0</v>
      </c>
      <c r="E9" s="208"/>
    </row>
    <row r="10">
      <c r="A10" s="208" t="s">
        <v>155</v>
      </c>
      <c r="B10" s="209"/>
      <c r="C10" s="209"/>
      <c r="D10" s="210">
        <v>0.0</v>
      </c>
      <c r="E10" s="208"/>
    </row>
    <row r="11">
      <c r="A11" s="208" t="s">
        <v>156</v>
      </c>
      <c r="B11" s="209"/>
      <c r="C11" s="209"/>
      <c r="D11" s="210">
        <v>0.0</v>
      </c>
      <c r="E11" s="208"/>
    </row>
    <row r="12">
      <c r="A12" s="208" t="s">
        <v>157</v>
      </c>
      <c r="B12" s="209"/>
      <c r="C12" s="209"/>
      <c r="D12" s="210">
        <v>0.0</v>
      </c>
      <c r="E12" s="208"/>
    </row>
    <row r="13">
      <c r="A13" s="211" t="s">
        <v>158</v>
      </c>
      <c r="B13" s="212"/>
      <c r="C13" s="212"/>
      <c r="D13" s="213">
        <v>0.0</v>
      </c>
      <c r="E13" s="211"/>
      <c r="F13" s="214"/>
    </row>
    <row r="14">
      <c r="A14" s="215" t="s">
        <v>159</v>
      </c>
      <c r="B14" s="216"/>
      <c r="C14" s="216"/>
      <c r="D14" s="217">
        <v>0.0</v>
      </c>
      <c r="E14" s="215" t="s">
        <v>160</v>
      </c>
      <c r="F14" s="79"/>
    </row>
    <row r="15">
      <c r="A15" s="208" t="s">
        <v>161</v>
      </c>
      <c r="B15" s="209"/>
      <c r="C15" s="209"/>
      <c r="D15" s="210">
        <v>0.0</v>
      </c>
      <c r="E15" s="208"/>
    </row>
    <row r="16">
      <c r="A16" s="208" t="s">
        <v>162</v>
      </c>
      <c r="B16" s="209"/>
      <c r="C16" s="209"/>
      <c r="D16" s="210">
        <v>0.0</v>
      </c>
      <c r="E16" s="208"/>
    </row>
    <row r="17">
      <c r="A17" s="208" t="s">
        <v>163</v>
      </c>
      <c r="B17" s="209"/>
      <c r="C17" s="209"/>
      <c r="D17" s="210">
        <v>0.0</v>
      </c>
      <c r="E17" s="208"/>
    </row>
    <row r="18">
      <c r="A18" s="208" t="s">
        <v>164</v>
      </c>
      <c r="B18" s="209"/>
      <c r="C18" s="209"/>
      <c r="D18" s="210">
        <v>0.0</v>
      </c>
      <c r="E18" s="208"/>
    </row>
    <row r="19">
      <c r="A19" s="208" t="s">
        <v>165</v>
      </c>
      <c r="B19" s="209"/>
      <c r="C19" s="209"/>
      <c r="D19" s="210">
        <v>0.0</v>
      </c>
      <c r="E19" s="208"/>
    </row>
    <row r="20">
      <c r="A20" s="208" t="s">
        <v>166</v>
      </c>
      <c r="B20" s="209"/>
      <c r="C20" s="209"/>
      <c r="D20" s="210">
        <v>0.0</v>
      </c>
      <c r="E20" s="208"/>
    </row>
    <row r="21">
      <c r="A21" s="208" t="s">
        <v>167</v>
      </c>
      <c r="B21" s="209"/>
      <c r="C21" s="209"/>
      <c r="D21" s="210">
        <v>0.0</v>
      </c>
      <c r="E21" s="208"/>
    </row>
    <row r="22">
      <c r="A22" s="43" t="s">
        <v>75</v>
      </c>
      <c r="B22" s="218">
        <v>1.0E8</v>
      </c>
      <c r="C22" s="218"/>
      <c r="D22" s="219">
        <v>0.0</v>
      </c>
      <c r="E22" s="220" t="s">
        <v>168</v>
      </c>
      <c r="F22" s="43"/>
    </row>
    <row r="23">
      <c r="A23" s="51" t="s">
        <v>77</v>
      </c>
      <c r="B23" s="209">
        <v>2.5E7</v>
      </c>
      <c r="C23" s="209"/>
      <c r="D23" s="210">
        <v>0.0</v>
      </c>
    </row>
    <row r="24">
      <c r="A24" s="51" t="s">
        <v>82</v>
      </c>
      <c r="B24" s="209">
        <v>2.5E7</v>
      </c>
      <c r="C24" s="209"/>
      <c r="D24" s="210">
        <v>0.0</v>
      </c>
    </row>
    <row r="25">
      <c r="A25" s="51" t="s">
        <v>84</v>
      </c>
      <c r="B25" s="209">
        <v>100000.0</v>
      </c>
      <c r="C25" s="209"/>
      <c r="D25" s="210">
        <v>0.0</v>
      </c>
    </row>
    <row r="26">
      <c r="A26" s="51" t="s">
        <v>88</v>
      </c>
      <c r="B26" s="209">
        <v>1000000.0</v>
      </c>
      <c r="C26" s="209"/>
      <c r="D26" s="210">
        <v>0.0</v>
      </c>
    </row>
    <row r="27">
      <c r="A27" s="51" t="s">
        <v>90</v>
      </c>
      <c r="B27" s="209">
        <v>5000000.0</v>
      </c>
      <c r="C27" s="209"/>
      <c r="D27" s="210">
        <v>0.0</v>
      </c>
    </row>
    <row r="28">
      <c r="A28" s="51" t="s">
        <v>94</v>
      </c>
      <c r="B28" s="209">
        <v>5000000.0</v>
      </c>
      <c r="C28" s="209"/>
      <c r="D28" s="210">
        <v>0.0</v>
      </c>
    </row>
    <row r="29">
      <c r="A29" s="51" t="s">
        <v>96</v>
      </c>
      <c r="B29" s="209">
        <v>1000000.0</v>
      </c>
      <c r="C29" s="209"/>
      <c r="D29" s="210">
        <v>0.0</v>
      </c>
    </row>
    <row r="30">
      <c r="A30" s="51" t="s">
        <v>100</v>
      </c>
      <c r="B30" s="209">
        <v>5000000.0</v>
      </c>
      <c r="C30" s="209"/>
      <c r="D30" s="210">
        <v>0.0</v>
      </c>
    </row>
    <row r="31">
      <c r="A31" s="51" t="s">
        <v>102</v>
      </c>
      <c r="B31" s="209">
        <v>5000000.0</v>
      </c>
      <c r="C31" s="209"/>
      <c r="D31" s="210">
        <v>0.0</v>
      </c>
    </row>
    <row r="32">
      <c r="A32" s="51" t="s">
        <v>106</v>
      </c>
      <c r="B32" s="209">
        <v>1000000.0</v>
      </c>
      <c r="C32" s="209"/>
      <c r="D32" s="210">
        <v>0.0</v>
      </c>
    </row>
    <row r="33">
      <c r="A33" s="51" t="s">
        <v>108</v>
      </c>
      <c r="B33" s="209">
        <v>25000.0</v>
      </c>
      <c r="C33" s="209"/>
      <c r="D33" s="210">
        <v>0.0</v>
      </c>
    </row>
    <row r="34">
      <c r="A34" s="51" t="s">
        <v>112</v>
      </c>
      <c r="B34" s="209">
        <v>2500.0</v>
      </c>
      <c r="C34" s="209"/>
      <c r="D34" s="210">
        <v>0.0</v>
      </c>
    </row>
    <row r="35">
      <c r="A35" s="51" t="s">
        <v>114</v>
      </c>
      <c r="B35" s="209">
        <v>250.0</v>
      </c>
      <c r="C35" s="209"/>
      <c r="D35" s="210">
        <v>0.0</v>
      </c>
    </row>
    <row r="36">
      <c r="A36" s="214" t="s">
        <v>118</v>
      </c>
      <c r="B36" s="212">
        <v>2500.0</v>
      </c>
      <c r="C36" s="212"/>
      <c r="D36" s="213">
        <v>0.0</v>
      </c>
      <c r="E36" s="211"/>
      <c r="F36" s="214"/>
    </row>
    <row r="37">
      <c r="A37" s="79" t="s">
        <v>124</v>
      </c>
      <c r="B37" s="216">
        <v>365.0</v>
      </c>
      <c r="C37" s="216"/>
      <c r="D37" s="217">
        <v>0.0</v>
      </c>
      <c r="E37" s="215" t="s">
        <v>169</v>
      </c>
      <c r="F37" s="79"/>
    </row>
    <row r="38">
      <c r="A38" s="51" t="s">
        <v>120</v>
      </c>
      <c r="B38" s="209">
        <v>5000.0</v>
      </c>
      <c r="C38" s="209"/>
      <c r="D38" s="210">
        <v>0.0</v>
      </c>
    </row>
    <row r="39">
      <c r="A39" s="51" t="s">
        <v>122</v>
      </c>
      <c r="B39" s="209">
        <v>500.0</v>
      </c>
      <c r="C39" s="209"/>
      <c r="D39" s="210">
        <v>0.0</v>
      </c>
    </row>
    <row r="40">
      <c r="C40" s="221"/>
      <c r="D40" s="222"/>
    </row>
    <row r="41">
      <c r="C41" s="221"/>
      <c r="D41" s="222"/>
    </row>
    <row r="42">
      <c r="C42" s="221"/>
      <c r="D42" s="222"/>
    </row>
    <row r="43">
      <c r="C43" s="221"/>
      <c r="D43" s="222"/>
    </row>
    <row r="44">
      <c r="C44" s="221"/>
      <c r="D44" s="222"/>
    </row>
    <row r="45">
      <c r="C45" s="221"/>
      <c r="D45" s="222"/>
    </row>
    <row r="46">
      <c r="C46" s="221"/>
      <c r="D46" s="222"/>
    </row>
    <row r="47">
      <c r="C47" s="221"/>
      <c r="D47" s="222"/>
    </row>
    <row r="48">
      <c r="C48" s="221"/>
      <c r="D48" s="222"/>
    </row>
    <row r="49">
      <c r="C49" s="221"/>
      <c r="D49" s="222"/>
    </row>
    <row r="50">
      <c r="C50" s="221"/>
      <c r="D50" s="222"/>
    </row>
    <row r="51">
      <c r="C51" s="221"/>
      <c r="D51" s="222"/>
    </row>
    <row r="52">
      <c r="C52" s="221"/>
      <c r="D52" s="222"/>
    </row>
    <row r="53">
      <c r="C53" s="221"/>
      <c r="D53" s="222"/>
    </row>
    <row r="54">
      <c r="C54" s="221"/>
      <c r="D54" s="222"/>
    </row>
    <row r="55">
      <c r="C55" s="221"/>
      <c r="D55" s="222"/>
    </row>
    <row r="56">
      <c r="C56" s="221"/>
      <c r="D56" s="222"/>
    </row>
    <row r="57">
      <c r="C57" s="221"/>
      <c r="D57" s="222"/>
    </row>
    <row r="58">
      <c r="C58" s="221"/>
      <c r="D58" s="222"/>
    </row>
    <row r="59">
      <c r="C59" s="221"/>
      <c r="D59" s="222"/>
    </row>
    <row r="60">
      <c r="C60" s="221"/>
      <c r="D60" s="222"/>
    </row>
    <row r="61">
      <c r="C61" s="221"/>
      <c r="D61" s="222"/>
    </row>
    <row r="62">
      <c r="C62" s="221"/>
      <c r="D62" s="222"/>
    </row>
    <row r="63">
      <c r="C63" s="221"/>
      <c r="D63" s="222"/>
    </row>
    <row r="64">
      <c r="C64" s="221"/>
      <c r="D64" s="222"/>
    </row>
    <row r="65">
      <c r="C65" s="221"/>
      <c r="D65" s="222"/>
    </row>
    <row r="66">
      <c r="C66" s="221"/>
      <c r="D66" s="222"/>
    </row>
    <row r="67">
      <c r="C67" s="221"/>
      <c r="D67" s="222"/>
    </row>
    <row r="68">
      <c r="C68" s="221"/>
      <c r="D68" s="222"/>
    </row>
    <row r="69">
      <c r="C69" s="221"/>
      <c r="D69" s="222"/>
    </row>
    <row r="70">
      <c r="C70" s="221"/>
      <c r="D70" s="222"/>
    </row>
    <row r="71">
      <c r="C71" s="221"/>
      <c r="D71" s="222"/>
    </row>
    <row r="72">
      <c r="C72" s="221"/>
      <c r="D72" s="222"/>
    </row>
    <row r="73">
      <c r="C73" s="221"/>
      <c r="D73" s="222"/>
    </row>
    <row r="74">
      <c r="C74" s="221"/>
      <c r="D74" s="222"/>
    </row>
    <row r="75">
      <c r="C75" s="221"/>
      <c r="D75" s="222"/>
    </row>
    <row r="76">
      <c r="C76" s="221"/>
      <c r="D76" s="222"/>
    </row>
    <row r="77">
      <c r="C77" s="221"/>
      <c r="D77" s="222"/>
    </row>
    <row r="78">
      <c r="C78" s="221"/>
      <c r="D78" s="222"/>
    </row>
    <row r="79">
      <c r="C79" s="221"/>
      <c r="D79" s="222"/>
    </row>
    <row r="80">
      <c r="C80" s="221"/>
      <c r="D80" s="222"/>
    </row>
    <row r="81">
      <c r="C81" s="221"/>
      <c r="D81" s="222"/>
    </row>
    <row r="82">
      <c r="C82" s="221"/>
      <c r="D82" s="222"/>
    </row>
    <row r="83">
      <c r="C83" s="221"/>
      <c r="D83" s="222"/>
    </row>
    <row r="84">
      <c r="C84" s="221"/>
      <c r="D84" s="222"/>
    </row>
    <row r="85">
      <c r="C85" s="221"/>
      <c r="D85" s="222"/>
    </row>
    <row r="86">
      <c r="C86" s="221"/>
      <c r="D86" s="222"/>
    </row>
    <row r="87">
      <c r="C87" s="221"/>
      <c r="D87" s="222"/>
    </row>
    <row r="88">
      <c r="C88" s="221"/>
      <c r="D88" s="222"/>
    </row>
    <row r="89">
      <c r="C89" s="221"/>
      <c r="D89" s="222"/>
    </row>
    <row r="90">
      <c r="C90" s="221"/>
      <c r="D90" s="222"/>
    </row>
    <row r="91">
      <c r="C91" s="221"/>
      <c r="D91" s="222"/>
    </row>
    <row r="92">
      <c r="C92" s="221"/>
      <c r="D92" s="222"/>
    </row>
    <row r="93">
      <c r="C93" s="221"/>
      <c r="D93" s="222"/>
    </row>
    <row r="94">
      <c r="C94" s="221"/>
      <c r="D94" s="222"/>
    </row>
    <row r="95">
      <c r="C95" s="221"/>
      <c r="D95" s="222"/>
    </row>
    <row r="96">
      <c r="C96" s="221"/>
      <c r="D96" s="222"/>
    </row>
    <row r="97">
      <c r="C97" s="221"/>
      <c r="D97" s="222"/>
    </row>
    <row r="98">
      <c r="C98" s="221"/>
      <c r="D98" s="222"/>
    </row>
    <row r="99">
      <c r="C99" s="221"/>
      <c r="D99" s="222"/>
    </row>
    <row r="100">
      <c r="C100" s="221"/>
      <c r="D100" s="222"/>
    </row>
    <row r="101">
      <c r="C101" s="221"/>
      <c r="D101" s="222"/>
    </row>
    <row r="102">
      <c r="C102" s="221"/>
      <c r="D102" s="222"/>
    </row>
    <row r="103">
      <c r="C103" s="221"/>
      <c r="D103" s="222"/>
    </row>
    <row r="104">
      <c r="C104" s="221"/>
      <c r="D104" s="222"/>
    </row>
    <row r="105">
      <c r="C105" s="221"/>
      <c r="D105" s="222"/>
    </row>
    <row r="106">
      <c r="C106" s="221"/>
      <c r="D106" s="222"/>
    </row>
    <row r="107">
      <c r="C107" s="221"/>
      <c r="D107" s="222"/>
    </row>
    <row r="108">
      <c r="C108" s="221"/>
      <c r="D108" s="222"/>
    </row>
    <row r="109">
      <c r="C109" s="221"/>
      <c r="D109" s="222"/>
    </row>
    <row r="110">
      <c r="C110" s="221"/>
      <c r="D110" s="222"/>
    </row>
    <row r="111">
      <c r="C111" s="221"/>
      <c r="D111" s="222"/>
    </row>
    <row r="112">
      <c r="C112" s="221"/>
      <c r="D112" s="222"/>
    </row>
    <row r="113">
      <c r="C113" s="221"/>
      <c r="D113" s="222"/>
    </row>
    <row r="114">
      <c r="C114" s="221"/>
      <c r="D114" s="222"/>
    </row>
    <row r="115">
      <c r="C115" s="221"/>
      <c r="D115" s="222"/>
    </row>
    <row r="116">
      <c r="C116" s="221"/>
      <c r="D116" s="222"/>
    </row>
    <row r="117">
      <c r="C117" s="221"/>
      <c r="D117" s="222"/>
    </row>
    <row r="118">
      <c r="C118" s="221"/>
      <c r="D118" s="222"/>
    </row>
    <row r="119">
      <c r="C119" s="221"/>
      <c r="D119" s="222"/>
    </row>
    <row r="120">
      <c r="C120" s="221"/>
      <c r="D120" s="222"/>
    </row>
    <row r="121">
      <c r="C121" s="221"/>
      <c r="D121" s="222"/>
    </row>
    <row r="122">
      <c r="C122" s="221"/>
      <c r="D122" s="222"/>
    </row>
    <row r="123">
      <c r="C123" s="221"/>
      <c r="D123" s="222"/>
    </row>
    <row r="124">
      <c r="C124" s="221"/>
      <c r="D124" s="222"/>
    </row>
    <row r="125">
      <c r="C125" s="221"/>
      <c r="D125" s="222"/>
    </row>
    <row r="126">
      <c r="C126" s="221"/>
      <c r="D126" s="222"/>
    </row>
    <row r="127">
      <c r="C127" s="221"/>
      <c r="D127" s="222"/>
    </row>
    <row r="128">
      <c r="C128" s="221"/>
      <c r="D128" s="222"/>
    </row>
    <row r="129">
      <c r="C129" s="221"/>
      <c r="D129" s="222"/>
    </row>
    <row r="130">
      <c r="C130" s="221"/>
      <c r="D130" s="222"/>
    </row>
    <row r="131">
      <c r="C131" s="221"/>
      <c r="D131" s="222"/>
    </row>
    <row r="132">
      <c r="C132" s="221"/>
      <c r="D132" s="222"/>
    </row>
    <row r="133">
      <c r="C133" s="221"/>
      <c r="D133" s="222"/>
    </row>
    <row r="134">
      <c r="C134" s="221"/>
      <c r="D134" s="222"/>
    </row>
    <row r="135">
      <c r="C135" s="221"/>
      <c r="D135" s="222"/>
    </row>
    <row r="136">
      <c r="C136" s="221"/>
      <c r="D136" s="222"/>
    </row>
    <row r="137">
      <c r="C137" s="221"/>
      <c r="D137" s="222"/>
    </row>
    <row r="138">
      <c r="C138" s="221"/>
      <c r="D138" s="222"/>
    </row>
    <row r="139">
      <c r="C139" s="221"/>
      <c r="D139" s="222"/>
    </row>
    <row r="140">
      <c r="C140" s="221"/>
      <c r="D140" s="222"/>
    </row>
    <row r="141">
      <c r="C141" s="221"/>
      <c r="D141" s="222"/>
    </row>
    <row r="142">
      <c r="C142" s="221"/>
      <c r="D142" s="222"/>
    </row>
    <row r="143">
      <c r="C143" s="221"/>
      <c r="D143" s="222"/>
    </row>
    <row r="144">
      <c r="C144" s="221"/>
      <c r="D144" s="222"/>
    </row>
    <row r="145">
      <c r="C145" s="221"/>
      <c r="D145" s="222"/>
    </row>
    <row r="146">
      <c r="C146" s="221"/>
      <c r="D146" s="222"/>
    </row>
    <row r="147">
      <c r="C147" s="221"/>
      <c r="D147" s="222"/>
    </row>
    <row r="148">
      <c r="C148" s="221"/>
      <c r="D148" s="222"/>
    </row>
    <row r="149">
      <c r="C149" s="221"/>
      <c r="D149" s="222"/>
    </row>
    <row r="150">
      <c r="C150" s="221"/>
      <c r="D150" s="222"/>
    </row>
    <row r="151">
      <c r="C151" s="221"/>
      <c r="D151" s="222"/>
    </row>
    <row r="152">
      <c r="C152" s="221"/>
      <c r="D152" s="222"/>
    </row>
    <row r="153">
      <c r="C153" s="221"/>
      <c r="D153" s="222"/>
    </row>
    <row r="154">
      <c r="C154" s="221"/>
      <c r="D154" s="222"/>
    </row>
    <row r="155">
      <c r="C155" s="221"/>
      <c r="D155" s="222"/>
    </row>
    <row r="156">
      <c r="C156" s="221"/>
      <c r="D156" s="222"/>
    </row>
    <row r="157">
      <c r="C157" s="221"/>
      <c r="D157" s="222"/>
    </row>
    <row r="158">
      <c r="C158" s="221"/>
      <c r="D158" s="222"/>
    </row>
    <row r="159">
      <c r="C159" s="221"/>
      <c r="D159" s="222"/>
    </row>
    <row r="160">
      <c r="C160" s="221"/>
      <c r="D160" s="222"/>
    </row>
    <row r="161">
      <c r="C161" s="221"/>
      <c r="D161" s="222"/>
    </row>
    <row r="162">
      <c r="C162" s="221"/>
      <c r="D162" s="222"/>
    </row>
    <row r="163">
      <c r="C163" s="221"/>
      <c r="D163" s="222"/>
    </row>
    <row r="164">
      <c r="C164" s="221"/>
      <c r="D164" s="222"/>
    </row>
    <row r="165">
      <c r="C165" s="221"/>
      <c r="D165" s="222"/>
    </row>
    <row r="166">
      <c r="C166" s="221"/>
      <c r="D166" s="222"/>
    </row>
    <row r="167">
      <c r="C167" s="221"/>
      <c r="D167" s="222"/>
    </row>
    <row r="168">
      <c r="C168" s="221"/>
      <c r="D168" s="222"/>
    </row>
    <row r="169">
      <c r="C169" s="221"/>
      <c r="D169" s="222"/>
    </row>
    <row r="170">
      <c r="C170" s="221"/>
      <c r="D170" s="222"/>
    </row>
    <row r="171">
      <c r="C171" s="221"/>
      <c r="D171" s="222"/>
    </row>
    <row r="172">
      <c r="C172" s="221"/>
      <c r="D172" s="222"/>
    </row>
    <row r="173">
      <c r="C173" s="221"/>
      <c r="D173" s="222"/>
    </row>
    <row r="174">
      <c r="C174" s="221"/>
      <c r="D174" s="222"/>
    </row>
    <row r="175">
      <c r="C175" s="221"/>
      <c r="D175" s="222"/>
    </row>
    <row r="176">
      <c r="C176" s="221"/>
      <c r="D176" s="222"/>
    </row>
    <row r="177">
      <c r="C177" s="221"/>
      <c r="D177" s="222"/>
    </row>
    <row r="178">
      <c r="C178" s="221"/>
      <c r="D178" s="222"/>
    </row>
    <row r="179">
      <c r="C179" s="221"/>
      <c r="D179" s="222"/>
    </row>
    <row r="180">
      <c r="C180" s="221"/>
      <c r="D180" s="222"/>
    </row>
    <row r="181">
      <c r="C181" s="221"/>
      <c r="D181" s="222"/>
    </row>
    <row r="182">
      <c r="C182" s="221"/>
      <c r="D182" s="222"/>
    </row>
    <row r="183">
      <c r="C183" s="221"/>
      <c r="D183" s="222"/>
    </row>
    <row r="184">
      <c r="C184" s="221"/>
      <c r="D184" s="222"/>
    </row>
    <row r="185">
      <c r="C185" s="221"/>
      <c r="D185" s="222"/>
    </row>
    <row r="186">
      <c r="C186" s="221"/>
      <c r="D186" s="222"/>
    </row>
    <row r="187">
      <c r="C187" s="221"/>
      <c r="D187" s="222"/>
    </row>
    <row r="188">
      <c r="C188" s="221"/>
      <c r="D188" s="222"/>
    </row>
    <row r="189">
      <c r="C189" s="221"/>
      <c r="D189" s="222"/>
    </row>
    <row r="190">
      <c r="C190" s="221"/>
      <c r="D190" s="222"/>
    </row>
    <row r="191">
      <c r="C191" s="221"/>
      <c r="D191" s="222"/>
    </row>
    <row r="192">
      <c r="C192" s="221"/>
      <c r="D192" s="222"/>
    </row>
    <row r="193">
      <c r="C193" s="221"/>
      <c r="D193" s="222"/>
    </row>
    <row r="194">
      <c r="C194" s="221"/>
      <c r="D194" s="222"/>
    </row>
    <row r="195">
      <c r="C195" s="221"/>
      <c r="D195" s="222"/>
    </row>
    <row r="196">
      <c r="C196" s="221"/>
      <c r="D196" s="222"/>
    </row>
    <row r="197">
      <c r="C197" s="221"/>
      <c r="D197" s="222"/>
    </row>
    <row r="198">
      <c r="C198" s="221"/>
      <c r="D198" s="222"/>
    </row>
    <row r="199">
      <c r="C199" s="221"/>
      <c r="D199" s="222"/>
    </row>
    <row r="200">
      <c r="C200" s="221"/>
      <c r="D200" s="222"/>
    </row>
    <row r="201">
      <c r="C201" s="221"/>
      <c r="D201" s="222"/>
    </row>
    <row r="202">
      <c r="C202" s="221"/>
      <c r="D202" s="222"/>
    </row>
    <row r="203">
      <c r="C203" s="221"/>
      <c r="D203" s="222"/>
    </row>
    <row r="204">
      <c r="C204" s="221"/>
      <c r="D204" s="222"/>
    </row>
    <row r="205">
      <c r="C205" s="221"/>
      <c r="D205" s="222"/>
    </row>
    <row r="206">
      <c r="C206" s="221"/>
      <c r="D206" s="222"/>
    </row>
    <row r="207">
      <c r="C207" s="221"/>
      <c r="D207" s="222"/>
    </row>
    <row r="208">
      <c r="C208" s="221"/>
      <c r="D208" s="222"/>
    </row>
    <row r="209">
      <c r="C209" s="221"/>
      <c r="D209" s="222"/>
    </row>
    <row r="210">
      <c r="C210" s="221"/>
      <c r="D210" s="222"/>
    </row>
    <row r="211">
      <c r="C211" s="221"/>
      <c r="D211" s="222"/>
    </row>
    <row r="212">
      <c r="C212" s="221"/>
      <c r="D212" s="222"/>
    </row>
    <row r="213">
      <c r="C213" s="221"/>
      <c r="D213" s="222"/>
    </row>
    <row r="214">
      <c r="C214" s="221"/>
      <c r="D214" s="222"/>
    </row>
    <row r="215">
      <c r="C215" s="221"/>
      <c r="D215" s="222"/>
    </row>
    <row r="216">
      <c r="C216" s="221"/>
      <c r="D216" s="222"/>
    </row>
    <row r="217">
      <c r="C217" s="221"/>
      <c r="D217" s="222"/>
    </row>
    <row r="218">
      <c r="C218" s="221"/>
      <c r="D218" s="222"/>
    </row>
    <row r="219">
      <c r="C219" s="221"/>
      <c r="D219" s="222"/>
    </row>
    <row r="220">
      <c r="C220" s="221"/>
      <c r="D220" s="222"/>
    </row>
    <row r="221">
      <c r="C221" s="221"/>
      <c r="D221" s="222"/>
    </row>
    <row r="222">
      <c r="C222" s="221"/>
      <c r="D222" s="222"/>
    </row>
    <row r="223">
      <c r="C223" s="221"/>
      <c r="D223" s="222"/>
    </row>
    <row r="224">
      <c r="C224" s="221"/>
      <c r="D224" s="222"/>
    </row>
    <row r="225">
      <c r="C225" s="221"/>
      <c r="D225" s="222"/>
    </row>
    <row r="226">
      <c r="C226" s="221"/>
      <c r="D226" s="222"/>
    </row>
    <row r="227">
      <c r="C227" s="221"/>
      <c r="D227" s="222"/>
    </row>
    <row r="228">
      <c r="C228" s="221"/>
      <c r="D228" s="222"/>
    </row>
    <row r="229">
      <c r="C229" s="221"/>
      <c r="D229" s="222"/>
    </row>
    <row r="230">
      <c r="C230" s="221"/>
      <c r="D230" s="222"/>
    </row>
    <row r="231">
      <c r="C231" s="221"/>
      <c r="D231" s="222"/>
    </row>
    <row r="232">
      <c r="C232" s="221"/>
      <c r="D232" s="222"/>
    </row>
    <row r="233">
      <c r="C233" s="221"/>
      <c r="D233" s="222"/>
    </row>
    <row r="234">
      <c r="C234" s="221"/>
      <c r="D234" s="222"/>
    </row>
    <row r="235">
      <c r="C235" s="221"/>
      <c r="D235" s="222"/>
    </row>
    <row r="236">
      <c r="C236" s="221"/>
      <c r="D236" s="222"/>
    </row>
    <row r="237">
      <c r="C237" s="221"/>
      <c r="D237" s="222"/>
    </row>
    <row r="238">
      <c r="C238" s="221"/>
      <c r="D238" s="222"/>
    </row>
    <row r="239">
      <c r="C239" s="221"/>
      <c r="D239" s="222"/>
    </row>
    <row r="240">
      <c r="C240" s="221"/>
      <c r="D240" s="222"/>
    </row>
    <row r="241">
      <c r="C241" s="221"/>
      <c r="D241" s="222"/>
    </row>
    <row r="242">
      <c r="C242" s="221"/>
      <c r="D242" s="222"/>
    </row>
    <row r="243">
      <c r="C243" s="221"/>
      <c r="D243" s="222"/>
    </row>
    <row r="244">
      <c r="C244" s="221"/>
      <c r="D244" s="222"/>
    </row>
    <row r="245">
      <c r="C245" s="221"/>
      <c r="D245" s="222"/>
    </row>
    <row r="246">
      <c r="C246" s="221"/>
      <c r="D246" s="222"/>
    </row>
    <row r="247">
      <c r="C247" s="221"/>
      <c r="D247" s="222"/>
    </row>
    <row r="248">
      <c r="C248" s="221"/>
      <c r="D248" s="222"/>
    </row>
    <row r="249">
      <c r="C249" s="221"/>
      <c r="D249" s="222"/>
    </row>
    <row r="250">
      <c r="C250" s="221"/>
      <c r="D250" s="222"/>
    </row>
    <row r="251">
      <c r="C251" s="221"/>
      <c r="D251" s="222"/>
    </row>
    <row r="252">
      <c r="C252" s="221"/>
      <c r="D252" s="222"/>
    </row>
    <row r="253">
      <c r="C253" s="221"/>
      <c r="D253" s="222"/>
    </row>
    <row r="254">
      <c r="C254" s="221"/>
      <c r="D254" s="222"/>
    </row>
    <row r="255">
      <c r="C255" s="221"/>
      <c r="D255" s="222"/>
    </row>
    <row r="256">
      <c r="C256" s="221"/>
      <c r="D256" s="222"/>
    </row>
    <row r="257">
      <c r="C257" s="221"/>
      <c r="D257" s="222"/>
    </row>
    <row r="258">
      <c r="C258" s="221"/>
      <c r="D258" s="222"/>
    </row>
    <row r="259">
      <c r="C259" s="221"/>
      <c r="D259" s="222"/>
    </row>
    <row r="260">
      <c r="C260" s="221"/>
      <c r="D260" s="222"/>
    </row>
    <row r="261">
      <c r="C261" s="221"/>
      <c r="D261" s="222"/>
    </row>
    <row r="262">
      <c r="C262" s="221"/>
      <c r="D262" s="222"/>
    </row>
    <row r="263">
      <c r="C263" s="221"/>
      <c r="D263" s="222"/>
    </row>
    <row r="264">
      <c r="C264" s="221"/>
      <c r="D264" s="222"/>
    </row>
    <row r="265">
      <c r="C265" s="221"/>
      <c r="D265" s="222"/>
    </row>
    <row r="266">
      <c r="C266" s="221"/>
      <c r="D266" s="222"/>
    </row>
    <row r="267">
      <c r="C267" s="221"/>
      <c r="D267" s="222"/>
    </row>
    <row r="268">
      <c r="C268" s="221"/>
      <c r="D268" s="222"/>
    </row>
    <row r="269">
      <c r="C269" s="221"/>
      <c r="D269" s="222"/>
    </row>
    <row r="270">
      <c r="C270" s="221"/>
      <c r="D270" s="222"/>
    </row>
    <row r="271">
      <c r="C271" s="221"/>
      <c r="D271" s="222"/>
    </row>
    <row r="272">
      <c r="C272" s="221"/>
      <c r="D272" s="222"/>
    </row>
    <row r="273">
      <c r="C273" s="221"/>
      <c r="D273" s="222"/>
    </row>
    <row r="274">
      <c r="C274" s="221"/>
      <c r="D274" s="222"/>
    </row>
    <row r="275">
      <c r="C275" s="221"/>
      <c r="D275" s="222"/>
    </row>
    <row r="276">
      <c r="C276" s="221"/>
      <c r="D276" s="222"/>
    </row>
    <row r="277">
      <c r="C277" s="221"/>
      <c r="D277" s="222"/>
    </row>
    <row r="278">
      <c r="C278" s="221"/>
      <c r="D278" s="222"/>
    </row>
    <row r="279">
      <c r="C279" s="221"/>
      <c r="D279" s="222"/>
    </row>
    <row r="280">
      <c r="C280" s="221"/>
      <c r="D280" s="222"/>
    </row>
    <row r="281">
      <c r="C281" s="221"/>
      <c r="D281" s="222"/>
    </row>
    <row r="282">
      <c r="C282" s="221"/>
      <c r="D282" s="222"/>
    </row>
    <row r="283">
      <c r="C283" s="221"/>
      <c r="D283" s="222"/>
    </row>
    <row r="284">
      <c r="C284" s="221"/>
      <c r="D284" s="222"/>
    </row>
    <row r="285">
      <c r="C285" s="221"/>
      <c r="D285" s="222"/>
    </row>
    <row r="286">
      <c r="C286" s="221"/>
      <c r="D286" s="222"/>
    </row>
    <row r="287">
      <c r="C287" s="221"/>
      <c r="D287" s="222"/>
    </row>
    <row r="288">
      <c r="C288" s="221"/>
      <c r="D288" s="222"/>
    </row>
    <row r="289">
      <c r="C289" s="221"/>
      <c r="D289" s="222"/>
    </row>
    <row r="290">
      <c r="C290" s="221"/>
      <c r="D290" s="222"/>
    </row>
    <row r="291">
      <c r="C291" s="221"/>
      <c r="D291" s="222"/>
    </row>
    <row r="292">
      <c r="C292" s="221"/>
      <c r="D292" s="222"/>
    </row>
    <row r="293">
      <c r="C293" s="221"/>
      <c r="D293" s="222"/>
    </row>
    <row r="294">
      <c r="C294" s="221"/>
      <c r="D294" s="222"/>
    </row>
    <row r="295">
      <c r="C295" s="221"/>
      <c r="D295" s="222"/>
    </row>
    <row r="296">
      <c r="C296" s="221"/>
      <c r="D296" s="222"/>
    </row>
    <row r="297">
      <c r="C297" s="221"/>
      <c r="D297" s="222"/>
    </row>
    <row r="298">
      <c r="C298" s="221"/>
      <c r="D298" s="222"/>
    </row>
    <row r="299">
      <c r="C299" s="221"/>
      <c r="D299" s="222"/>
    </row>
    <row r="300">
      <c r="C300" s="221"/>
      <c r="D300" s="222"/>
    </row>
    <row r="301">
      <c r="C301" s="221"/>
      <c r="D301" s="222"/>
    </row>
    <row r="302">
      <c r="C302" s="221"/>
      <c r="D302" s="222"/>
    </row>
    <row r="303">
      <c r="C303" s="221"/>
      <c r="D303" s="222"/>
    </row>
    <row r="304">
      <c r="C304" s="221"/>
      <c r="D304" s="222"/>
    </row>
    <row r="305">
      <c r="C305" s="221"/>
      <c r="D305" s="222"/>
    </row>
    <row r="306">
      <c r="C306" s="221"/>
      <c r="D306" s="222"/>
    </row>
    <row r="307">
      <c r="C307" s="221"/>
      <c r="D307" s="222"/>
    </row>
    <row r="308">
      <c r="C308" s="221"/>
      <c r="D308" s="222"/>
    </row>
    <row r="309">
      <c r="C309" s="221"/>
      <c r="D309" s="222"/>
    </row>
    <row r="310">
      <c r="C310" s="221"/>
      <c r="D310" s="222"/>
    </row>
    <row r="311">
      <c r="C311" s="221"/>
      <c r="D311" s="222"/>
    </row>
    <row r="312">
      <c r="C312" s="221"/>
      <c r="D312" s="222"/>
    </row>
    <row r="313">
      <c r="C313" s="221"/>
      <c r="D313" s="222"/>
    </row>
    <row r="314">
      <c r="C314" s="221"/>
      <c r="D314" s="222"/>
    </row>
    <row r="315">
      <c r="C315" s="221"/>
      <c r="D315" s="222"/>
    </row>
    <row r="316">
      <c r="C316" s="221"/>
      <c r="D316" s="222"/>
    </row>
    <row r="317">
      <c r="C317" s="221"/>
      <c r="D317" s="222"/>
    </row>
    <row r="318">
      <c r="C318" s="221"/>
      <c r="D318" s="222"/>
    </row>
    <row r="319">
      <c r="C319" s="221"/>
      <c r="D319" s="222"/>
    </row>
    <row r="320">
      <c r="C320" s="221"/>
      <c r="D320" s="222"/>
    </row>
    <row r="321">
      <c r="C321" s="221"/>
      <c r="D321" s="222"/>
    </row>
    <row r="322">
      <c r="C322" s="221"/>
      <c r="D322" s="222"/>
    </row>
    <row r="323">
      <c r="C323" s="221"/>
      <c r="D323" s="222"/>
    </row>
    <row r="324">
      <c r="C324" s="221"/>
      <c r="D324" s="222"/>
    </row>
    <row r="325">
      <c r="C325" s="221"/>
      <c r="D325" s="222"/>
    </row>
    <row r="326">
      <c r="C326" s="221"/>
      <c r="D326" s="222"/>
    </row>
    <row r="327">
      <c r="C327" s="221"/>
      <c r="D327" s="222"/>
    </row>
    <row r="328">
      <c r="C328" s="221"/>
      <c r="D328" s="222"/>
    </row>
    <row r="329">
      <c r="C329" s="221"/>
      <c r="D329" s="222"/>
    </row>
    <row r="330">
      <c r="C330" s="221"/>
      <c r="D330" s="222"/>
    </row>
    <row r="331">
      <c r="C331" s="221"/>
      <c r="D331" s="222"/>
    </row>
    <row r="332">
      <c r="C332" s="221"/>
      <c r="D332" s="222"/>
    </row>
    <row r="333">
      <c r="C333" s="221"/>
      <c r="D333" s="222"/>
    </row>
    <row r="334">
      <c r="C334" s="221"/>
      <c r="D334" s="222"/>
    </row>
    <row r="335">
      <c r="C335" s="221"/>
      <c r="D335" s="222"/>
    </row>
    <row r="336">
      <c r="C336" s="221"/>
      <c r="D336" s="222"/>
    </row>
    <row r="337">
      <c r="C337" s="221"/>
      <c r="D337" s="222"/>
    </row>
    <row r="338">
      <c r="C338" s="221"/>
      <c r="D338" s="222"/>
    </row>
    <row r="339">
      <c r="C339" s="221"/>
      <c r="D339" s="222"/>
    </row>
    <row r="340">
      <c r="C340" s="221"/>
      <c r="D340" s="222"/>
    </row>
    <row r="341">
      <c r="C341" s="221"/>
      <c r="D341" s="222"/>
    </row>
    <row r="342">
      <c r="C342" s="221"/>
      <c r="D342" s="222"/>
    </row>
    <row r="343">
      <c r="C343" s="221"/>
      <c r="D343" s="222"/>
    </row>
    <row r="344">
      <c r="C344" s="221"/>
      <c r="D344" s="222"/>
    </row>
    <row r="345">
      <c r="C345" s="221"/>
      <c r="D345" s="222"/>
    </row>
    <row r="346">
      <c r="C346" s="221"/>
      <c r="D346" s="222"/>
    </row>
    <row r="347">
      <c r="C347" s="221"/>
      <c r="D347" s="222"/>
    </row>
    <row r="348">
      <c r="C348" s="221"/>
      <c r="D348" s="222"/>
    </row>
    <row r="349">
      <c r="C349" s="221"/>
      <c r="D349" s="222"/>
    </row>
    <row r="350">
      <c r="C350" s="221"/>
      <c r="D350" s="222"/>
    </row>
    <row r="351">
      <c r="C351" s="221"/>
      <c r="D351" s="222"/>
    </row>
    <row r="352">
      <c r="C352" s="221"/>
      <c r="D352" s="222"/>
    </row>
    <row r="353">
      <c r="C353" s="221"/>
      <c r="D353" s="222"/>
    </row>
    <row r="354">
      <c r="C354" s="221"/>
      <c r="D354" s="222"/>
    </row>
    <row r="355">
      <c r="C355" s="221"/>
      <c r="D355" s="222"/>
    </row>
    <row r="356">
      <c r="C356" s="221"/>
      <c r="D356" s="222"/>
    </row>
    <row r="357">
      <c r="C357" s="221"/>
      <c r="D357" s="222"/>
    </row>
    <row r="358">
      <c r="C358" s="221"/>
      <c r="D358" s="222"/>
    </row>
    <row r="359">
      <c r="C359" s="221"/>
      <c r="D359" s="222"/>
    </row>
    <row r="360">
      <c r="C360" s="221"/>
      <c r="D360" s="222"/>
    </row>
    <row r="361">
      <c r="C361" s="221"/>
      <c r="D361" s="222"/>
    </row>
    <row r="362">
      <c r="C362" s="221"/>
      <c r="D362" s="222"/>
    </row>
    <row r="363">
      <c r="C363" s="221"/>
      <c r="D363" s="222"/>
    </row>
    <row r="364">
      <c r="C364" s="221"/>
      <c r="D364" s="222"/>
    </row>
    <row r="365">
      <c r="C365" s="221"/>
      <c r="D365" s="222"/>
    </row>
    <row r="366">
      <c r="C366" s="221"/>
      <c r="D366" s="222"/>
    </row>
    <row r="367">
      <c r="C367" s="221"/>
      <c r="D367" s="222"/>
    </row>
    <row r="368">
      <c r="C368" s="221"/>
      <c r="D368" s="222"/>
    </row>
    <row r="369">
      <c r="C369" s="221"/>
      <c r="D369" s="222"/>
    </row>
    <row r="370">
      <c r="C370" s="221"/>
      <c r="D370" s="222"/>
    </row>
    <row r="371">
      <c r="C371" s="221"/>
      <c r="D371" s="222"/>
    </row>
    <row r="372">
      <c r="C372" s="221"/>
      <c r="D372" s="222"/>
    </row>
    <row r="373">
      <c r="C373" s="221"/>
      <c r="D373" s="222"/>
    </row>
    <row r="374">
      <c r="C374" s="221"/>
      <c r="D374" s="222"/>
    </row>
    <row r="375">
      <c r="C375" s="221"/>
      <c r="D375" s="222"/>
    </row>
    <row r="376">
      <c r="C376" s="221"/>
      <c r="D376" s="222"/>
    </row>
    <row r="377">
      <c r="C377" s="221"/>
      <c r="D377" s="222"/>
    </row>
    <row r="378">
      <c r="C378" s="221"/>
      <c r="D378" s="222"/>
    </row>
    <row r="379">
      <c r="C379" s="221"/>
      <c r="D379" s="222"/>
    </row>
    <row r="380">
      <c r="C380" s="221"/>
      <c r="D380" s="222"/>
    </row>
    <row r="381">
      <c r="C381" s="221"/>
      <c r="D381" s="222"/>
    </row>
    <row r="382">
      <c r="C382" s="221"/>
      <c r="D382" s="222"/>
    </row>
    <row r="383">
      <c r="C383" s="221"/>
      <c r="D383" s="222"/>
    </row>
    <row r="384">
      <c r="C384" s="221"/>
      <c r="D384" s="222"/>
    </row>
    <row r="385">
      <c r="C385" s="221"/>
      <c r="D385" s="222"/>
    </row>
    <row r="386">
      <c r="C386" s="221"/>
      <c r="D386" s="222"/>
    </row>
    <row r="387">
      <c r="C387" s="221"/>
      <c r="D387" s="222"/>
    </row>
    <row r="388">
      <c r="C388" s="221"/>
      <c r="D388" s="222"/>
    </row>
    <row r="389">
      <c r="C389" s="221"/>
      <c r="D389" s="222"/>
    </row>
    <row r="390">
      <c r="C390" s="221"/>
      <c r="D390" s="222"/>
    </row>
    <row r="391">
      <c r="C391" s="221"/>
      <c r="D391" s="222"/>
    </row>
    <row r="392">
      <c r="C392" s="221"/>
      <c r="D392" s="222"/>
    </row>
    <row r="393">
      <c r="C393" s="221"/>
      <c r="D393" s="222"/>
    </row>
    <row r="394">
      <c r="C394" s="221"/>
      <c r="D394" s="222"/>
    </row>
    <row r="395">
      <c r="C395" s="221"/>
      <c r="D395" s="222"/>
    </row>
    <row r="396">
      <c r="C396" s="221"/>
      <c r="D396" s="222"/>
    </row>
    <row r="397">
      <c r="C397" s="221"/>
      <c r="D397" s="222"/>
    </row>
    <row r="398">
      <c r="C398" s="221"/>
      <c r="D398" s="222"/>
    </row>
    <row r="399">
      <c r="C399" s="221"/>
      <c r="D399" s="222"/>
    </row>
    <row r="400">
      <c r="C400" s="221"/>
      <c r="D400" s="222"/>
    </row>
    <row r="401">
      <c r="C401" s="221"/>
      <c r="D401" s="222"/>
    </row>
    <row r="402">
      <c r="C402" s="221"/>
      <c r="D402" s="222"/>
    </row>
    <row r="403">
      <c r="C403" s="221"/>
      <c r="D403" s="222"/>
    </row>
    <row r="404">
      <c r="C404" s="221"/>
      <c r="D404" s="222"/>
    </row>
    <row r="405">
      <c r="C405" s="221"/>
      <c r="D405" s="222"/>
    </row>
    <row r="406">
      <c r="C406" s="221"/>
      <c r="D406" s="222"/>
    </row>
    <row r="407">
      <c r="C407" s="221"/>
      <c r="D407" s="222"/>
    </row>
    <row r="408">
      <c r="C408" s="221"/>
      <c r="D408" s="222"/>
    </row>
    <row r="409">
      <c r="C409" s="221"/>
      <c r="D409" s="222"/>
    </row>
    <row r="410">
      <c r="C410" s="221"/>
      <c r="D410" s="222"/>
    </row>
    <row r="411">
      <c r="C411" s="221"/>
      <c r="D411" s="222"/>
    </row>
    <row r="412">
      <c r="C412" s="221"/>
      <c r="D412" s="222"/>
    </row>
    <row r="413">
      <c r="C413" s="221"/>
      <c r="D413" s="222"/>
    </row>
    <row r="414">
      <c r="C414" s="221"/>
      <c r="D414" s="222"/>
    </row>
    <row r="415">
      <c r="C415" s="221"/>
      <c r="D415" s="222"/>
    </row>
    <row r="416">
      <c r="C416" s="221"/>
      <c r="D416" s="222"/>
    </row>
    <row r="417">
      <c r="C417" s="221"/>
      <c r="D417" s="222"/>
    </row>
    <row r="418">
      <c r="C418" s="221"/>
      <c r="D418" s="222"/>
    </row>
    <row r="419">
      <c r="C419" s="221"/>
      <c r="D419" s="222"/>
    </row>
    <row r="420">
      <c r="C420" s="221"/>
      <c r="D420" s="222"/>
    </row>
    <row r="421">
      <c r="C421" s="221"/>
      <c r="D421" s="222"/>
    </row>
    <row r="422">
      <c r="C422" s="221"/>
      <c r="D422" s="222"/>
    </row>
    <row r="423">
      <c r="C423" s="221"/>
      <c r="D423" s="222"/>
    </row>
    <row r="424">
      <c r="C424" s="221"/>
      <c r="D424" s="222"/>
    </row>
    <row r="425">
      <c r="C425" s="221"/>
      <c r="D425" s="222"/>
    </row>
    <row r="426">
      <c r="C426" s="221"/>
      <c r="D426" s="222"/>
    </row>
    <row r="427">
      <c r="C427" s="221"/>
      <c r="D427" s="222"/>
    </row>
    <row r="428">
      <c r="C428" s="221"/>
      <c r="D428" s="222"/>
    </row>
    <row r="429">
      <c r="C429" s="221"/>
      <c r="D429" s="222"/>
    </row>
    <row r="430">
      <c r="C430" s="221"/>
      <c r="D430" s="222"/>
    </row>
    <row r="431">
      <c r="C431" s="221"/>
      <c r="D431" s="222"/>
    </row>
    <row r="432">
      <c r="C432" s="221"/>
      <c r="D432" s="222"/>
    </row>
    <row r="433">
      <c r="C433" s="221"/>
      <c r="D433" s="222"/>
    </row>
    <row r="434">
      <c r="C434" s="221"/>
      <c r="D434" s="222"/>
    </row>
    <row r="435">
      <c r="C435" s="221"/>
      <c r="D435" s="222"/>
    </row>
    <row r="436">
      <c r="C436" s="221"/>
      <c r="D436" s="222"/>
    </row>
    <row r="437">
      <c r="C437" s="221"/>
      <c r="D437" s="222"/>
    </row>
    <row r="438">
      <c r="C438" s="221"/>
      <c r="D438" s="222"/>
    </row>
    <row r="439">
      <c r="C439" s="221"/>
      <c r="D439" s="222"/>
    </row>
    <row r="440">
      <c r="C440" s="221"/>
      <c r="D440" s="222"/>
    </row>
    <row r="441">
      <c r="C441" s="221"/>
      <c r="D441" s="222"/>
    </row>
    <row r="442">
      <c r="C442" s="221"/>
      <c r="D442" s="222"/>
    </row>
    <row r="443">
      <c r="C443" s="221"/>
      <c r="D443" s="222"/>
    </row>
    <row r="444">
      <c r="C444" s="221"/>
      <c r="D444" s="222"/>
    </row>
    <row r="445">
      <c r="C445" s="221"/>
      <c r="D445" s="222"/>
    </row>
    <row r="446">
      <c r="C446" s="221"/>
      <c r="D446" s="222"/>
    </row>
    <row r="447">
      <c r="C447" s="221"/>
      <c r="D447" s="222"/>
    </row>
    <row r="448">
      <c r="C448" s="221"/>
      <c r="D448" s="222"/>
    </row>
    <row r="449">
      <c r="C449" s="221"/>
      <c r="D449" s="222"/>
    </row>
    <row r="450">
      <c r="C450" s="221"/>
      <c r="D450" s="222"/>
    </row>
    <row r="451">
      <c r="C451" s="221"/>
      <c r="D451" s="222"/>
    </row>
    <row r="452">
      <c r="C452" s="221"/>
      <c r="D452" s="222"/>
    </row>
    <row r="453">
      <c r="C453" s="221"/>
      <c r="D453" s="222"/>
    </row>
    <row r="454">
      <c r="C454" s="221"/>
      <c r="D454" s="222"/>
    </row>
    <row r="455">
      <c r="C455" s="221"/>
      <c r="D455" s="222"/>
    </row>
    <row r="456">
      <c r="C456" s="221"/>
      <c r="D456" s="222"/>
    </row>
    <row r="457">
      <c r="C457" s="221"/>
      <c r="D457" s="222"/>
    </row>
    <row r="458">
      <c r="C458" s="221"/>
      <c r="D458" s="222"/>
    </row>
    <row r="459">
      <c r="C459" s="221"/>
      <c r="D459" s="222"/>
    </row>
    <row r="460">
      <c r="C460" s="221"/>
      <c r="D460" s="222"/>
    </row>
    <row r="461">
      <c r="C461" s="221"/>
      <c r="D461" s="222"/>
    </row>
    <row r="462">
      <c r="C462" s="221"/>
      <c r="D462" s="222"/>
    </row>
    <row r="463">
      <c r="C463" s="221"/>
      <c r="D463" s="222"/>
    </row>
    <row r="464">
      <c r="C464" s="221"/>
      <c r="D464" s="222"/>
    </row>
    <row r="465">
      <c r="C465" s="221"/>
      <c r="D465" s="222"/>
    </row>
    <row r="466">
      <c r="C466" s="221"/>
      <c r="D466" s="222"/>
    </row>
    <row r="467">
      <c r="C467" s="221"/>
      <c r="D467" s="222"/>
    </row>
    <row r="468">
      <c r="C468" s="221"/>
      <c r="D468" s="222"/>
    </row>
    <row r="469">
      <c r="C469" s="221"/>
      <c r="D469" s="222"/>
    </row>
    <row r="470">
      <c r="C470" s="221"/>
      <c r="D470" s="222"/>
    </row>
    <row r="471">
      <c r="C471" s="221"/>
      <c r="D471" s="222"/>
    </row>
    <row r="472">
      <c r="C472" s="221"/>
      <c r="D472" s="222"/>
    </row>
    <row r="473">
      <c r="C473" s="221"/>
      <c r="D473" s="222"/>
    </row>
    <row r="474">
      <c r="C474" s="221"/>
      <c r="D474" s="222"/>
    </row>
    <row r="475">
      <c r="C475" s="221"/>
      <c r="D475" s="222"/>
    </row>
    <row r="476">
      <c r="C476" s="221"/>
      <c r="D476" s="222"/>
    </row>
    <row r="477">
      <c r="C477" s="221"/>
      <c r="D477" s="222"/>
    </row>
    <row r="478">
      <c r="C478" s="221"/>
      <c r="D478" s="222"/>
    </row>
    <row r="479">
      <c r="C479" s="221"/>
      <c r="D479" s="222"/>
    </row>
    <row r="480">
      <c r="C480" s="221"/>
      <c r="D480" s="222"/>
    </row>
    <row r="481">
      <c r="C481" s="221"/>
      <c r="D481" s="222"/>
    </row>
    <row r="482">
      <c r="C482" s="221"/>
      <c r="D482" s="222"/>
    </row>
    <row r="483">
      <c r="C483" s="221"/>
      <c r="D483" s="222"/>
    </row>
    <row r="484">
      <c r="C484" s="221"/>
      <c r="D484" s="222"/>
    </row>
    <row r="485">
      <c r="C485" s="221"/>
      <c r="D485" s="222"/>
    </row>
    <row r="486">
      <c r="C486" s="221"/>
      <c r="D486" s="222"/>
    </row>
    <row r="487">
      <c r="C487" s="221"/>
      <c r="D487" s="222"/>
    </row>
    <row r="488">
      <c r="C488" s="221"/>
      <c r="D488" s="222"/>
    </row>
    <row r="489">
      <c r="C489" s="221"/>
      <c r="D489" s="222"/>
    </row>
    <row r="490">
      <c r="C490" s="221"/>
      <c r="D490" s="222"/>
    </row>
    <row r="491">
      <c r="C491" s="221"/>
      <c r="D491" s="222"/>
    </row>
    <row r="492">
      <c r="C492" s="221"/>
      <c r="D492" s="222"/>
    </row>
    <row r="493">
      <c r="C493" s="221"/>
      <c r="D493" s="222"/>
    </row>
    <row r="494">
      <c r="C494" s="221"/>
      <c r="D494" s="222"/>
    </row>
    <row r="495">
      <c r="C495" s="221"/>
      <c r="D495" s="222"/>
    </row>
    <row r="496">
      <c r="C496" s="221"/>
      <c r="D496" s="222"/>
    </row>
    <row r="497">
      <c r="C497" s="221"/>
      <c r="D497" s="222"/>
    </row>
    <row r="498">
      <c r="C498" s="221"/>
      <c r="D498" s="222"/>
    </row>
    <row r="499">
      <c r="C499" s="221"/>
      <c r="D499" s="222"/>
    </row>
    <row r="500">
      <c r="C500" s="221"/>
      <c r="D500" s="222"/>
    </row>
    <row r="501">
      <c r="C501" s="221"/>
      <c r="D501" s="222"/>
    </row>
    <row r="502">
      <c r="C502" s="221"/>
      <c r="D502" s="222"/>
    </row>
    <row r="503">
      <c r="C503" s="221"/>
      <c r="D503" s="222"/>
    </row>
    <row r="504">
      <c r="C504" s="221"/>
      <c r="D504" s="222"/>
    </row>
    <row r="505">
      <c r="C505" s="221"/>
      <c r="D505" s="222"/>
    </row>
    <row r="506">
      <c r="C506" s="221"/>
      <c r="D506" s="222"/>
    </row>
    <row r="507">
      <c r="C507" s="221"/>
      <c r="D507" s="222"/>
    </row>
    <row r="508">
      <c r="C508" s="221"/>
      <c r="D508" s="222"/>
    </row>
    <row r="509">
      <c r="C509" s="221"/>
      <c r="D509" s="222"/>
    </row>
    <row r="510">
      <c r="C510" s="221"/>
      <c r="D510" s="222"/>
    </row>
    <row r="511">
      <c r="C511" s="221"/>
      <c r="D511" s="222"/>
    </row>
    <row r="512">
      <c r="C512" s="221"/>
      <c r="D512" s="222"/>
    </row>
    <row r="513">
      <c r="C513" s="221"/>
      <c r="D513" s="222"/>
    </row>
    <row r="514">
      <c r="C514" s="221"/>
      <c r="D514" s="222"/>
    </row>
    <row r="515">
      <c r="C515" s="221"/>
      <c r="D515" s="222"/>
    </row>
    <row r="516">
      <c r="C516" s="221"/>
      <c r="D516" s="222"/>
    </row>
    <row r="517">
      <c r="C517" s="221"/>
      <c r="D517" s="222"/>
    </row>
    <row r="518">
      <c r="C518" s="221"/>
      <c r="D518" s="222"/>
    </row>
    <row r="519">
      <c r="C519" s="221"/>
      <c r="D519" s="222"/>
    </row>
    <row r="520">
      <c r="C520" s="221"/>
      <c r="D520" s="222"/>
    </row>
    <row r="521">
      <c r="C521" s="221"/>
      <c r="D521" s="222"/>
    </row>
    <row r="522">
      <c r="C522" s="221"/>
      <c r="D522" s="222"/>
    </row>
    <row r="523">
      <c r="C523" s="221"/>
      <c r="D523" s="222"/>
    </row>
    <row r="524">
      <c r="C524" s="221"/>
      <c r="D524" s="222"/>
    </row>
    <row r="525">
      <c r="C525" s="221"/>
      <c r="D525" s="222"/>
    </row>
    <row r="526">
      <c r="C526" s="221"/>
      <c r="D526" s="222"/>
    </row>
    <row r="527">
      <c r="C527" s="221"/>
      <c r="D527" s="222"/>
    </row>
    <row r="528">
      <c r="C528" s="221"/>
      <c r="D528" s="222"/>
    </row>
    <row r="529">
      <c r="C529" s="221"/>
      <c r="D529" s="222"/>
    </row>
    <row r="530">
      <c r="C530" s="221"/>
      <c r="D530" s="222"/>
    </row>
    <row r="531">
      <c r="C531" s="221"/>
      <c r="D531" s="222"/>
    </row>
    <row r="532">
      <c r="C532" s="221"/>
      <c r="D532" s="222"/>
    </row>
    <row r="533">
      <c r="C533" s="221"/>
      <c r="D533" s="222"/>
    </row>
    <row r="534">
      <c r="C534" s="221"/>
      <c r="D534" s="222"/>
    </row>
    <row r="535">
      <c r="C535" s="221"/>
      <c r="D535" s="222"/>
    </row>
    <row r="536">
      <c r="C536" s="221"/>
      <c r="D536" s="222"/>
    </row>
    <row r="537">
      <c r="C537" s="221"/>
      <c r="D537" s="222"/>
    </row>
    <row r="538">
      <c r="C538" s="221"/>
      <c r="D538" s="222"/>
    </row>
    <row r="539">
      <c r="C539" s="221"/>
      <c r="D539" s="222"/>
    </row>
    <row r="540">
      <c r="C540" s="221"/>
      <c r="D540" s="222"/>
    </row>
    <row r="541">
      <c r="C541" s="221"/>
      <c r="D541" s="222"/>
    </row>
    <row r="542">
      <c r="C542" s="221"/>
      <c r="D542" s="222"/>
    </row>
    <row r="543">
      <c r="C543" s="221"/>
      <c r="D543" s="222"/>
    </row>
    <row r="544">
      <c r="C544" s="221"/>
      <c r="D544" s="222"/>
    </row>
    <row r="545">
      <c r="C545" s="221"/>
      <c r="D545" s="222"/>
    </row>
    <row r="546">
      <c r="C546" s="221"/>
      <c r="D546" s="222"/>
    </row>
    <row r="547">
      <c r="C547" s="221"/>
      <c r="D547" s="222"/>
    </row>
    <row r="548">
      <c r="C548" s="221"/>
      <c r="D548" s="222"/>
    </row>
    <row r="549">
      <c r="C549" s="221"/>
      <c r="D549" s="222"/>
    </row>
    <row r="550">
      <c r="C550" s="221"/>
      <c r="D550" s="222"/>
    </row>
    <row r="551">
      <c r="C551" s="221"/>
      <c r="D551" s="222"/>
    </row>
    <row r="552">
      <c r="C552" s="221"/>
      <c r="D552" s="222"/>
    </row>
    <row r="553">
      <c r="C553" s="221"/>
      <c r="D553" s="222"/>
    </row>
    <row r="554">
      <c r="C554" s="221"/>
      <c r="D554" s="222"/>
    </row>
    <row r="555">
      <c r="C555" s="221"/>
      <c r="D555" s="222"/>
    </row>
    <row r="556">
      <c r="C556" s="221"/>
      <c r="D556" s="222"/>
    </row>
    <row r="557">
      <c r="C557" s="221"/>
      <c r="D557" s="222"/>
    </row>
    <row r="558">
      <c r="C558" s="221"/>
      <c r="D558" s="222"/>
    </row>
    <row r="559">
      <c r="C559" s="221"/>
      <c r="D559" s="222"/>
    </row>
    <row r="560">
      <c r="C560" s="221"/>
      <c r="D560" s="222"/>
    </row>
    <row r="561">
      <c r="C561" s="221"/>
      <c r="D561" s="222"/>
    </row>
    <row r="562">
      <c r="C562" s="221"/>
      <c r="D562" s="222"/>
    </row>
    <row r="563">
      <c r="C563" s="221"/>
      <c r="D563" s="222"/>
    </row>
    <row r="564">
      <c r="C564" s="221"/>
      <c r="D564" s="222"/>
    </row>
    <row r="565">
      <c r="C565" s="221"/>
      <c r="D565" s="222"/>
    </row>
    <row r="566">
      <c r="C566" s="221"/>
      <c r="D566" s="222"/>
    </row>
    <row r="567">
      <c r="C567" s="221"/>
      <c r="D567" s="222"/>
    </row>
    <row r="568">
      <c r="C568" s="221"/>
      <c r="D568" s="222"/>
    </row>
    <row r="569">
      <c r="C569" s="221"/>
      <c r="D569" s="222"/>
    </row>
    <row r="570">
      <c r="C570" s="221"/>
      <c r="D570" s="222"/>
    </row>
    <row r="571">
      <c r="C571" s="221"/>
      <c r="D571" s="222"/>
    </row>
    <row r="572">
      <c r="C572" s="221"/>
      <c r="D572" s="222"/>
    </row>
    <row r="573">
      <c r="C573" s="221"/>
      <c r="D573" s="222"/>
    </row>
    <row r="574">
      <c r="C574" s="221"/>
      <c r="D574" s="222"/>
    </row>
    <row r="575">
      <c r="C575" s="221"/>
      <c r="D575" s="222"/>
    </row>
    <row r="576">
      <c r="C576" s="221"/>
      <c r="D576" s="222"/>
    </row>
    <row r="577">
      <c r="C577" s="221"/>
      <c r="D577" s="222"/>
    </row>
    <row r="578">
      <c r="C578" s="221"/>
      <c r="D578" s="222"/>
    </row>
    <row r="579">
      <c r="C579" s="221"/>
      <c r="D579" s="222"/>
    </row>
    <row r="580">
      <c r="C580" s="221"/>
      <c r="D580" s="222"/>
    </row>
    <row r="581">
      <c r="C581" s="221"/>
      <c r="D581" s="222"/>
    </row>
    <row r="582">
      <c r="C582" s="221"/>
      <c r="D582" s="222"/>
    </row>
    <row r="583">
      <c r="C583" s="221"/>
      <c r="D583" s="222"/>
    </row>
    <row r="584">
      <c r="C584" s="221"/>
      <c r="D584" s="222"/>
    </row>
    <row r="585">
      <c r="C585" s="221"/>
      <c r="D585" s="222"/>
    </row>
    <row r="586">
      <c r="C586" s="221"/>
      <c r="D586" s="222"/>
    </row>
    <row r="587">
      <c r="C587" s="221"/>
      <c r="D587" s="222"/>
    </row>
    <row r="588">
      <c r="C588" s="221"/>
      <c r="D588" s="222"/>
    </row>
    <row r="589">
      <c r="C589" s="221"/>
      <c r="D589" s="222"/>
    </row>
    <row r="590">
      <c r="C590" s="221"/>
      <c r="D590" s="222"/>
    </row>
    <row r="591">
      <c r="C591" s="221"/>
      <c r="D591" s="222"/>
    </row>
    <row r="592">
      <c r="C592" s="221"/>
      <c r="D592" s="222"/>
    </row>
    <row r="593">
      <c r="C593" s="221"/>
      <c r="D593" s="222"/>
    </row>
    <row r="594">
      <c r="C594" s="221"/>
      <c r="D594" s="222"/>
    </row>
    <row r="595">
      <c r="C595" s="221"/>
      <c r="D595" s="222"/>
    </row>
    <row r="596">
      <c r="C596" s="221"/>
      <c r="D596" s="222"/>
    </row>
    <row r="597">
      <c r="C597" s="221"/>
      <c r="D597" s="222"/>
    </row>
    <row r="598">
      <c r="C598" s="221"/>
      <c r="D598" s="222"/>
    </row>
    <row r="599">
      <c r="C599" s="221"/>
      <c r="D599" s="222"/>
    </row>
    <row r="600">
      <c r="C600" s="221"/>
      <c r="D600" s="222"/>
    </row>
    <row r="601">
      <c r="C601" s="221"/>
      <c r="D601" s="222"/>
    </row>
    <row r="602">
      <c r="C602" s="221"/>
      <c r="D602" s="222"/>
    </row>
    <row r="603">
      <c r="C603" s="221"/>
      <c r="D603" s="222"/>
    </row>
    <row r="604">
      <c r="C604" s="221"/>
      <c r="D604" s="222"/>
    </row>
    <row r="605">
      <c r="C605" s="221"/>
      <c r="D605" s="222"/>
    </row>
    <row r="606">
      <c r="C606" s="221"/>
      <c r="D606" s="222"/>
    </row>
    <row r="607">
      <c r="C607" s="221"/>
      <c r="D607" s="222"/>
    </row>
    <row r="608">
      <c r="C608" s="221"/>
      <c r="D608" s="222"/>
    </row>
    <row r="609">
      <c r="C609" s="221"/>
      <c r="D609" s="222"/>
    </row>
    <row r="610">
      <c r="C610" s="221"/>
      <c r="D610" s="222"/>
    </row>
    <row r="611">
      <c r="C611" s="221"/>
      <c r="D611" s="222"/>
    </row>
    <row r="612">
      <c r="C612" s="221"/>
      <c r="D612" s="222"/>
    </row>
    <row r="613">
      <c r="C613" s="221"/>
      <c r="D613" s="222"/>
    </row>
    <row r="614">
      <c r="C614" s="221"/>
      <c r="D614" s="222"/>
    </row>
    <row r="615">
      <c r="C615" s="221"/>
      <c r="D615" s="222"/>
    </row>
    <row r="616">
      <c r="C616" s="221"/>
      <c r="D616" s="222"/>
    </row>
    <row r="617">
      <c r="C617" s="221"/>
      <c r="D617" s="222"/>
    </row>
    <row r="618">
      <c r="C618" s="221"/>
      <c r="D618" s="222"/>
    </row>
    <row r="619">
      <c r="C619" s="221"/>
      <c r="D619" s="222"/>
    </row>
    <row r="620">
      <c r="C620" s="221"/>
      <c r="D620" s="222"/>
    </row>
    <row r="621">
      <c r="C621" s="221"/>
      <c r="D621" s="222"/>
    </row>
    <row r="622">
      <c r="C622" s="221"/>
      <c r="D622" s="222"/>
    </row>
    <row r="623">
      <c r="C623" s="221"/>
      <c r="D623" s="222"/>
    </row>
    <row r="624">
      <c r="C624" s="221"/>
      <c r="D624" s="222"/>
    </row>
    <row r="625">
      <c r="C625" s="221"/>
      <c r="D625" s="222"/>
    </row>
    <row r="626">
      <c r="C626" s="221"/>
      <c r="D626" s="222"/>
    </row>
    <row r="627">
      <c r="C627" s="221"/>
      <c r="D627" s="222"/>
    </row>
    <row r="628">
      <c r="C628" s="221"/>
      <c r="D628" s="222"/>
    </row>
    <row r="629">
      <c r="C629" s="221"/>
      <c r="D629" s="222"/>
    </row>
    <row r="630">
      <c r="C630" s="221"/>
      <c r="D630" s="222"/>
    </row>
    <row r="631">
      <c r="C631" s="221"/>
      <c r="D631" s="222"/>
    </row>
    <row r="632">
      <c r="C632" s="221"/>
      <c r="D632" s="222"/>
    </row>
    <row r="633">
      <c r="C633" s="221"/>
      <c r="D633" s="222"/>
    </row>
    <row r="634">
      <c r="C634" s="221"/>
      <c r="D634" s="222"/>
    </row>
    <row r="635">
      <c r="C635" s="221"/>
      <c r="D635" s="222"/>
    </row>
    <row r="636">
      <c r="C636" s="221"/>
      <c r="D636" s="222"/>
    </row>
    <row r="637">
      <c r="C637" s="221"/>
      <c r="D637" s="222"/>
    </row>
    <row r="638">
      <c r="C638" s="221"/>
      <c r="D638" s="222"/>
    </row>
    <row r="639">
      <c r="C639" s="221"/>
      <c r="D639" s="222"/>
    </row>
    <row r="640">
      <c r="C640" s="221"/>
      <c r="D640" s="222"/>
    </row>
    <row r="641">
      <c r="C641" s="221"/>
      <c r="D641" s="222"/>
    </row>
    <row r="642">
      <c r="C642" s="221"/>
      <c r="D642" s="222"/>
    </row>
    <row r="643">
      <c r="C643" s="221"/>
      <c r="D643" s="222"/>
    </row>
    <row r="644">
      <c r="C644" s="221"/>
      <c r="D644" s="222"/>
    </row>
    <row r="645">
      <c r="C645" s="221"/>
      <c r="D645" s="222"/>
    </row>
    <row r="646">
      <c r="C646" s="221"/>
      <c r="D646" s="222"/>
    </row>
    <row r="647">
      <c r="C647" s="221"/>
      <c r="D647" s="222"/>
    </row>
    <row r="648">
      <c r="C648" s="221"/>
      <c r="D648" s="222"/>
    </row>
    <row r="649">
      <c r="C649" s="221"/>
      <c r="D649" s="222"/>
    </row>
    <row r="650">
      <c r="C650" s="221"/>
      <c r="D650" s="222"/>
    </row>
    <row r="651">
      <c r="C651" s="221"/>
      <c r="D651" s="222"/>
    </row>
    <row r="652">
      <c r="C652" s="221"/>
      <c r="D652" s="222"/>
    </row>
    <row r="653">
      <c r="C653" s="221"/>
      <c r="D653" s="222"/>
    </row>
    <row r="654">
      <c r="C654" s="221"/>
      <c r="D654" s="222"/>
    </row>
    <row r="655">
      <c r="C655" s="221"/>
      <c r="D655" s="222"/>
    </row>
    <row r="656">
      <c r="C656" s="221"/>
      <c r="D656" s="222"/>
    </row>
    <row r="657">
      <c r="C657" s="221"/>
      <c r="D657" s="222"/>
    </row>
    <row r="658">
      <c r="C658" s="221"/>
      <c r="D658" s="222"/>
    </row>
    <row r="659">
      <c r="C659" s="221"/>
      <c r="D659" s="222"/>
    </row>
    <row r="660">
      <c r="C660" s="221"/>
      <c r="D660" s="222"/>
    </row>
    <row r="661">
      <c r="C661" s="221"/>
      <c r="D661" s="222"/>
    </row>
    <row r="662">
      <c r="C662" s="221"/>
      <c r="D662" s="222"/>
    </row>
    <row r="663">
      <c r="C663" s="221"/>
      <c r="D663" s="222"/>
    </row>
    <row r="664">
      <c r="C664" s="221"/>
      <c r="D664" s="222"/>
    </row>
    <row r="665">
      <c r="C665" s="221"/>
      <c r="D665" s="222"/>
    </row>
    <row r="666">
      <c r="C666" s="221"/>
      <c r="D666" s="222"/>
    </row>
    <row r="667">
      <c r="C667" s="221"/>
      <c r="D667" s="222"/>
    </row>
    <row r="668">
      <c r="C668" s="221"/>
      <c r="D668" s="222"/>
    </row>
    <row r="669">
      <c r="C669" s="221"/>
      <c r="D669" s="222"/>
    </row>
    <row r="670">
      <c r="C670" s="221"/>
      <c r="D670" s="222"/>
    </row>
    <row r="671">
      <c r="C671" s="221"/>
      <c r="D671" s="222"/>
    </row>
    <row r="672">
      <c r="C672" s="221"/>
      <c r="D672" s="222"/>
    </row>
    <row r="673">
      <c r="C673" s="221"/>
      <c r="D673" s="222"/>
    </row>
    <row r="674">
      <c r="C674" s="221"/>
      <c r="D674" s="222"/>
    </row>
    <row r="675">
      <c r="C675" s="221"/>
      <c r="D675" s="222"/>
    </row>
    <row r="676">
      <c r="C676" s="221"/>
      <c r="D676" s="222"/>
    </row>
    <row r="677">
      <c r="C677" s="221"/>
      <c r="D677" s="222"/>
    </row>
    <row r="678">
      <c r="C678" s="221"/>
      <c r="D678" s="222"/>
    </row>
    <row r="679">
      <c r="C679" s="221"/>
      <c r="D679" s="222"/>
    </row>
    <row r="680">
      <c r="C680" s="221"/>
      <c r="D680" s="222"/>
    </row>
    <row r="681">
      <c r="C681" s="221"/>
      <c r="D681" s="222"/>
    </row>
    <row r="682">
      <c r="C682" s="221"/>
      <c r="D682" s="222"/>
    </row>
    <row r="683">
      <c r="C683" s="221"/>
      <c r="D683" s="222"/>
    </row>
    <row r="684">
      <c r="C684" s="221"/>
      <c r="D684" s="222"/>
    </row>
    <row r="685">
      <c r="C685" s="221"/>
      <c r="D685" s="222"/>
    </row>
    <row r="686">
      <c r="C686" s="221"/>
      <c r="D686" s="222"/>
    </row>
    <row r="687">
      <c r="C687" s="221"/>
      <c r="D687" s="222"/>
    </row>
    <row r="688">
      <c r="C688" s="221"/>
      <c r="D688" s="222"/>
    </row>
    <row r="689">
      <c r="C689" s="221"/>
      <c r="D689" s="222"/>
    </row>
    <row r="690">
      <c r="C690" s="221"/>
      <c r="D690" s="222"/>
    </row>
    <row r="691">
      <c r="C691" s="221"/>
      <c r="D691" s="222"/>
    </row>
    <row r="692">
      <c r="C692" s="221"/>
      <c r="D692" s="222"/>
    </row>
    <row r="693">
      <c r="C693" s="221"/>
      <c r="D693" s="222"/>
    </row>
    <row r="694">
      <c r="C694" s="221"/>
      <c r="D694" s="222"/>
    </row>
    <row r="695">
      <c r="C695" s="221"/>
      <c r="D695" s="222"/>
    </row>
    <row r="696">
      <c r="C696" s="221"/>
      <c r="D696" s="222"/>
    </row>
    <row r="697">
      <c r="C697" s="221"/>
      <c r="D697" s="222"/>
    </row>
    <row r="698">
      <c r="C698" s="221"/>
      <c r="D698" s="222"/>
    </row>
    <row r="699">
      <c r="C699" s="221"/>
      <c r="D699" s="222"/>
    </row>
    <row r="700">
      <c r="C700" s="221"/>
      <c r="D700" s="222"/>
    </row>
    <row r="701">
      <c r="C701" s="221"/>
      <c r="D701" s="222"/>
    </row>
    <row r="702">
      <c r="C702" s="221"/>
      <c r="D702" s="222"/>
    </row>
    <row r="703">
      <c r="C703" s="221"/>
      <c r="D703" s="222"/>
    </row>
    <row r="704">
      <c r="C704" s="221"/>
      <c r="D704" s="222"/>
    </row>
    <row r="705">
      <c r="C705" s="221"/>
      <c r="D705" s="222"/>
    </row>
    <row r="706">
      <c r="C706" s="221"/>
      <c r="D706" s="222"/>
    </row>
    <row r="707">
      <c r="C707" s="221"/>
      <c r="D707" s="222"/>
    </row>
    <row r="708">
      <c r="C708" s="221"/>
      <c r="D708" s="222"/>
    </row>
    <row r="709">
      <c r="C709" s="221"/>
      <c r="D709" s="222"/>
    </row>
    <row r="710">
      <c r="C710" s="221"/>
      <c r="D710" s="222"/>
    </row>
    <row r="711">
      <c r="C711" s="221"/>
      <c r="D711" s="222"/>
    </row>
    <row r="712">
      <c r="C712" s="221"/>
      <c r="D712" s="222"/>
    </row>
    <row r="713">
      <c r="C713" s="221"/>
      <c r="D713" s="222"/>
    </row>
    <row r="714">
      <c r="C714" s="221"/>
      <c r="D714" s="222"/>
    </row>
    <row r="715">
      <c r="C715" s="221"/>
      <c r="D715" s="222"/>
    </row>
    <row r="716">
      <c r="C716" s="221"/>
      <c r="D716" s="222"/>
    </row>
    <row r="717">
      <c r="C717" s="221"/>
      <c r="D717" s="222"/>
    </row>
    <row r="718">
      <c r="C718" s="221"/>
      <c r="D718" s="222"/>
    </row>
    <row r="719">
      <c r="C719" s="221"/>
      <c r="D719" s="222"/>
    </row>
    <row r="720">
      <c r="C720" s="221"/>
      <c r="D720" s="222"/>
    </row>
    <row r="721">
      <c r="C721" s="221"/>
      <c r="D721" s="222"/>
    </row>
    <row r="722">
      <c r="C722" s="221"/>
      <c r="D722" s="222"/>
    </row>
    <row r="723">
      <c r="C723" s="221"/>
      <c r="D723" s="222"/>
    </row>
    <row r="724">
      <c r="C724" s="221"/>
      <c r="D724" s="222"/>
    </row>
    <row r="725">
      <c r="C725" s="221"/>
      <c r="D725" s="222"/>
    </row>
    <row r="726">
      <c r="C726" s="221"/>
      <c r="D726" s="222"/>
    </row>
    <row r="727">
      <c r="C727" s="221"/>
      <c r="D727" s="222"/>
    </row>
    <row r="728">
      <c r="C728" s="221"/>
      <c r="D728" s="222"/>
    </row>
    <row r="729">
      <c r="C729" s="221"/>
      <c r="D729" s="222"/>
    </row>
    <row r="730">
      <c r="C730" s="221"/>
      <c r="D730" s="222"/>
    </row>
    <row r="731">
      <c r="C731" s="221"/>
      <c r="D731" s="222"/>
    </row>
    <row r="732">
      <c r="C732" s="221"/>
      <c r="D732" s="222"/>
    </row>
    <row r="733">
      <c r="C733" s="221"/>
      <c r="D733" s="222"/>
    </row>
    <row r="734">
      <c r="C734" s="221"/>
      <c r="D734" s="222"/>
    </row>
    <row r="735">
      <c r="C735" s="221"/>
      <c r="D735" s="222"/>
    </row>
    <row r="736">
      <c r="C736" s="221"/>
      <c r="D736" s="222"/>
    </row>
    <row r="737">
      <c r="C737" s="221"/>
      <c r="D737" s="222"/>
    </row>
    <row r="738">
      <c r="C738" s="221"/>
      <c r="D738" s="222"/>
    </row>
    <row r="739">
      <c r="C739" s="221"/>
      <c r="D739" s="222"/>
    </row>
    <row r="740">
      <c r="C740" s="221"/>
      <c r="D740" s="222"/>
    </row>
    <row r="741">
      <c r="C741" s="221"/>
      <c r="D741" s="222"/>
    </row>
    <row r="742">
      <c r="C742" s="221"/>
      <c r="D742" s="222"/>
    </row>
    <row r="743">
      <c r="C743" s="221"/>
      <c r="D743" s="222"/>
    </row>
    <row r="744">
      <c r="C744" s="221"/>
      <c r="D744" s="222"/>
    </row>
    <row r="745">
      <c r="C745" s="221"/>
      <c r="D745" s="222"/>
    </row>
    <row r="746">
      <c r="C746" s="221"/>
      <c r="D746" s="222"/>
    </row>
    <row r="747">
      <c r="C747" s="221"/>
      <c r="D747" s="222"/>
    </row>
    <row r="748">
      <c r="C748" s="221"/>
      <c r="D748" s="222"/>
    </row>
    <row r="749">
      <c r="C749" s="221"/>
      <c r="D749" s="222"/>
    </row>
    <row r="750">
      <c r="C750" s="221"/>
      <c r="D750" s="222"/>
    </row>
    <row r="751">
      <c r="C751" s="221"/>
      <c r="D751" s="222"/>
    </row>
    <row r="752">
      <c r="C752" s="221"/>
      <c r="D752" s="222"/>
    </row>
    <row r="753">
      <c r="C753" s="221"/>
      <c r="D753" s="222"/>
    </row>
    <row r="754">
      <c r="C754" s="221"/>
      <c r="D754" s="222"/>
    </row>
    <row r="755">
      <c r="C755" s="221"/>
      <c r="D755" s="222"/>
    </row>
    <row r="756">
      <c r="C756" s="221"/>
      <c r="D756" s="222"/>
    </row>
    <row r="757">
      <c r="C757" s="221"/>
      <c r="D757" s="222"/>
    </row>
    <row r="758">
      <c r="C758" s="221"/>
      <c r="D758" s="222"/>
    </row>
    <row r="759">
      <c r="C759" s="221"/>
      <c r="D759" s="222"/>
    </row>
    <row r="760">
      <c r="C760" s="221"/>
      <c r="D760" s="222"/>
    </row>
    <row r="761">
      <c r="C761" s="221"/>
      <c r="D761" s="222"/>
    </row>
    <row r="762">
      <c r="C762" s="221"/>
      <c r="D762" s="222"/>
    </row>
    <row r="763">
      <c r="C763" s="221"/>
      <c r="D763" s="222"/>
    </row>
    <row r="764">
      <c r="C764" s="221"/>
      <c r="D764" s="222"/>
    </row>
    <row r="765">
      <c r="C765" s="221"/>
      <c r="D765" s="222"/>
    </row>
    <row r="766">
      <c r="C766" s="221"/>
      <c r="D766" s="222"/>
    </row>
    <row r="767">
      <c r="C767" s="221"/>
      <c r="D767" s="222"/>
    </row>
    <row r="768">
      <c r="C768" s="221"/>
      <c r="D768" s="222"/>
    </row>
    <row r="769">
      <c r="C769" s="221"/>
      <c r="D769" s="222"/>
    </row>
    <row r="770">
      <c r="C770" s="221"/>
      <c r="D770" s="222"/>
    </row>
    <row r="771">
      <c r="C771" s="221"/>
      <c r="D771" s="222"/>
    </row>
    <row r="772">
      <c r="C772" s="221"/>
      <c r="D772" s="222"/>
    </row>
    <row r="773">
      <c r="C773" s="221"/>
      <c r="D773" s="222"/>
    </row>
    <row r="774">
      <c r="C774" s="221"/>
      <c r="D774" s="222"/>
    </row>
    <row r="775">
      <c r="C775" s="221"/>
      <c r="D775" s="222"/>
    </row>
    <row r="776">
      <c r="C776" s="221"/>
      <c r="D776" s="222"/>
    </row>
    <row r="777">
      <c r="C777" s="221"/>
      <c r="D777" s="222"/>
    </row>
    <row r="778">
      <c r="C778" s="221"/>
      <c r="D778" s="222"/>
    </row>
    <row r="779">
      <c r="C779" s="221"/>
      <c r="D779" s="222"/>
    </row>
    <row r="780">
      <c r="C780" s="221"/>
      <c r="D780" s="222"/>
    </row>
    <row r="781">
      <c r="C781" s="221"/>
      <c r="D781" s="222"/>
    </row>
    <row r="782">
      <c r="C782" s="221"/>
      <c r="D782" s="222"/>
    </row>
    <row r="783">
      <c r="C783" s="221"/>
      <c r="D783" s="222"/>
    </row>
    <row r="784">
      <c r="C784" s="221"/>
      <c r="D784" s="222"/>
    </row>
    <row r="785">
      <c r="C785" s="221"/>
      <c r="D785" s="222"/>
    </row>
    <row r="786">
      <c r="C786" s="221"/>
      <c r="D786" s="222"/>
    </row>
    <row r="787">
      <c r="C787" s="221"/>
      <c r="D787" s="222"/>
    </row>
    <row r="788">
      <c r="C788" s="221"/>
      <c r="D788" s="222"/>
    </row>
    <row r="789">
      <c r="C789" s="221"/>
      <c r="D789" s="222"/>
    </row>
    <row r="790">
      <c r="C790" s="221"/>
      <c r="D790" s="222"/>
    </row>
    <row r="791">
      <c r="C791" s="221"/>
      <c r="D791" s="222"/>
    </row>
    <row r="792">
      <c r="C792" s="221"/>
      <c r="D792" s="222"/>
    </row>
    <row r="793">
      <c r="C793" s="221"/>
      <c r="D793" s="222"/>
    </row>
    <row r="794">
      <c r="C794" s="221"/>
      <c r="D794" s="222"/>
    </row>
    <row r="795">
      <c r="C795" s="221"/>
      <c r="D795" s="222"/>
    </row>
    <row r="796">
      <c r="C796" s="221"/>
      <c r="D796" s="222"/>
    </row>
    <row r="797">
      <c r="C797" s="221"/>
      <c r="D797" s="222"/>
    </row>
    <row r="798">
      <c r="C798" s="221"/>
      <c r="D798" s="222"/>
    </row>
    <row r="799">
      <c r="C799" s="221"/>
      <c r="D799" s="222"/>
    </row>
    <row r="800">
      <c r="C800" s="221"/>
      <c r="D800" s="222"/>
    </row>
    <row r="801">
      <c r="C801" s="221"/>
      <c r="D801" s="222"/>
    </row>
    <row r="802">
      <c r="C802" s="221"/>
      <c r="D802" s="222"/>
    </row>
    <row r="803">
      <c r="C803" s="221"/>
      <c r="D803" s="222"/>
    </row>
    <row r="804">
      <c r="C804" s="221"/>
      <c r="D804" s="222"/>
    </row>
    <row r="805">
      <c r="C805" s="221"/>
      <c r="D805" s="222"/>
    </row>
    <row r="806">
      <c r="C806" s="221"/>
      <c r="D806" s="222"/>
    </row>
    <row r="807">
      <c r="C807" s="221"/>
      <c r="D807" s="222"/>
    </row>
    <row r="808">
      <c r="C808" s="221"/>
      <c r="D808" s="222"/>
    </row>
    <row r="809">
      <c r="C809" s="221"/>
      <c r="D809" s="222"/>
    </row>
    <row r="810">
      <c r="C810" s="221"/>
      <c r="D810" s="222"/>
    </row>
    <row r="811">
      <c r="C811" s="221"/>
      <c r="D811" s="222"/>
    </row>
    <row r="812">
      <c r="C812" s="221"/>
      <c r="D812" s="222"/>
    </row>
    <row r="813">
      <c r="C813" s="221"/>
      <c r="D813" s="222"/>
    </row>
    <row r="814">
      <c r="C814" s="221"/>
      <c r="D814" s="222"/>
    </row>
    <row r="815">
      <c r="C815" s="221"/>
      <c r="D815" s="222"/>
    </row>
    <row r="816">
      <c r="C816" s="221"/>
      <c r="D816" s="222"/>
    </row>
    <row r="817">
      <c r="C817" s="221"/>
      <c r="D817" s="222"/>
    </row>
    <row r="818">
      <c r="C818" s="221"/>
      <c r="D818" s="222"/>
    </row>
    <row r="819">
      <c r="C819" s="221"/>
      <c r="D819" s="222"/>
    </row>
    <row r="820">
      <c r="C820" s="221"/>
      <c r="D820" s="222"/>
    </row>
    <row r="821">
      <c r="C821" s="221"/>
      <c r="D821" s="222"/>
    </row>
    <row r="822">
      <c r="C822" s="221"/>
      <c r="D822" s="222"/>
    </row>
    <row r="823">
      <c r="C823" s="221"/>
      <c r="D823" s="222"/>
    </row>
    <row r="824">
      <c r="C824" s="221"/>
      <c r="D824" s="222"/>
    </row>
    <row r="825">
      <c r="C825" s="221"/>
      <c r="D825" s="222"/>
    </row>
    <row r="826">
      <c r="C826" s="221"/>
      <c r="D826" s="222"/>
    </row>
    <row r="827">
      <c r="C827" s="221"/>
      <c r="D827" s="222"/>
    </row>
    <row r="828">
      <c r="C828" s="221"/>
      <c r="D828" s="222"/>
    </row>
    <row r="829">
      <c r="C829" s="221"/>
      <c r="D829" s="222"/>
    </row>
    <row r="830">
      <c r="C830" s="221"/>
      <c r="D830" s="222"/>
    </row>
    <row r="831">
      <c r="C831" s="221"/>
      <c r="D831" s="222"/>
    </row>
    <row r="832">
      <c r="C832" s="221"/>
      <c r="D832" s="222"/>
    </row>
    <row r="833">
      <c r="C833" s="221"/>
      <c r="D833" s="222"/>
    </row>
    <row r="834">
      <c r="C834" s="221"/>
      <c r="D834" s="222"/>
    </row>
    <row r="835">
      <c r="C835" s="221"/>
      <c r="D835" s="222"/>
    </row>
    <row r="836">
      <c r="C836" s="221"/>
      <c r="D836" s="222"/>
    </row>
    <row r="837">
      <c r="C837" s="221"/>
      <c r="D837" s="222"/>
    </row>
    <row r="838">
      <c r="C838" s="221"/>
      <c r="D838" s="222"/>
    </row>
    <row r="839">
      <c r="C839" s="221"/>
      <c r="D839" s="222"/>
    </row>
    <row r="840">
      <c r="C840" s="221"/>
      <c r="D840" s="222"/>
    </row>
    <row r="841">
      <c r="C841" s="221"/>
      <c r="D841" s="222"/>
    </row>
    <row r="842">
      <c r="C842" s="221"/>
      <c r="D842" s="222"/>
    </row>
    <row r="843">
      <c r="C843" s="221"/>
      <c r="D843" s="222"/>
    </row>
    <row r="844">
      <c r="C844" s="221"/>
      <c r="D844" s="222"/>
    </row>
    <row r="845">
      <c r="C845" s="221"/>
      <c r="D845" s="222"/>
    </row>
    <row r="846">
      <c r="C846" s="221"/>
      <c r="D846" s="222"/>
    </row>
    <row r="847">
      <c r="C847" s="221"/>
      <c r="D847" s="222"/>
    </row>
    <row r="848">
      <c r="C848" s="221"/>
      <c r="D848" s="222"/>
    </row>
    <row r="849">
      <c r="C849" s="221"/>
      <c r="D849" s="222"/>
    </row>
    <row r="850">
      <c r="C850" s="221"/>
      <c r="D850" s="222"/>
    </row>
    <row r="851">
      <c r="C851" s="221"/>
      <c r="D851" s="222"/>
    </row>
    <row r="852">
      <c r="C852" s="221"/>
      <c r="D852" s="222"/>
    </row>
    <row r="853">
      <c r="C853" s="221"/>
      <c r="D853" s="222"/>
    </row>
    <row r="854">
      <c r="C854" s="221"/>
      <c r="D854" s="222"/>
    </row>
    <row r="855">
      <c r="C855" s="221"/>
      <c r="D855" s="222"/>
    </row>
    <row r="856">
      <c r="C856" s="221"/>
      <c r="D856" s="222"/>
    </row>
    <row r="857">
      <c r="C857" s="221"/>
      <c r="D857" s="222"/>
    </row>
    <row r="858">
      <c r="C858" s="221"/>
      <c r="D858" s="222"/>
    </row>
    <row r="859">
      <c r="C859" s="221"/>
      <c r="D859" s="222"/>
    </row>
    <row r="860">
      <c r="C860" s="221"/>
      <c r="D860" s="222"/>
    </row>
    <row r="861">
      <c r="C861" s="221"/>
      <c r="D861" s="222"/>
    </row>
    <row r="862">
      <c r="C862" s="221"/>
      <c r="D862" s="222"/>
    </row>
    <row r="863">
      <c r="C863" s="221"/>
      <c r="D863" s="222"/>
    </row>
    <row r="864">
      <c r="C864" s="221"/>
      <c r="D864" s="222"/>
    </row>
    <row r="865">
      <c r="C865" s="221"/>
      <c r="D865" s="222"/>
    </row>
    <row r="866">
      <c r="C866" s="221"/>
      <c r="D866" s="222"/>
    </row>
    <row r="867">
      <c r="C867" s="221"/>
      <c r="D867" s="222"/>
    </row>
    <row r="868">
      <c r="C868" s="221"/>
      <c r="D868" s="222"/>
    </row>
    <row r="869">
      <c r="C869" s="221"/>
      <c r="D869" s="222"/>
    </row>
    <row r="870">
      <c r="C870" s="221"/>
      <c r="D870" s="222"/>
    </row>
    <row r="871">
      <c r="C871" s="221"/>
      <c r="D871" s="222"/>
    </row>
    <row r="872">
      <c r="C872" s="221"/>
      <c r="D872" s="222"/>
    </row>
    <row r="873">
      <c r="C873" s="221"/>
      <c r="D873" s="222"/>
    </row>
    <row r="874">
      <c r="C874" s="221"/>
      <c r="D874" s="222"/>
    </row>
    <row r="875">
      <c r="C875" s="221"/>
      <c r="D875" s="222"/>
    </row>
    <row r="876">
      <c r="C876" s="221"/>
      <c r="D876" s="222"/>
    </row>
    <row r="877">
      <c r="C877" s="221"/>
      <c r="D877" s="222"/>
    </row>
    <row r="878">
      <c r="C878" s="221"/>
      <c r="D878" s="222"/>
    </row>
    <row r="879">
      <c r="C879" s="221"/>
      <c r="D879" s="222"/>
    </row>
    <row r="880">
      <c r="C880" s="221"/>
      <c r="D880" s="222"/>
    </row>
    <row r="881">
      <c r="C881" s="221"/>
      <c r="D881" s="222"/>
    </row>
    <row r="882">
      <c r="C882" s="221"/>
      <c r="D882" s="222"/>
    </row>
    <row r="883">
      <c r="C883" s="221"/>
      <c r="D883" s="222"/>
    </row>
    <row r="884">
      <c r="C884" s="221"/>
      <c r="D884" s="222"/>
    </row>
    <row r="885">
      <c r="C885" s="221"/>
      <c r="D885" s="222"/>
    </row>
    <row r="886">
      <c r="C886" s="221"/>
      <c r="D886" s="222"/>
    </row>
    <row r="887">
      <c r="C887" s="221"/>
      <c r="D887" s="222"/>
    </row>
    <row r="888">
      <c r="C888" s="221"/>
      <c r="D888" s="222"/>
    </row>
    <row r="889">
      <c r="C889" s="221"/>
      <c r="D889" s="222"/>
    </row>
    <row r="890">
      <c r="C890" s="221"/>
      <c r="D890" s="222"/>
    </row>
    <row r="891">
      <c r="C891" s="221"/>
      <c r="D891" s="222"/>
    </row>
    <row r="892">
      <c r="C892" s="221"/>
      <c r="D892" s="222"/>
    </row>
    <row r="893">
      <c r="C893" s="221"/>
      <c r="D893" s="222"/>
    </row>
    <row r="894">
      <c r="C894" s="221"/>
      <c r="D894" s="222"/>
    </row>
    <row r="895">
      <c r="C895" s="221"/>
      <c r="D895" s="222"/>
    </row>
    <row r="896">
      <c r="C896" s="221"/>
      <c r="D896" s="222"/>
    </row>
    <row r="897">
      <c r="C897" s="221"/>
      <c r="D897" s="222"/>
    </row>
    <row r="898">
      <c r="C898" s="221"/>
      <c r="D898" s="222"/>
    </row>
    <row r="899">
      <c r="C899" s="221"/>
      <c r="D899" s="222"/>
    </row>
    <row r="900">
      <c r="C900" s="221"/>
      <c r="D900" s="222"/>
    </row>
    <row r="901">
      <c r="C901" s="221"/>
      <c r="D901" s="222"/>
    </row>
    <row r="902">
      <c r="C902" s="221"/>
      <c r="D902" s="222"/>
    </row>
    <row r="903">
      <c r="C903" s="221"/>
      <c r="D903" s="222"/>
    </row>
    <row r="904">
      <c r="C904" s="221"/>
      <c r="D904" s="222"/>
    </row>
    <row r="905">
      <c r="C905" s="221"/>
      <c r="D905" s="222"/>
    </row>
    <row r="906">
      <c r="C906" s="221"/>
      <c r="D906" s="222"/>
    </row>
    <row r="907">
      <c r="C907" s="221"/>
      <c r="D907" s="222"/>
    </row>
    <row r="908">
      <c r="C908" s="221"/>
      <c r="D908" s="222"/>
    </row>
    <row r="909">
      <c r="C909" s="221"/>
      <c r="D909" s="222"/>
    </row>
    <row r="910">
      <c r="C910" s="221"/>
      <c r="D910" s="222"/>
    </row>
    <row r="911">
      <c r="C911" s="221"/>
      <c r="D911" s="222"/>
    </row>
    <row r="912">
      <c r="C912" s="221"/>
      <c r="D912" s="222"/>
    </row>
    <row r="913">
      <c r="C913" s="221"/>
      <c r="D913" s="222"/>
    </row>
    <row r="914">
      <c r="C914" s="221"/>
      <c r="D914" s="222"/>
    </row>
    <row r="915">
      <c r="C915" s="221"/>
      <c r="D915" s="222"/>
    </row>
    <row r="916">
      <c r="C916" s="221"/>
      <c r="D916" s="222"/>
    </row>
    <row r="917">
      <c r="C917" s="221"/>
      <c r="D917" s="222"/>
    </row>
    <row r="918">
      <c r="C918" s="221"/>
      <c r="D918" s="222"/>
    </row>
    <row r="919">
      <c r="C919" s="221"/>
      <c r="D919" s="222"/>
    </row>
    <row r="920">
      <c r="C920" s="221"/>
      <c r="D920" s="222"/>
    </row>
    <row r="921">
      <c r="C921" s="221"/>
      <c r="D921" s="222"/>
    </row>
    <row r="922">
      <c r="C922" s="221"/>
      <c r="D922" s="222"/>
    </row>
    <row r="923">
      <c r="C923" s="221"/>
      <c r="D923" s="222"/>
    </row>
    <row r="924">
      <c r="C924" s="221"/>
      <c r="D924" s="222"/>
    </row>
    <row r="925">
      <c r="C925" s="221"/>
      <c r="D925" s="222"/>
    </row>
    <row r="926">
      <c r="C926" s="221"/>
      <c r="D926" s="222"/>
    </row>
    <row r="927">
      <c r="C927" s="221"/>
      <c r="D927" s="222"/>
    </row>
    <row r="928">
      <c r="C928" s="221"/>
      <c r="D928" s="222"/>
    </row>
    <row r="929">
      <c r="C929" s="221"/>
      <c r="D929" s="222"/>
    </row>
    <row r="930">
      <c r="C930" s="221"/>
      <c r="D930" s="222"/>
    </row>
    <row r="931">
      <c r="C931" s="221"/>
      <c r="D931" s="222"/>
    </row>
    <row r="932">
      <c r="C932" s="221"/>
      <c r="D932" s="222"/>
    </row>
    <row r="933">
      <c r="C933" s="221"/>
      <c r="D933" s="222"/>
    </row>
    <row r="934">
      <c r="C934" s="221"/>
      <c r="D934" s="222"/>
    </row>
    <row r="935">
      <c r="C935" s="221"/>
      <c r="D935" s="222"/>
    </row>
    <row r="936">
      <c r="C936" s="221"/>
      <c r="D936" s="222"/>
    </row>
    <row r="937">
      <c r="C937" s="221"/>
      <c r="D937" s="222"/>
    </row>
    <row r="938">
      <c r="C938" s="221"/>
      <c r="D938" s="222"/>
    </row>
    <row r="939">
      <c r="C939" s="221"/>
      <c r="D939" s="222"/>
    </row>
    <row r="940">
      <c r="C940" s="221"/>
      <c r="D940" s="222"/>
    </row>
    <row r="941">
      <c r="C941" s="221"/>
      <c r="D941" s="222"/>
    </row>
    <row r="942">
      <c r="C942" s="221"/>
      <c r="D942" s="222"/>
    </row>
    <row r="943">
      <c r="C943" s="221"/>
      <c r="D943" s="222"/>
    </row>
    <row r="944">
      <c r="C944" s="221"/>
      <c r="D944" s="222"/>
    </row>
    <row r="945">
      <c r="C945" s="221"/>
      <c r="D945" s="222"/>
    </row>
    <row r="946">
      <c r="C946" s="221"/>
      <c r="D946" s="222"/>
    </row>
    <row r="947">
      <c r="C947" s="221"/>
      <c r="D947" s="222"/>
    </row>
    <row r="948">
      <c r="C948" s="221"/>
      <c r="D948" s="222"/>
    </row>
    <row r="949">
      <c r="C949" s="221"/>
      <c r="D949" s="222"/>
    </row>
    <row r="950">
      <c r="C950" s="221"/>
      <c r="D950" s="222"/>
    </row>
    <row r="951">
      <c r="C951" s="221"/>
      <c r="D951" s="222"/>
    </row>
    <row r="952">
      <c r="C952" s="221"/>
      <c r="D952" s="222"/>
    </row>
    <row r="953">
      <c r="C953" s="221"/>
      <c r="D953" s="222"/>
    </row>
    <row r="954">
      <c r="C954" s="221"/>
      <c r="D954" s="222"/>
    </row>
    <row r="955">
      <c r="C955" s="221"/>
      <c r="D955" s="222"/>
    </row>
    <row r="956">
      <c r="C956" s="221"/>
      <c r="D956" s="222"/>
    </row>
    <row r="957">
      <c r="C957" s="221"/>
      <c r="D957" s="222"/>
    </row>
    <row r="958">
      <c r="C958" s="221"/>
      <c r="D958" s="222"/>
    </row>
    <row r="959">
      <c r="C959" s="221"/>
      <c r="D959" s="222"/>
    </row>
    <row r="960">
      <c r="C960" s="221"/>
      <c r="D960" s="222"/>
    </row>
    <row r="961">
      <c r="C961" s="221"/>
      <c r="D961" s="222"/>
    </row>
    <row r="962">
      <c r="C962" s="221"/>
      <c r="D962" s="222"/>
    </row>
    <row r="963">
      <c r="C963" s="221"/>
      <c r="D963" s="222"/>
    </row>
    <row r="964">
      <c r="C964" s="221"/>
      <c r="D964" s="222"/>
    </row>
    <row r="965">
      <c r="C965" s="221"/>
      <c r="D965" s="222"/>
    </row>
    <row r="966">
      <c r="C966" s="221"/>
      <c r="D966" s="222"/>
    </row>
    <row r="967">
      <c r="C967" s="221"/>
      <c r="D967" s="222"/>
    </row>
    <row r="968">
      <c r="C968" s="221"/>
      <c r="D968" s="222"/>
    </row>
    <row r="969">
      <c r="C969" s="221"/>
      <c r="D969" s="222"/>
    </row>
    <row r="970">
      <c r="C970" s="221"/>
      <c r="D970" s="222"/>
    </row>
    <row r="971">
      <c r="C971" s="221"/>
      <c r="D971" s="222"/>
    </row>
    <row r="972">
      <c r="C972" s="221"/>
      <c r="D972" s="222"/>
    </row>
    <row r="973">
      <c r="C973" s="221"/>
      <c r="D973" s="222"/>
    </row>
    <row r="974">
      <c r="C974" s="221"/>
      <c r="D974" s="222"/>
    </row>
    <row r="975">
      <c r="C975" s="221"/>
      <c r="D975" s="222"/>
    </row>
    <row r="976">
      <c r="C976" s="221"/>
      <c r="D976" s="222"/>
    </row>
    <row r="977">
      <c r="C977" s="221"/>
      <c r="D977" s="222"/>
    </row>
    <row r="978">
      <c r="C978" s="221"/>
      <c r="D978" s="222"/>
    </row>
    <row r="979">
      <c r="C979" s="221"/>
      <c r="D979" s="222"/>
    </row>
    <row r="980">
      <c r="C980" s="221"/>
      <c r="D980" s="222"/>
    </row>
    <row r="981">
      <c r="C981" s="221"/>
      <c r="D981" s="222"/>
    </row>
    <row r="982">
      <c r="C982" s="221"/>
      <c r="D982" s="222"/>
    </row>
    <row r="983">
      <c r="C983" s="221"/>
      <c r="D983" s="222"/>
    </row>
    <row r="984">
      <c r="C984" s="221"/>
      <c r="D984" s="222"/>
    </row>
    <row r="985">
      <c r="C985" s="221"/>
      <c r="D985" s="222"/>
    </row>
    <row r="986">
      <c r="C986" s="221"/>
      <c r="D986" s="222"/>
    </row>
    <row r="987">
      <c r="C987" s="221"/>
      <c r="D987" s="222"/>
    </row>
    <row r="988">
      <c r="C988" s="221"/>
      <c r="D988" s="222"/>
    </row>
    <row r="989">
      <c r="C989" s="221"/>
      <c r="D989" s="222"/>
    </row>
    <row r="990">
      <c r="C990" s="221"/>
      <c r="D990" s="222"/>
    </row>
    <row r="991">
      <c r="C991" s="221"/>
      <c r="D991" s="222"/>
    </row>
    <row r="992">
      <c r="C992" s="221"/>
      <c r="D992" s="222"/>
    </row>
    <row r="993">
      <c r="C993" s="221"/>
      <c r="D993" s="222"/>
    </row>
    <row r="994">
      <c r="C994" s="221"/>
      <c r="D994" s="222"/>
    </row>
    <row r="995">
      <c r="C995" s="221"/>
      <c r="D995" s="222"/>
    </row>
    <row r="996">
      <c r="C996" s="221"/>
      <c r="D996" s="222"/>
    </row>
    <row r="997">
      <c r="C997" s="221"/>
      <c r="D997" s="222"/>
    </row>
    <row r="998">
      <c r="C998" s="221"/>
      <c r="D998" s="222"/>
    </row>
    <row r="999">
      <c r="C999" s="221"/>
      <c r="D999" s="222"/>
    </row>
    <row r="1000">
      <c r="C1000" s="221"/>
      <c r="D1000" s="222"/>
    </row>
    <row r="1001">
      <c r="C1001" s="221"/>
      <c r="D1001" s="222"/>
    </row>
    <row r="1002">
      <c r="C1002" s="221"/>
      <c r="D1002" s="222"/>
    </row>
    <row r="1003">
      <c r="C1003" s="221"/>
      <c r="D1003" s="222"/>
    </row>
    <row r="1004">
      <c r="C1004" s="221"/>
      <c r="D1004" s="222"/>
    </row>
    <row r="1005">
      <c r="C1005" s="221"/>
      <c r="D1005" s="222"/>
    </row>
    <row r="1006">
      <c r="C1006" s="221"/>
      <c r="D1006" s="222"/>
    </row>
    <row r="1007">
      <c r="C1007" s="221"/>
      <c r="D1007" s="222"/>
    </row>
    <row r="1008">
      <c r="C1008" s="221"/>
      <c r="D1008" s="222"/>
    </row>
    <row r="1009">
      <c r="C1009" s="221"/>
      <c r="D1009" s="222"/>
    </row>
    <row r="1010">
      <c r="C1010" s="221"/>
      <c r="D1010" s="222"/>
    </row>
    <row r="1011">
      <c r="C1011" s="221"/>
      <c r="D1011" s="222"/>
    </row>
    <row r="1012">
      <c r="C1012" s="221"/>
      <c r="D1012" s="222"/>
    </row>
    <row r="1013">
      <c r="C1013" s="221"/>
      <c r="D1013" s="222"/>
    </row>
    <row r="1014">
      <c r="C1014" s="221"/>
      <c r="D1014" s="222"/>
    </row>
    <row r="1015">
      <c r="C1015" s="221"/>
      <c r="D1015" s="222"/>
    </row>
    <row r="1016">
      <c r="C1016" s="221"/>
      <c r="D1016" s="222"/>
    </row>
    <row r="1017">
      <c r="C1017" s="221"/>
      <c r="D1017" s="222"/>
    </row>
  </sheetData>
  <mergeCells count="1">
    <mergeCell ref="A1:F1"/>
  </mergeCells>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0000"/>
    <outlinePr summaryBelow="0" summaryRight="0"/>
  </sheetPr>
  <sheetViews>
    <sheetView workbookViewId="0">
      <pane xSplit="9.0" topLeftCell="J1" activePane="topRight" state="frozen"/>
      <selection activeCell="K2" sqref="K2" pane="topRight"/>
    </sheetView>
  </sheetViews>
  <sheetFormatPr customHeight="1" defaultColWidth="12.63" defaultRowHeight="15.75"/>
  <cols>
    <col customWidth="1" hidden="1" min="1" max="1" width="4.13"/>
    <col customWidth="1" min="2" max="2" width="8.63"/>
    <col customWidth="1" min="3" max="3" width="2.63"/>
    <col customWidth="1" min="4" max="4" width="10.75"/>
    <col customWidth="1" hidden="1" min="5" max="6" width="10.75"/>
    <col customWidth="1" min="7" max="7" width="5.25"/>
    <col customWidth="1" min="8" max="8" width="2.63"/>
    <col customWidth="1" min="9" max="9" width="30.88"/>
    <col customWidth="1" min="10" max="10" width="42.5"/>
    <col customWidth="1" min="11" max="11" width="32.0"/>
    <col customWidth="1" min="12" max="12" width="47.75"/>
    <col customWidth="1" min="13" max="13" width="12.0"/>
    <col customWidth="1" min="14" max="15" width="10.88"/>
    <col customWidth="1" min="16" max="16" width="16.88"/>
    <col customWidth="1" min="17" max="17" width="42.63"/>
    <col customWidth="1" min="19" max="19" width="15.75"/>
  </cols>
  <sheetData>
    <row r="1">
      <c r="A1" s="223" t="s">
        <v>170</v>
      </c>
      <c r="B1" s="223" t="s">
        <v>171</v>
      </c>
      <c r="C1" s="224" t="s">
        <v>172</v>
      </c>
      <c r="D1" s="223" t="s">
        <v>173</v>
      </c>
      <c r="E1" s="223" t="s">
        <v>174</v>
      </c>
      <c r="F1" s="223" t="s">
        <v>175</v>
      </c>
      <c r="G1" s="225" t="s">
        <v>176</v>
      </c>
      <c r="H1" s="225"/>
      <c r="I1" s="226" t="s">
        <v>177</v>
      </c>
      <c r="J1" s="227" t="s">
        <v>178</v>
      </c>
      <c r="K1" s="226" t="s">
        <v>179</v>
      </c>
      <c r="L1" s="223" t="s">
        <v>180</v>
      </c>
      <c r="M1" s="226" t="s">
        <v>181</v>
      </c>
      <c r="N1" s="228" t="s">
        <v>182</v>
      </c>
      <c r="O1" s="228" t="s">
        <v>183</v>
      </c>
      <c r="P1" s="226" t="s">
        <v>184</v>
      </c>
      <c r="Q1" s="229" t="s">
        <v>185</v>
      </c>
      <c r="R1" s="229" t="s">
        <v>186</v>
      </c>
      <c r="S1" s="229" t="s">
        <v>187</v>
      </c>
    </row>
    <row r="2">
      <c r="A2" s="230">
        <v>2.0</v>
      </c>
      <c r="B2" s="230" t="s">
        <v>188</v>
      </c>
      <c r="C2" s="231"/>
      <c r="D2" s="232"/>
      <c r="E2" s="232">
        <f>IFERROR(__xludf.DUMMYFUNCTION("iferror(SPLIT(D2,""/""),split(""0/0"",""/""))"),0.0)</f>
        <v>0</v>
      </c>
      <c r="F2" s="232">
        <f>IFERROR(__xludf.DUMMYFUNCTION("""COMPUTED_VALUE"""),0.0)</f>
        <v>0</v>
      </c>
      <c r="G2" s="233" t="b">
        <v>0</v>
      </c>
      <c r="H2" s="234" t="str">
        <f t="shared" ref="H2:H1143" si="1">image(CONCATENATE("https://nerothe.com/img/1.21/minecraft_",O2,".png"))</f>
        <v/>
      </c>
      <c r="I2" s="235" t="s">
        <v>189</v>
      </c>
      <c r="J2" s="236" t="str">
        <f t="shared" ref="J2:J1143" si="2">CONCATENATE(N2,if(ISBLANK(M2),"",CONCATENATE(" (",M2,")")))</f>
        <v>Dig deep down, mine up ore (Obtain a pickaxe)</v>
      </c>
      <c r="K2" s="237"/>
      <c r="L2" s="238"/>
      <c r="M2" s="237" t="s">
        <v>190</v>
      </c>
      <c r="N2" s="237" t="s">
        <v>191</v>
      </c>
      <c r="O2" s="239" t="s">
        <v>192</v>
      </c>
      <c r="P2" s="240" t="s">
        <v>189</v>
      </c>
      <c r="Q2" s="241" t="s">
        <v>193</v>
      </c>
      <c r="R2" s="240" t="s">
        <v>194</v>
      </c>
      <c r="S2" s="241"/>
    </row>
    <row r="3">
      <c r="A3" s="230">
        <v>3.0</v>
      </c>
      <c r="B3" s="230" t="s">
        <v>188</v>
      </c>
      <c r="C3" s="231"/>
      <c r="D3" s="232"/>
      <c r="E3" s="232">
        <f>IFERROR(__xludf.DUMMYFUNCTION("iferror(SPLIT(D3,""/""),split(""0/0"",""/""))"),0.0)</f>
        <v>0</v>
      </c>
      <c r="F3" s="232">
        <f>IFERROR(__xludf.DUMMYFUNCTION("""COMPUTED_VALUE"""),0.0)</f>
        <v>0</v>
      </c>
      <c r="G3" s="233" t="b">
        <v>0</v>
      </c>
      <c r="H3" s="242" t="str">
        <f t="shared" si="1"/>
        <v/>
      </c>
      <c r="I3" s="243" t="s">
        <v>195</v>
      </c>
      <c r="J3" s="236" t="str">
        <f t="shared" si="2"/>
        <v>Mine stone with your new pickaxe (Obtain a block of cobblestone, stone, cobbled deepslate, deepslate, or blackstone)</v>
      </c>
      <c r="K3" s="244" t="s">
        <v>196</v>
      </c>
      <c r="L3" s="245"/>
      <c r="M3" s="237" t="s">
        <v>197</v>
      </c>
      <c r="N3" s="237" t="s">
        <v>198</v>
      </c>
      <c r="O3" s="239" t="s">
        <v>199</v>
      </c>
      <c r="P3" s="240" t="s">
        <v>189</v>
      </c>
      <c r="Q3" s="241" t="s">
        <v>200</v>
      </c>
      <c r="R3" s="240" t="s">
        <v>194</v>
      </c>
      <c r="S3" s="241"/>
    </row>
    <row r="4">
      <c r="A4" s="230">
        <v>4.0</v>
      </c>
      <c r="B4" s="230" t="s">
        <v>188</v>
      </c>
      <c r="C4" s="231"/>
      <c r="D4" s="232"/>
      <c r="E4" s="232">
        <f>IFERROR(__xludf.DUMMYFUNCTION("iferror(SPLIT(D4,""/""),split(""0/0"",""/""))"),0.0)</f>
        <v>0</v>
      </c>
      <c r="F4" s="232">
        <f>IFERROR(__xludf.DUMMYFUNCTION("""COMPUTED_VALUE"""),0.0)</f>
        <v>0</v>
      </c>
      <c r="G4" s="233" t="b">
        <v>0</v>
      </c>
      <c r="H4" s="242" t="str">
        <f t="shared" si="1"/>
        <v/>
      </c>
      <c r="I4" s="246" t="s">
        <v>201</v>
      </c>
      <c r="J4" s="236" t="str">
        <f t="shared" si="2"/>
        <v>Discover every cave biome (Enter the following biomes: Lush Caves, Dripstone Caves and Deep Dark)</v>
      </c>
      <c r="K4" s="237"/>
      <c r="L4" s="238"/>
      <c r="M4" s="237" t="s">
        <v>202</v>
      </c>
      <c r="N4" s="237" t="s">
        <v>203</v>
      </c>
      <c r="O4" s="239" t="s">
        <v>204</v>
      </c>
      <c r="P4" s="240" t="s">
        <v>189</v>
      </c>
      <c r="Q4" s="241" t="s">
        <v>205</v>
      </c>
      <c r="R4" s="240" t="s">
        <v>194</v>
      </c>
      <c r="S4" s="241"/>
    </row>
    <row r="5">
      <c r="A5" s="230">
        <v>5.0</v>
      </c>
      <c r="B5" s="230" t="s">
        <v>206</v>
      </c>
      <c r="C5" s="231"/>
      <c r="D5" s="232"/>
      <c r="E5" s="232">
        <f>IFERROR(__xludf.DUMMYFUNCTION("iferror(SPLIT(D5,""/""),split(""0/0"",""/""))"),0.0)</f>
        <v>0</v>
      </c>
      <c r="F5" s="232">
        <f>IFERROR(__xludf.DUMMYFUNCTION("""COMPUTED_VALUE"""),0.0)</f>
        <v>0</v>
      </c>
      <c r="G5" s="233" t="b">
        <v>0</v>
      </c>
      <c r="H5" s="242" t="str">
        <f t="shared" si="1"/>
        <v/>
      </c>
      <c r="I5" s="243" t="s">
        <v>207</v>
      </c>
      <c r="J5" s="236" t="str">
        <f t="shared" si="2"/>
        <v>Dig through some Rooted Dirt beneath an Azalea Tree so you can find a Lush Cave</v>
      </c>
      <c r="K5" s="237"/>
      <c r="L5" s="238"/>
      <c r="M5" s="237"/>
      <c r="N5" s="237" t="s">
        <v>208</v>
      </c>
      <c r="O5" s="239" t="s">
        <v>209</v>
      </c>
      <c r="P5" s="240" t="s">
        <v>189</v>
      </c>
      <c r="Q5" s="241" t="s">
        <v>210</v>
      </c>
      <c r="R5" s="240" t="s">
        <v>194</v>
      </c>
      <c r="S5" s="241"/>
    </row>
    <row r="6">
      <c r="A6" s="230">
        <v>6.0</v>
      </c>
      <c r="B6" s="230" t="s">
        <v>206</v>
      </c>
      <c r="C6" s="231"/>
      <c r="D6" s="232"/>
      <c r="E6" s="232">
        <f>IFERROR(__xludf.DUMMYFUNCTION("iferror(SPLIT(D6,""/""),split(""0/0"",""/""))"),0.0)</f>
        <v>0</v>
      </c>
      <c r="F6" s="232">
        <f>IFERROR(__xludf.DUMMYFUNCTION("""COMPUTED_VALUE"""),0.0)</f>
        <v>0</v>
      </c>
      <c r="G6" s="247" t="b">
        <v>0</v>
      </c>
      <c r="H6" s="242" t="str">
        <f t="shared" si="1"/>
        <v/>
      </c>
      <c r="I6" s="243" t="s">
        <v>211</v>
      </c>
      <c r="J6" s="236" t="str">
        <f t="shared" si="2"/>
        <v>Fall through a Big Dripleaf (Enter a big dripleaf block while its tilt is fully down)</v>
      </c>
      <c r="K6" s="237" t="s">
        <v>212</v>
      </c>
      <c r="L6" s="238"/>
      <c r="M6" s="237" t="s">
        <v>213</v>
      </c>
      <c r="N6" s="237" t="s">
        <v>214</v>
      </c>
      <c r="O6" s="239" t="s">
        <v>215</v>
      </c>
      <c r="P6" s="240" t="s">
        <v>189</v>
      </c>
      <c r="Q6" s="241" t="s">
        <v>216</v>
      </c>
      <c r="R6" s="240" t="s">
        <v>194</v>
      </c>
      <c r="S6" s="241"/>
    </row>
    <row r="7">
      <c r="A7" s="230">
        <v>7.0</v>
      </c>
      <c r="B7" s="230" t="s">
        <v>188</v>
      </c>
      <c r="C7" s="231"/>
      <c r="D7" s="232"/>
      <c r="E7" s="232">
        <f>IFERROR(__xludf.DUMMYFUNCTION("iferror(SPLIT(D7,""/""),split(""0/0"",""/""))"),0.0)</f>
        <v>0</v>
      </c>
      <c r="F7" s="232">
        <f>IFERROR(__xludf.DUMMYFUNCTION("""COMPUTED_VALUE"""),0.0)</f>
        <v>0</v>
      </c>
      <c r="G7" s="247" t="b">
        <v>0</v>
      </c>
      <c r="H7" s="242" t="str">
        <f t="shared" si="1"/>
        <v/>
      </c>
      <c r="I7" s="243" t="s">
        <v>217</v>
      </c>
      <c r="J7" s="236" t="str">
        <f t="shared" si="2"/>
        <v>Eat some Glow Berries</v>
      </c>
      <c r="K7" s="237" t="s">
        <v>218</v>
      </c>
      <c r="L7" s="238"/>
      <c r="M7" s="237"/>
      <c r="N7" s="237" t="s">
        <v>219</v>
      </c>
      <c r="O7" s="239" t="s">
        <v>220</v>
      </c>
      <c r="P7" s="240" t="s">
        <v>189</v>
      </c>
      <c r="Q7" s="241" t="s">
        <v>221</v>
      </c>
      <c r="R7" s="240" t="s">
        <v>194</v>
      </c>
      <c r="S7" s="241"/>
    </row>
    <row r="8">
      <c r="A8" s="230">
        <v>8.0</v>
      </c>
      <c r="B8" s="230" t="s">
        <v>188</v>
      </c>
      <c r="C8" s="231"/>
      <c r="D8" s="232"/>
      <c r="E8" s="232">
        <f>IFERROR(__xludf.DUMMYFUNCTION("iferror(SPLIT(D8,""/""),split(""0/0"",""/""))"),0.0)</f>
        <v>0</v>
      </c>
      <c r="F8" s="232">
        <f>IFERROR(__xludf.DUMMYFUNCTION("""COMPUTED_VALUE"""),0.0)</f>
        <v>0</v>
      </c>
      <c r="G8" s="247" t="b">
        <v>0</v>
      </c>
      <c r="H8" s="242" t="str">
        <f t="shared" si="1"/>
        <v/>
      </c>
      <c r="I8" s="243" t="s">
        <v>222</v>
      </c>
      <c r="J8" s="236" t="str">
        <f t="shared" si="2"/>
        <v>Obtain a Spore Blossom</v>
      </c>
      <c r="K8" s="237"/>
      <c r="L8" s="238"/>
      <c r="M8" s="237"/>
      <c r="N8" s="237" t="s">
        <v>223</v>
      </c>
      <c r="O8" s="239" t="s">
        <v>224</v>
      </c>
      <c r="P8" s="240" t="s">
        <v>189</v>
      </c>
      <c r="Q8" s="241" t="s">
        <v>225</v>
      </c>
      <c r="R8" s="240" t="s">
        <v>194</v>
      </c>
      <c r="S8" s="241"/>
    </row>
    <row r="9">
      <c r="A9" s="230">
        <v>9.0</v>
      </c>
      <c r="B9" s="230" t="s">
        <v>188</v>
      </c>
      <c r="C9" s="231"/>
      <c r="D9" s="232"/>
      <c r="E9" s="232">
        <f>IFERROR(__xludf.DUMMYFUNCTION("iferror(SPLIT(D9,""/""),split(""0/0"",""/""))"),0.0)</f>
        <v>0</v>
      </c>
      <c r="F9" s="232">
        <f>IFERROR(__xludf.DUMMYFUNCTION("""COMPUTED_VALUE"""),0.0)</f>
        <v>0</v>
      </c>
      <c r="G9" s="233" t="b">
        <v>0</v>
      </c>
      <c r="H9" s="242" t="str">
        <f t="shared" si="1"/>
        <v/>
      </c>
      <c r="I9" s="243" t="s">
        <v>226</v>
      </c>
      <c r="J9" s="236" t="str">
        <f t="shared" si="2"/>
        <v>Use Bone Meal on Moss to spread its wonderful lushness across hard blocks of stone (Use Bone Meal on a Moss Block)</v>
      </c>
      <c r="K9" s="237" t="s">
        <v>227</v>
      </c>
      <c r="L9" s="238"/>
      <c r="M9" s="237" t="s">
        <v>228</v>
      </c>
      <c r="N9" s="237" t="s">
        <v>229</v>
      </c>
      <c r="O9" s="239" t="s">
        <v>230</v>
      </c>
      <c r="P9" s="240" t="s">
        <v>189</v>
      </c>
      <c r="Q9" s="241" t="s">
        <v>231</v>
      </c>
      <c r="R9" s="240" t="s">
        <v>194</v>
      </c>
      <c r="S9" s="241"/>
    </row>
    <row r="10">
      <c r="A10" s="230">
        <v>10.0</v>
      </c>
      <c r="B10" s="230" t="s">
        <v>188</v>
      </c>
      <c r="C10" s="231"/>
      <c r="D10" s="232"/>
      <c r="E10" s="232">
        <f>IFERROR(__xludf.DUMMYFUNCTION("iferror(SPLIT(D10,""/""),split(""0/0"",""/""))"),0.0)</f>
        <v>0</v>
      </c>
      <c r="F10" s="232">
        <f>IFERROR(__xludf.DUMMYFUNCTION("""COMPUTED_VALUE"""),0.0)</f>
        <v>0</v>
      </c>
      <c r="G10" s="247" t="b">
        <v>0</v>
      </c>
      <c r="H10" s="242" t="str">
        <f t="shared" si="1"/>
        <v/>
      </c>
      <c r="I10" s="243" t="s">
        <v>232</v>
      </c>
      <c r="J10" s="236" t="str">
        <f t="shared" si="2"/>
        <v>Obtain an Azalea (Obtain either an Azalea or a Flowering Azalea)</v>
      </c>
      <c r="K10" s="237"/>
      <c r="L10" s="238"/>
      <c r="M10" s="237" t="s">
        <v>233</v>
      </c>
      <c r="N10" s="237" t="s">
        <v>234</v>
      </c>
      <c r="O10" s="239" t="s">
        <v>235</v>
      </c>
      <c r="P10" s="240" t="s">
        <v>189</v>
      </c>
      <c r="Q10" s="241" t="s">
        <v>236</v>
      </c>
      <c r="R10" s="240" t="s">
        <v>194</v>
      </c>
      <c r="S10" s="241"/>
    </row>
    <row r="11">
      <c r="A11" s="230">
        <v>11.0</v>
      </c>
      <c r="B11" s="230" t="s">
        <v>188</v>
      </c>
      <c r="C11" s="231"/>
      <c r="D11" s="232"/>
      <c r="E11" s="232">
        <f>IFERROR(__xludf.DUMMYFUNCTION("iferror(SPLIT(D11,""/""),split(""0/0"",""/""))"),0.0)</f>
        <v>0</v>
      </c>
      <c r="F11" s="232">
        <f>IFERROR(__xludf.DUMMYFUNCTION("""COMPUTED_VALUE"""),0.0)</f>
        <v>0</v>
      </c>
      <c r="G11" s="247" t="b">
        <v>0</v>
      </c>
      <c r="H11" s="242" t="str">
        <f t="shared" si="1"/>
        <v/>
      </c>
      <c r="I11" s="246" t="s">
        <v>237</v>
      </c>
      <c r="J11" s="236" t="str">
        <f t="shared" si="2"/>
        <v>Obtain a stack of all lush-related blocks (See requirement notes below)</v>
      </c>
      <c r="K11" s="237"/>
      <c r="L11" s="238"/>
      <c r="M11" s="248" t="s">
        <v>238</v>
      </c>
      <c r="N11" s="237" t="s">
        <v>239</v>
      </c>
      <c r="O11" s="239" t="s">
        <v>240</v>
      </c>
      <c r="P11" s="240" t="s">
        <v>189</v>
      </c>
      <c r="Q11" s="241" t="s">
        <v>241</v>
      </c>
      <c r="R11" s="240" t="s">
        <v>194</v>
      </c>
      <c r="S11" s="241"/>
    </row>
    <row r="12">
      <c r="A12" s="230">
        <v>12.0</v>
      </c>
      <c r="B12" s="230" t="s">
        <v>206</v>
      </c>
      <c r="C12" s="231"/>
      <c r="D12" s="232"/>
      <c r="E12" s="232">
        <f>IFERROR(__xludf.DUMMYFUNCTION("iferror(SPLIT(D12,""/""),split(""0/0"",""/""))"),0.0)</f>
        <v>0</v>
      </c>
      <c r="F12" s="232">
        <f>IFERROR(__xludf.DUMMYFUNCTION("""COMPUTED_VALUE"""),0.0)</f>
        <v>0</v>
      </c>
      <c r="G12" s="247" t="b">
        <v>0</v>
      </c>
      <c r="H12" s="242" t="str">
        <f t="shared" si="1"/>
        <v/>
      </c>
      <c r="I12" s="243" t="s">
        <v>242</v>
      </c>
      <c r="J12" s="236" t="str">
        <f t="shared" si="2"/>
        <v>Submerge yourself in complete darkness (Enter a block where the light level is 0)</v>
      </c>
      <c r="K12" s="237"/>
      <c r="L12" s="238"/>
      <c r="M12" s="237" t="s">
        <v>243</v>
      </c>
      <c r="N12" s="237" t="s">
        <v>244</v>
      </c>
      <c r="O12" s="239" t="s">
        <v>245</v>
      </c>
      <c r="P12" s="240" t="s">
        <v>189</v>
      </c>
      <c r="Q12" s="241" t="s">
        <v>246</v>
      </c>
      <c r="R12" s="240" t="s">
        <v>194</v>
      </c>
      <c r="S12" s="241"/>
    </row>
    <row r="13">
      <c r="A13" s="230">
        <v>13.0</v>
      </c>
      <c r="B13" s="230" t="s">
        <v>206</v>
      </c>
      <c r="C13" s="231"/>
      <c r="D13" s="232"/>
      <c r="E13" s="232">
        <f>IFERROR(__xludf.DUMMYFUNCTION("iferror(SPLIT(D13,""/""),split(""0/0"",""/""))"),0.0)</f>
        <v>0</v>
      </c>
      <c r="F13" s="232">
        <f>IFERROR(__xludf.DUMMYFUNCTION("""COMPUTED_VALUE"""),0.0)</f>
        <v>0</v>
      </c>
      <c r="G13" s="233" t="b">
        <v>0</v>
      </c>
      <c r="H13" s="242" t="str">
        <f t="shared" si="1"/>
        <v/>
      </c>
      <c r="I13" s="243" t="s">
        <v>247</v>
      </c>
      <c r="J13" s="236" t="str">
        <f t="shared" si="2"/>
        <v>Get caught in a cave-in of gravel (Enter a block of gravel)</v>
      </c>
      <c r="K13" s="237"/>
      <c r="L13" s="238"/>
      <c r="M13" s="237" t="s">
        <v>248</v>
      </c>
      <c r="N13" s="237" t="s">
        <v>249</v>
      </c>
      <c r="O13" s="239" t="s">
        <v>250</v>
      </c>
      <c r="P13" s="240" t="s">
        <v>189</v>
      </c>
      <c r="Q13" s="241" t="s">
        <v>251</v>
      </c>
      <c r="R13" s="240" t="s">
        <v>194</v>
      </c>
      <c r="S13" s="241"/>
    </row>
    <row r="14">
      <c r="A14" s="230">
        <v>14.0</v>
      </c>
      <c r="B14" s="230" t="s">
        <v>188</v>
      </c>
      <c r="C14" s="231"/>
      <c r="D14" s="232"/>
      <c r="E14" s="232">
        <f>IFERROR(__xludf.DUMMYFUNCTION("iferror(SPLIT(D14,""/""),split(""0/0"",""/""))"),0.0)</f>
        <v>0</v>
      </c>
      <c r="F14" s="232">
        <f>IFERROR(__xludf.DUMMYFUNCTION("""COMPUTED_VALUE"""),0.0)</f>
        <v>0</v>
      </c>
      <c r="G14" s="247" t="b">
        <v>0</v>
      </c>
      <c r="H14" s="242" t="str">
        <f t="shared" si="1"/>
        <v/>
      </c>
      <c r="I14" s="243" t="s">
        <v>252</v>
      </c>
      <c r="J14" s="236" t="str">
        <f t="shared" si="2"/>
        <v>Accidentally hit a bat underground</v>
      </c>
      <c r="K14" s="237" t="s">
        <v>253</v>
      </c>
      <c r="L14" s="238"/>
      <c r="M14" s="237"/>
      <c r="N14" s="237" t="s">
        <v>254</v>
      </c>
      <c r="O14" s="239" t="s">
        <v>255</v>
      </c>
      <c r="P14" s="240" t="s">
        <v>189</v>
      </c>
      <c r="Q14" s="241" t="s">
        <v>256</v>
      </c>
      <c r="R14" s="240" t="s">
        <v>194</v>
      </c>
      <c r="S14" s="241"/>
    </row>
    <row r="15">
      <c r="A15" s="230">
        <v>15.0</v>
      </c>
      <c r="B15" s="230" t="s">
        <v>257</v>
      </c>
      <c r="C15" s="231"/>
      <c r="D15" s="232"/>
      <c r="E15" s="232">
        <f>IFERROR(__xludf.DUMMYFUNCTION("iferror(SPLIT(D15,""/""),split(""0/0"",""/""))"),0.0)</f>
        <v>0</v>
      </c>
      <c r="F15" s="232">
        <f>IFERROR(__xludf.DUMMYFUNCTION("""COMPUTED_VALUE"""),0.0)</f>
        <v>0</v>
      </c>
      <c r="G15" s="233" t="b">
        <v>0</v>
      </c>
      <c r="H15" s="242" t="str">
        <f t="shared" si="1"/>
        <v/>
      </c>
      <c r="I15" s="249" t="s">
        <v>258</v>
      </c>
      <c r="J15" s="236" t="str">
        <f t="shared" si="2"/>
        <v>Kill a Bat while under the blindness or darkness effect</v>
      </c>
      <c r="K15" s="237"/>
      <c r="L15" s="238"/>
      <c r="M15" s="237"/>
      <c r="N15" s="237" t="s">
        <v>259</v>
      </c>
      <c r="O15" s="239" t="s">
        <v>260</v>
      </c>
      <c r="P15" s="240" t="s">
        <v>189</v>
      </c>
      <c r="Q15" s="241" t="s">
        <v>261</v>
      </c>
      <c r="R15" s="240" t="s">
        <v>194</v>
      </c>
      <c r="S15" s="241" t="s">
        <v>262</v>
      </c>
    </row>
    <row r="16">
      <c r="A16" s="230">
        <v>16.0</v>
      </c>
      <c r="B16" s="230" t="s">
        <v>257</v>
      </c>
      <c r="C16" s="231"/>
      <c r="D16" s="232"/>
      <c r="E16" s="232">
        <f>IFERROR(__xludf.DUMMYFUNCTION("iferror(SPLIT(D16,""/""),split(""0/0"",""/""))"),0.0)</f>
        <v>0</v>
      </c>
      <c r="F16" s="232">
        <f>IFERROR(__xludf.DUMMYFUNCTION("""COMPUTED_VALUE"""),0.0)</f>
        <v>0</v>
      </c>
      <c r="G16" s="233" t="b">
        <v>0</v>
      </c>
      <c r="H16" s="242" t="str">
        <f t="shared" si="1"/>
        <v/>
      </c>
      <c r="I16" s="249" t="s">
        <v>263</v>
      </c>
      <c r="J16" s="236" t="str">
        <f t="shared" si="2"/>
        <v>Use a Spyglass to stare at a bat from at least 50 blocks away</v>
      </c>
      <c r="K16" s="237"/>
      <c r="L16" s="238"/>
      <c r="M16" s="237"/>
      <c r="N16" s="237" t="s">
        <v>264</v>
      </c>
      <c r="O16" s="239" t="s">
        <v>265</v>
      </c>
      <c r="P16" s="240" t="s">
        <v>189</v>
      </c>
      <c r="Q16" s="241" t="s">
        <v>266</v>
      </c>
      <c r="R16" s="240" t="s">
        <v>194</v>
      </c>
      <c r="S16" s="241" t="s">
        <v>267</v>
      </c>
    </row>
    <row r="17">
      <c r="A17" s="230">
        <v>17.0</v>
      </c>
      <c r="B17" s="230" t="s">
        <v>188</v>
      </c>
      <c r="C17" s="231"/>
      <c r="D17" s="232"/>
      <c r="E17" s="232">
        <f>IFERROR(__xludf.DUMMYFUNCTION("iferror(SPLIT(D17,""/""),split(""0/0"",""/""))"),0.0)</f>
        <v>0</v>
      </c>
      <c r="F17" s="232">
        <f>IFERROR(__xludf.DUMMYFUNCTION("""COMPUTED_VALUE"""),0.0)</f>
        <v>0</v>
      </c>
      <c r="G17" s="247" t="b">
        <v>0</v>
      </c>
      <c r="H17" s="242" t="str">
        <f t="shared" si="1"/>
        <v/>
      </c>
      <c r="I17" s="243" t="s">
        <v>268</v>
      </c>
      <c r="J17" s="236" t="str">
        <f t="shared" si="2"/>
        <v>Dig up some flint from a patch of gravel (Obtain flint)</v>
      </c>
      <c r="K17" s="237" t="s">
        <v>269</v>
      </c>
      <c r="L17" s="238"/>
      <c r="M17" s="237" t="s">
        <v>270</v>
      </c>
      <c r="N17" s="237" t="s">
        <v>271</v>
      </c>
      <c r="O17" s="239" t="s">
        <v>272</v>
      </c>
      <c r="P17" s="240" t="s">
        <v>189</v>
      </c>
      <c r="Q17" s="241" t="s">
        <v>273</v>
      </c>
      <c r="R17" s="240" t="s">
        <v>194</v>
      </c>
      <c r="S17" s="241"/>
    </row>
    <row r="18">
      <c r="A18" s="230">
        <v>18.0</v>
      </c>
      <c r="B18" s="230" t="s">
        <v>206</v>
      </c>
      <c r="C18" s="231"/>
      <c r="D18" s="232"/>
      <c r="E18" s="232">
        <f>IFERROR(__xludf.DUMMYFUNCTION("iferror(SPLIT(D18,""/""),split(""0/0"",""/""))"),0.0)</f>
        <v>0</v>
      </c>
      <c r="F18" s="232">
        <f>IFERROR(__xludf.DUMMYFUNCTION("""COMPUTED_VALUE"""),0.0)</f>
        <v>0</v>
      </c>
      <c r="G18" s="247" t="b">
        <v>0</v>
      </c>
      <c r="H18" s="242" t="str">
        <f t="shared" si="1"/>
        <v/>
      </c>
      <c r="I18" s="243" t="s">
        <v>274</v>
      </c>
      <c r="J18" s="236" t="str">
        <f t="shared" si="2"/>
        <v>Craft Flint and Steel and use it to light the ground on fire</v>
      </c>
      <c r="K18" s="237" t="s">
        <v>275</v>
      </c>
      <c r="L18" s="238"/>
      <c r="M18" s="237"/>
      <c r="N18" s="237" t="s">
        <v>276</v>
      </c>
      <c r="O18" s="239" t="s">
        <v>277</v>
      </c>
      <c r="P18" s="240" t="s">
        <v>189</v>
      </c>
      <c r="Q18" s="241" t="s">
        <v>278</v>
      </c>
      <c r="R18" s="240" t="s">
        <v>194</v>
      </c>
      <c r="S18" s="241"/>
    </row>
    <row r="19">
      <c r="A19" s="230">
        <v>19.0</v>
      </c>
      <c r="B19" s="230" t="s">
        <v>188</v>
      </c>
      <c r="C19" s="231"/>
      <c r="D19" s="232"/>
      <c r="E19" s="232">
        <f>IFERROR(__xludf.DUMMYFUNCTION("iferror(SPLIT(D19,""/""),split(""0/0"",""/""))"),0.0)</f>
        <v>0</v>
      </c>
      <c r="F19" s="232">
        <f>IFERROR(__xludf.DUMMYFUNCTION("""COMPUTED_VALUE"""),0.0)</f>
        <v>0</v>
      </c>
      <c r="G19" s="247" t="b">
        <v>0</v>
      </c>
      <c r="H19" s="242" t="str">
        <f t="shared" si="1"/>
        <v/>
      </c>
      <c r="I19" s="246" t="s">
        <v>279</v>
      </c>
      <c r="J19" s="236" t="str">
        <f t="shared" si="2"/>
        <v>Dig up 64 pieces of flint</v>
      </c>
      <c r="K19" s="237" t="s">
        <v>280</v>
      </c>
      <c r="L19" s="238"/>
      <c r="M19" s="237"/>
      <c r="N19" s="237" t="s">
        <v>281</v>
      </c>
      <c r="O19" s="239" t="s">
        <v>272</v>
      </c>
      <c r="P19" s="240" t="s">
        <v>189</v>
      </c>
      <c r="Q19" s="241" t="s">
        <v>282</v>
      </c>
      <c r="R19" s="240" t="s">
        <v>194</v>
      </c>
      <c r="S19" s="241"/>
    </row>
    <row r="20">
      <c r="A20" s="230">
        <v>20.0</v>
      </c>
      <c r="B20" s="230" t="s">
        <v>283</v>
      </c>
      <c r="C20" s="231"/>
      <c r="D20" s="232"/>
      <c r="E20" s="232">
        <f>IFERROR(__xludf.DUMMYFUNCTION("iferror(SPLIT(D20,""/""),split(""0/0"",""/""))"),0.0)</f>
        <v>0</v>
      </c>
      <c r="F20" s="232">
        <f>IFERROR(__xludf.DUMMYFUNCTION("""COMPUTED_VALUE"""),0.0)</f>
        <v>0</v>
      </c>
      <c r="G20" s="247" t="b">
        <v>0</v>
      </c>
      <c r="H20" s="242" t="str">
        <f t="shared" si="1"/>
        <v/>
      </c>
      <c r="I20" s="249" t="s">
        <v>284</v>
      </c>
      <c r="J20" s="236" t="str">
        <f t="shared" si="2"/>
        <v>Light every flammable block on fire (A list of blocks can be found at: https://minecraft.wiki/w/Fire#Burning_blocks)</v>
      </c>
      <c r="K20" s="237" t="s">
        <v>285</v>
      </c>
      <c r="L20" s="238"/>
      <c r="M20" s="250" t="s">
        <v>286</v>
      </c>
      <c r="N20" s="237" t="s">
        <v>287</v>
      </c>
      <c r="O20" s="239" t="s">
        <v>288</v>
      </c>
      <c r="P20" s="240" t="s">
        <v>189</v>
      </c>
      <c r="Q20" s="241" t="s">
        <v>289</v>
      </c>
      <c r="R20" s="240" t="s">
        <v>194</v>
      </c>
      <c r="S20" s="241" t="s">
        <v>290</v>
      </c>
    </row>
    <row r="21">
      <c r="A21" s="230">
        <v>21.0</v>
      </c>
      <c r="B21" s="230" t="s">
        <v>188</v>
      </c>
      <c r="C21" s="231"/>
      <c r="D21" s="232"/>
      <c r="E21" s="232">
        <f>IFERROR(__xludf.DUMMYFUNCTION("iferror(SPLIT(D21,""/""),split(""0/0"",""/""))"),0.0)</f>
        <v>0</v>
      </c>
      <c r="F21" s="232">
        <f>IFERROR(__xludf.DUMMYFUNCTION("""COMPUTED_VALUE"""),0.0)</f>
        <v>0</v>
      </c>
      <c r="G21" s="247" t="b">
        <v>0</v>
      </c>
      <c r="H21" s="242" t="str">
        <f t="shared" si="1"/>
        <v/>
      </c>
      <c r="I21" s="243" t="s">
        <v>291</v>
      </c>
      <c r="J21" s="236" t="str">
        <f t="shared" si="2"/>
        <v>Open a chest in a dungeon deep underground (Open a Dungeon loot chest that has not been opened before)</v>
      </c>
      <c r="K21" s="237"/>
      <c r="L21" s="238"/>
      <c r="M21" s="237" t="s">
        <v>292</v>
      </c>
      <c r="N21" s="237" t="s">
        <v>293</v>
      </c>
      <c r="O21" s="239" t="s">
        <v>294</v>
      </c>
      <c r="P21" s="240" t="s">
        <v>189</v>
      </c>
      <c r="Q21" s="241" t="s">
        <v>295</v>
      </c>
      <c r="R21" s="240" t="s">
        <v>194</v>
      </c>
      <c r="S21" s="241"/>
    </row>
    <row r="22">
      <c r="A22" s="230">
        <v>22.0</v>
      </c>
      <c r="B22" s="230" t="s">
        <v>188</v>
      </c>
      <c r="C22" s="231"/>
      <c r="D22" s="232"/>
      <c r="E22" s="232">
        <f>IFERROR(__xludf.DUMMYFUNCTION("iferror(SPLIT(D22,""/""),split(""0/0"",""/""))"),0.0)</f>
        <v>0</v>
      </c>
      <c r="F22" s="232">
        <f>IFERROR(__xludf.DUMMYFUNCTION("""COMPUTED_VALUE"""),0.0)</f>
        <v>0</v>
      </c>
      <c r="G22" s="247" t="b">
        <v>0</v>
      </c>
      <c r="H22" s="242" t="str">
        <f t="shared" si="1"/>
        <v/>
      </c>
      <c r="I22" s="243" t="s">
        <v>296</v>
      </c>
      <c r="J22" s="236" t="str">
        <f t="shared" si="2"/>
        <v>Find an abandoned mineshaft that was not dug out by you (Enter an abandoned mineshaft)</v>
      </c>
      <c r="K22" s="237"/>
      <c r="L22" s="238"/>
      <c r="M22" s="237" t="s">
        <v>297</v>
      </c>
      <c r="N22" s="237" t="s">
        <v>298</v>
      </c>
      <c r="O22" s="239" t="s">
        <v>299</v>
      </c>
      <c r="P22" s="240" t="s">
        <v>189</v>
      </c>
      <c r="Q22" s="241" t="s">
        <v>300</v>
      </c>
      <c r="R22" s="240" t="s">
        <v>194</v>
      </c>
      <c r="S22" s="241"/>
    </row>
    <row r="23">
      <c r="A23" s="230">
        <v>23.0</v>
      </c>
      <c r="B23" s="230" t="s">
        <v>206</v>
      </c>
      <c r="C23" s="231"/>
      <c r="D23" s="232"/>
      <c r="E23" s="232">
        <f>IFERROR(__xludf.DUMMYFUNCTION("iferror(SPLIT(D23,""/""),split(""0/0"",""/""))"),0.0)</f>
        <v>0</v>
      </c>
      <c r="F23" s="232">
        <f>IFERROR(__xludf.DUMMYFUNCTION("""COMPUTED_VALUE"""),0.0)</f>
        <v>0</v>
      </c>
      <c r="G23" s="233" t="b">
        <v>0</v>
      </c>
      <c r="H23" s="242" t="str">
        <f t="shared" si="1"/>
        <v/>
      </c>
      <c r="I23" s="243" t="s">
        <v>301</v>
      </c>
      <c r="J23" s="236" t="str">
        <f t="shared" si="2"/>
        <v>Find a mineshaft on the surface in a mesa biome (Enter an abandoned mineshaft above y=64 in any badlands biome)</v>
      </c>
      <c r="K23" s="237" t="s">
        <v>302</v>
      </c>
      <c r="L23" s="238"/>
      <c r="M23" s="237" t="s">
        <v>303</v>
      </c>
      <c r="N23" s="237" t="s">
        <v>304</v>
      </c>
      <c r="O23" s="239" t="s">
        <v>305</v>
      </c>
      <c r="P23" s="240" t="s">
        <v>189</v>
      </c>
      <c r="Q23" s="241" t="s">
        <v>306</v>
      </c>
      <c r="R23" s="240" t="s">
        <v>194</v>
      </c>
      <c r="S23" s="241"/>
    </row>
    <row r="24">
      <c r="A24" s="230">
        <v>24.0</v>
      </c>
      <c r="B24" s="230" t="s">
        <v>206</v>
      </c>
      <c r="C24" s="231"/>
      <c r="D24" s="232"/>
      <c r="E24" s="232">
        <f>IFERROR(__xludf.DUMMYFUNCTION("iferror(SPLIT(D24,""/""),split(""0/0"",""/""))"),0.0)</f>
        <v>0</v>
      </c>
      <c r="F24" s="232">
        <f>IFERROR(__xludf.DUMMYFUNCTION("""COMPUTED_VALUE"""),0.0)</f>
        <v>0</v>
      </c>
      <c r="G24" s="247" t="b">
        <v>0</v>
      </c>
      <c r="H24" s="242" t="str">
        <f t="shared" si="1"/>
        <v/>
      </c>
      <c r="I24" s="243" t="s">
        <v>307</v>
      </c>
      <c r="J24" s="236" t="str">
        <f t="shared" si="2"/>
        <v>Get stuck in a spider web (Enter a cobweb)</v>
      </c>
      <c r="K24" s="237" t="s">
        <v>308</v>
      </c>
      <c r="L24" s="238"/>
      <c r="M24" s="237" t="s">
        <v>309</v>
      </c>
      <c r="N24" s="237" t="s">
        <v>310</v>
      </c>
      <c r="O24" s="239" t="s">
        <v>311</v>
      </c>
      <c r="P24" s="240" t="s">
        <v>189</v>
      </c>
      <c r="Q24" s="241" t="s">
        <v>312</v>
      </c>
      <c r="R24" s="240" t="s">
        <v>194</v>
      </c>
      <c r="S24" s="241"/>
    </row>
    <row r="25">
      <c r="A25" s="230">
        <v>25.0</v>
      </c>
      <c r="B25" s="230" t="s">
        <v>188</v>
      </c>
      <c r="C25" s="231"/>
      <c r="D25" s="232"/>
      <c r="E25" s="232">
        <f>IFERROR(__xludf.DUMMYFUNCTION("iferror(SPLIT(D25,""/""),split(""0/0"",""/""))"),0.0)</f>
        <v>0</v>
      </c>
      <c r="F25" s="232">
        <f>IFERROR(__xludf.DUMMYFUNCTION("""COMPUTED_VALUE"""),0.0)</f>
        <v>0</v>
      </c>
      <c r="G25" s="247" t="b">
        <v>0</v>
      </c>
      <c r="H25" s="242" t="str">
        <f t="shared" si="1"/>
        <v/>
      </c>
      <c r="I25" s="243" t="s">
        <v>313</v>
      </c>
      <c r="J25" s="236" t="str">
        <f t="shared" si="2"/>
        <v>Loot a minecart chest from an Abandoned Mineshaft (Open a Mineshaft loot chest that has not been opened before)</v>
      </c>
      <c r="K25" s="237" t="s">
        <v>314</v>
      </c>
      <c r="L25" s="238"/>
      <c r="M25" s="237" t="s">
        <v>315</v>
      </c>
      <c r="N25" s="237" t="s">
        <v>316</v>
      </c>
      <c r="O25" s="239" t="s">
        <v>317</v>
      </c>
      <c r="P25" s="240" t="s">
        <v>189</v>
      </c>
      <c r="Q25" s="241" t="s">
        <v>318</v>
      </c>
      <c r="R25" s="240" t="s">
        <v>194</v>
      </c>
      <c r="S25" s="241"/>
    </row>
    <row r="26">
      <c r="A26" s="230">
        <v>26.0</v>
      </c>
      <c r="B26" s="230" t="s">
        <v>188</v>
      </c>
      <c r="C26" s="231"/>
      <c r="D26" s="232"/>
      <c r="E26" s="232">
        <f>IFERROR(__xludf.DUMMYFUNCTION("iferror(SPLIT(D26,""/""),split(""0/0"",""/""))"),0.0)</f>
        <v>0</v>
      </c>
      <c r="F26" s="232">
        <f>IFERROR(__xludf.DUMMYFUNCTION("""COMPUTED_VALUE"""),0.0)</f>
        <v>0</v>
      </c>
      <c r="G26" s="247" t="b">
        <v>0</v>
      </c>
      <c r="H26" s="242" t="str">
        <f t="shared" si="1"/>
        <v/>
      </c>
      <c r="I26" s="243" t="s">
        <v>319</v>
      </c>
      <c r="J26" s="236" t="str">
        <f t="shared" si="2"/>
        <v>Use shears to obtain Glow Lichen from an underground cave</v>
      </c>
      <c r="K26" s="237" t="s">
        <v>320</v>
      </c>
      <c r="L26" s="238"/>
      <c r="M26" s="237"/>
      <c r="N26" s="237" t="s">
        <v>321</v>
      </c>
      <c r="O26" s="239" t="s">
        <v>322</v>
      </c>
      <c r="P26" s="240" t="s">
        <v>189</v>
      </c>
      <c r="Q26" s="241" t="s">
        <v>323</v>
      </c>
      <c r="R26" s="240" t="s">
        <v>194</v>
      </c>
      <c r="S26" s="241"/>
    </row>
    <row r="27">
      <c r="A27" s="230">
        <v>27.0</v>
      </c>
      <c r="B27" s="230" t="s">
        <v>188</v>
      </c>
      <c r="C27" s="231"/>
      <c r="D27" s="232"/>
      <c r="E27" s="232">
        <f>IFERROR(__xludf.DUMMYFUNCTION("iferror(SPLIT(D27,""/""),split(""0/0"",""/""))"),0.0)</f>
        <v>0</v>
      </c>
      <c r="F27" s="232">
        <f>IFERROR(__xludf.DUMMYFUNCTION("""COMPUTED_VALUE"""),0.0)</f>
        <v>0</v>
      </c>
      <c r="G27" s="247" t="b">
        <v>0</v>
      </c>
      <c r="H27" s="242" t="str">
        <f t="shared" si="1"/>
        <v/>
      </c>
      <c r="I27" s="243" t="s">
        <v>324</v>
      </c>
      <c r="J27" s="236" t="str">
        <f t="shared" si="2"/>
        <v>Obtain some Pointed Dripstone from a Dripstone Cave</v>
      </c>
      <c r="K27" s="237" t="s">
        <v>325</v>
      </c>
      <c r="L27" s="238"/>
      <c r="M27" s="237"/>
      <c r="N27" s="237" t="s">
        <v>326</v>
      </c>
      <c r="O27" s="239" t="s">
        <v>327</v>
      </c>
      <c r="P27" s="240" t="s">
        <v>189</v>
      </c>
      <c r="Q27" s="241" t="s">
        <v>328</v>
      </c>
      <c r="R27" s="240" t="s">
        <v>194</v>
      </c>
      <c r="S27" s="241"/>
    </row>
    <row r="28">
      <c r="A28" s="230">
        <v>28.0</v>
      </c>
      <c r="B28" s="230" t="s">
        <v>257</v>
      </c>
      <c r="C28" s="231"/>
      <c r="D28" s="232"/>
      <c r="E28" s="232">
        <f>IFERROR(__xludf.DUMMYFUNCTION("iferror(SPLIT(D28,""/""),split(""0/0"",""/""))"),0.0)</f>
        <v>0</v>
      </c>
      <c r="F28" s="232">
        <f>IFERROR(__xludf.DUMMYFUNCTION("""COMPUTED_VALUE"""),0.0)</f>
        <v>0</v>
      </c>
      <c r="G28" s="247" t="b">
        <v>0</v>
      </c>
      <c r="H28" s="242" t="str">
        <f t="shared" si="1"/>
        <v/>
      </c>
      <c r="I28" s="246" t="s">
        <v>329</v>
      </c>
      <c r="J28" s="236" t="str">
        <f t="shared" si="2"/>
        <v>Survive a fall of at least 10 blocks onto some Pointed Dripstone (The pointed dripstone cannot be waterlogged)</v>
      </c>
      <c r="K28" s="237" t="s">
        <v>330</v>
      </c>
      <c r="L28" s="238"/>
      <c r="M28" s="237" t="s">
        <v>331</v>
      </c>
      <c r="N28" s="237" t="s">
        <v>332</v>
      </c>
      <c r="O28" s="239" t="s">
        <v>333</v>
      </c>
      <c r="P28" s="240" t="s">
        <v>189</v>
      </c>
      <c r="Q28" s="241" t="s">
        <v>334</v>
      </c>
      <c r="R28" s="240" t="s">
        <v>194</v>
      </c>
      <c r="S28" s="241" t="s">
        <v>262</v>
      </c>
    </row>
    <row r="29">
      <c r="A29" s="230">
        <v>29.0</v>
      </c>
      <c r="B29" s="230" t="s">
        <v>257</v>
      </c>
      <c r="C29" s="231"/>
      <c r="D29" s="232"/>
      <c r="E29" s="232">
        <f>IFERROR(__xludf.DUMMYFUNCTION("iferror(SPLIT(D29,""/""),split(""0/0"",""/""))"),0.0)</f>
        <v>0</v>
      </c>
      <c r="F29" s="232">
        <f>IFERROR(__xludf.DUMMYFUNCTION("""COMPUTED_VALUE"""),0.0)</f>
        <v>0</v>
      </c>
      <c r="G29" s="247" t="b">
        <v>0</v>
      </c>
      <c r="H29" s="242" t="str">
        <f t="shared" si="1"/>
        <v/>
      </c>
      <c r="I29" s="246" t="s">
        <v>335</v>
      </c>
      <c r="J29" s="236" t="str">
        <f t="shared" si="2"/>
        <v>Survive a long fall with just a sliver of health remaining (Fall at least 15 blocks and have 1 or 2 health remaining upon landing)</v>
      </c>
      <c r="K29" s="237" t="s">
        <v>336</v>
      </c>
      <c r="L29" s="238"/>
      <c r="M29" s="237" t="s">
        <v>337</v>
      </c>
      <c r="N29" s="237" t="s">
        <v>338</v>
      </c>
      <c r="O29" s="239" t="s">
        <v>339</v>
      </c>
      <c r="P29" s="240" t="s">
        <v>189</v>
      </c>
      <c r="Q29" s="241" t="s">
        <v>340</v>
      </c>
      <c r="R29" s="240" t="s">
        <v>194</v>
      </c>
      <c r="S29" s="241" t="s">
        <v>262</v>
      </c>
    </row>
    <row r="30">
      <c r="A30" s="230">
        <v>30.0</v>
      </c>
      <c r="B30" s="230" t="s">
        <v>257</v>
      </c>
      <c r="C30" s="231"/>
      <c r="D30" s="232"/>
      <c r="E30" s="232">
        <f>IFERROR(__xludf.DUMMYFUNCTION("iferror(SPLIT(D30,""/""),split(""0/0"",""/""))"),0.0)</f>
        <v>0</v>
      </c>
      <c r="F30" s="232">
        <f>IFERROR(__xludf.DUMMYFUNCTION("""COMPUTED_VALUE"""),0.0)</f>
        <v>0</v>
      </c>
      <c r="G30" s="247" t="b">
        <v>0</v>
      </c>
      <c r="H30" s="242" t="str">
        <f t="shared" si="1"/>
        <v/>
      </c>
      <c r="I30" s="249" t="s">
        <v>341</v>
      </c>
      <c r="J30" s="236" t="str">
        <f t="shared" si="2"/>
        <v>Free fall from the top of the world (build limit) to the bottom of the world and survive‌ (Drop from a point above y-level 319 and land below y-level -59)</v>
      </c>
      <c r="K30" s="237" t="s">
        <v>342</v>
      </c>
      <c r="L30" s="238"/>
      <c r="M30" s="237" t="s">
        <v>343</v>
      </c>
      <c r="N30" s="237" t="s">
        <v>344</v>
      </c>
      <c r="O30" s="239" t="s">
        <v>345</v>
      </c>
      <c r="P30" s="240" t="s">
        <v>189</v>
      </c>
      <c r="Q30" s="241" t="s">
        <v>346</v>
      </c>
      <c r="R30" s="240" t="s">
        <v>194</v>
      </c>
      <c r="S30" s="241" t="s">
        <v>347</v>
      </c>
    </row>
    <row r="31">
      <c r="A31" s="230">
        <v>31.0</v>
      </c>
      <c r="B31" s="230" t="s">
        <v>188</v>
      </c>
      <c r="C31" s="231"/>
      <c r="D31" s="232"/>
      <c r="E31" s="232">
        <f>IFERROR(__xludf.DUMMYFUNCTION("iferror(SPLIT(D31,""/""),split(""0/0"",""/""))"),0.0)</f>
        <v>0</v>
      </c>
      <c r="F31" s="232">
        <f>IFERROR(__xludf.DUMMYFUNCTION("""COMPUTED_VALUE"""),0.0)</f>
        <v>0</v>
      </c>
      <c r="G31" s="247" t="b">
        <v>0</v>
      </c>
      <c r="H31" s="242" t="str">
        <f t="shared" si="1"/>
        <v/>
      </c>
      <c r="I31" s="243" t="s">
        <v>348</v>
      </c>
      <c r="J31" s="236" t="str">
        <f t="shared" si="2"/>
        <v>Mine deep enough that the stone darkens (Go below y-level 5.5 in the Overworld)</v>
      </c>
      <c r="K31" s="237"/>
      <c r="L31" s="238"/>
      <c r="M31" s="237" t="s">
        <v>349</v>
      </c>
      <c r="N31" s="237" t="s">
        <v>350</v>
      </c>
      <c r="O31" s="239" t="s">
        <v>351</v>
      </c>
      <c r="P31" s="240" t="s">
        <v>189</v>
      </c>
      <c r="Q31" s="241" t="s">
        <v>352</v>
      </c>
      <c r="R31" s="240" t="s">
        <v>194</v>
      </c>
      <c r="S31" s="241"/>
    </row>
    <row r="32">
      <c r="A32" s="230">
        <v>32.0</v>
      </c>
      <c r="B32" s="230" t="s">
        <v>188</v>
      </c>
      <c r="C32" s="231"/>
      <c r="D32" s="232"/>
      <c r="E32" s="232">
        <f>IFERROR(__xludf.DUMMYFUNCTION("iferror(SPLIT(D32,""/""),split(""0/0"",""/""))"),0.0)</f>
        <v>0</v>
      </c>
      <c r="F32" s="232">
        <f>IFERROR(__xludf.DUMMYFUNCTION("""COMPUTED_VALUE"""),0.0)</f>
        <v>0</v>
      </c>
      <c r="G32" s="247" t="b">
        <v>0</v>
      </c>
      <c r="H32" s="242" t="str">
        <f t="shared" si="1"/>
        <v/>
      </c>
      <c r="I32" s="246" t="s">
        <v>353</v>
      </c>
      <c r="J32" s="236" t="str">
        <f t="shared" si="2"/>
        <v>Dig down to the bottom of the world (Go below y-level -59.5 in the Overworld)</v>
      </c>
      <c r="K32" s="237" t="s">
        <v>354</v>
      </c>
      <c r="L32" s="238"/>
      <c r="M32" s="237" t="s">
        <v>355</v>
      </c>
      <c r="N32" s="237" t="s">
        <v>356</v>
      </c>
      <c r="O32" s="239" t="s">
        <v>357</v>
      </c>
      <c r="P32" s="240" t="s">
        <v>189</v>
      </c>
      <c r="Q32" s="241" t="s">
        <v>358</v>
      </c>
      <c r="R32" s="240" t="s">
        <v>194</v>
      </c>
      <c r="S32" s="241" t="s">
        <v>347</v>
      </c>
    </row>
    <row r="33">
      <c r="A33" s="230">
        <v>33.0</v>
      </c>
      <c r="B33" s="230" t="s">
        <v>283</v>
      </c>
      <c r="C33" s="231"/>
      <c r="D33" s="232"/>
      <c r="E33" s="232">
        <f>IFERROR(__xludf.DUMMYFUNCTION("iferror(SPLIT(D33,""/""),split(""0/0"",""/""))"),0.0)</f>
        <v>0</v>
      </c>
      <c r="F33" s="232">
        <f>IFERROR(__xludf.DUMMYFUNCTION("""COMPUTED_VALUE"""),0.0)</f>
        <v>0</v>
      </c>
      <c r="G33" s="247" t="b">
        <v>0</v>
      </c>
      <c r="H33" s="242" t="str">
        <f t="shared" si="1"/>
        <v/>
      </c>
      <c r="I33" s="249" t="s">
        <v>359</v>
      </c>
      <c r="J33" s="236" t="str">
        <f t="shared" si="2"/>
        <v>Place every cave block at the very top of the world (See requirement notes below)</v>
      </c>
      <c r="K33" s="237" t="s">
        <v>360</v>
      </c>
      <c r="L33" s="238"/>
      <c r="M33" s="248" t="s">
        <v>238</v>
      </c>
      <c r="N33" s="237" t="s">
        <v>361</v>
      </c>
      <c r="O33" s="239" t="s">
        <v>362</v>
      </c>
      <c r="P33" s="240" t="s">
        <v>189</v>
      </c>
      <c r="Q33" s="241" t="s">
        <v>363</v>
      </c>
      <c r="R33" s="240" t="s">
        <v>194</v>
      </c>
      <c r="S33" s="240" t="s">
        <v>347</v>
      </c>
    </row>
    <row r="34">
      <c r="A34" s="230">
        <v>34.0</v>
      </c>
      <c r="B34" s="230" t="s">
        <v>206</v>
      </c>
      <c r="C34" s="231"/>
      <c r="D34" s="232"/>
      <c r="E34" s="232">
        <f>IFERROR(__xludf.DUMMYFUNCTION("iferror(SPLIT(D34,""/""),split(""0/0"",""/""))"),0.0)</f>
        <v>0</v>
      </c>
      <c r="F34" s="232">
        <f>IFERROR(__xludf.DUMMYFUNCTION("""COMPUTED_VALUE"""),0.0)</f>
        <v>0</v>
      </c>
      <c r="G34" s="247" t="b">
        <v>0</v>
      </c>
      <c r="H34" s="242" t="str">
        <f t="shared" si="1"/>
        <v/>
      </c>
      <c r="I34" s="243" t="s">
        <v>364</v>
      </c>
      <c r="J34" s="236" t="str">
        <f t="shared" si="2"/>
        <v>Sneak near something in the Deep Dark to prevent being heard (Sneak in a way that you avoid making a vibration near a Sculk Sensor, Shrieker, or Warden)</v>
      </c>
      <c r="K34" s="237"/>
      <c r="L34" s="238"/>
      <c r="M34" s="237" t="s">
        <v>365</v>
      </c>
      <c r="N34" s="237" t="s">
        <v>366</v>
      </c>
      <c r="O34" s="239" t="s">
        <v>367</v>
      </c>
      <c r="P34" s="240" t="s">
        <v>189</v>
      </c>
      <c r="Q34" s="241" t="s">
        <v>368</v>
      </c>
      <c r="R34" s="240" t="s">
        <v>194</v>
      </c>
      <c r="S34" s="241"/>
    </row>
    <row r="35">
      <c r="A35" s="230">
        <v>35.0</v>
      </c>
      <c r="B35" s="230" t="s">
        <v>188</v>
      </c>
      <c r="C35" s="231"/>
      <c r="D35" s="232"/>
      <c r="E35" s="232">
        <f>IFERROR(__xludf.DUMMYFUNCTION("iferror(SPLIT(D35,""/""),split(""0/0"",""/""))"),0.0)</f>
        <v>0</v>
      </c>
      <c r="F35" s="232">
        <f>IFERROR(__xludf.DUMMYFUNCTION("""COMPUTED_VALUE"""),0.0)</f>
        <v>0</v>
      </c>
      <c r="G35" s="247" t="b">
        <v>0</v>
      </c>
      <c r="H35" s="242" t="str">
        <f t="shared" si="1"/>
        <v/>
      </c>
      <c r="I35" s="243" t="s">
        <v>369</v>
      </c>
      <c r="J35" s="236" t="str">
        <f t="shared" si="2"/>
        <v>Kill a mob near a Sculk Catalyst</v>
      </c>
      <c r="K35" s="237"/>
      <c r="L35" s="238"/>
      <c r="M35" s="237"/>
      <c r="N35" s="237" t="s">
        <v>370</v>
      </c>
      <c r="O35" s="239" t="s">
        <v>371</v>
      </c>
      <c r="P35" s="240" t="s">
        <v>189</v>
      </c>
      <c r="Q35" s="241" t="s">
        <v>372</v>
      </c>
      <c r="R35" s="240" t="s">
        <v>194</v>
      </c>
      <c r="S35" s="241"/>
    </row>
    <row r="36">
      <c r="A36" s="230">
        <v>36.0</v>
      </c>
      <c r="B36" s="230" t="s">
        <v>188</v>
      </c>
      <c r="C36" s="231"/>
      <c r="D36" s="232"/>
      <c r="E36" s="232">
        <f>IFERROR(__xludf.DUMMYFUNCTION("iferror(SPLIT(D36,""/""),split(""0/0"",""/""))"),0.0)</f>
        <v>0</v>
      </c>
      <c r="F36" s="232">
        <f>IFERROR(__xludf.DUMMYFUNCTION("""COMPUTED_VALUE"""),0.0)</f>
        <v>0</v>
      </c>
      <c r="G36" s="247" t="b">
        <v>0</v>
      </c>
      <c r="H36" s="242" t="str">
        <f t="shared" si="1"/>
        <v/>
      </c>
      <c r="I36" s="243" t="s">
        <v>373</v>
      </c>
      <c r="J36" s="236" t="str">
        <f t="shared" si="2"/>
        <v>Trigger a Sculk Shrieker in the Deep Dark. Might not want to do that too many more times… (Receive the Darkness effect)</v>
      </c>
      <c r="K36" s="237"/>
      <c r="L36" s="238"/>
      <c r="M36" s="237" t="s">
        <v>374</v>
      </c>
      <c r="N36" s="237" t="s">
        <v>375</v>
      </c>
      <c r="O36" s="239" t="s">
        <v>376</v>
      </c>
      <c r="P36" s="240" t="s">
        <v>189</v>
      </c>
      <c r="Q36" s="241" t="s">
        <v>377</v>
      </c>
      <c r="R36" s="240" t="s">
        <v>194</v>
      </c>
      <c r="S36" s="241"/>
    </row>
    <row r="37">
      <c r="A37" s="230">
        <v>37.0</v>
      </c>
      <c r="B37" s="230" t="s">
        <v>188</v>
      </c>
      <c r="C37" s="231"/>
      <c r="D37" s="232"/>
      <c r="E37" s="232">
        <f>IFERROR(__xludf.DUMMYFUNCTION("iferror(SPLIT(D37,""/""),split(""0/0"",""/""))"),0.0)</f>
        <v>0</v>
      </c>
      <c r="F37" s="232">
        <f>IFERROR(__xludf.DUMMYFUNCTION("""COMPUTED_VALUE"""),0.0)</f>
        <v>0</v>
      </c>
      <c r="G37" s="247" t="b">
        <v>0</v>
      </c>
      <c r="H37" s="242" t="str">
        <f t="shared" si="1"/>
        <v/>
      </c>
      <c r="I37" s="243" t="s">
        <v>378</v>
      </c>
      <c r="J37" s="236" t="str">
        <f t="shared" si="2"/>
        <v>Find and enter an Ancient City deep underground</v>
      </c>
      <c r="K37" s="237"/>
      <c r="L37" s="238"/>
      <c r="M37" s="237"/>
      <c r="N37" s="237" t="s">
        <v>379</v>
      </c>
      <c r="O37" s="239" t="s">
        <v>380</v>
      </c>
      <c r="P37" s="240" t="s">
        <v>189</v>
      </c>
      <c r="Q37" s="241" t="s">
        <v>381</v>
      </c>
      <c r="R37" s="240" t="s">
        <v>194</v>
      </c>
      <c r="S37" s="241"/>
    </row>
    <row r="38">
      <c r="A38" s="230">
        <v>38.0</v>
      </c>
      <c r="B38" s="230" t="s">
        <v>188</v>
      </c>
      <c r="C38" s="231"/>
      <c r="D38" s="232"/>
      <c r="E38" s="232">
        <f>IFERROR(__xludf.DUMMYFUNCTION("iferror(SPLIT(D38,""/""),split(""0/0"",""/""))"),0.0)</f>
        <v>0</v>
      </c>
      <c r="F38" s="232">
        <f>IFERROR(__xludf.DUMMYFUNCTION("""COMPUTED_VALUE"""),0.0)</f>
        <v>0</v>
      </c>
      <c r="G38" s="247" t="b">
        <v>0</v>
      </c>
      <c r="H38" s="242" t="str">
        <f t="shared" si="1"/>
        <v/>
      </c>
      <c r="I38" s="246" t="s">
        <v>382</v>
      </c>
      <c r="J38" s="236" t="str">
        <f t="shared" si="2"/>
        <v>Loot a chest inside an ice box in an Ancient City (Generate the loot of an ancient city ice box chest (i.e. you must be the first to open it))</v>
      </c>
      <c r="K38" s="237"/>
      <c r="L38" s="238"/>
      <c r="M38" s="237" t="s">
        <v>383</v>
      </c>
      <c r="N38" s="237" t="s">
        <v>384</v>
      </c>
      <c r="O38" s="239" t="s">
        <v>385</v>
      </c>
      <c r="P38" s="240" t="s">
        <v>189</v>
      </c>
      <c r="Q38" s="241" t="s">
        <v>386</v>
      </c>
      <c r="R38" s="240" t="s">
        <v>194</v>
      </c>
      <c r="S38" s="241"/>
    </row>
    <row r="39">
      <c r="A39" s="230">
        <v>39.0</v>
      </c>
      <c r="B39" s="230" t="s">
        <v>188</v>
      </c>
      <c r="C39" s="231"/>
      <c r="D39" s="232"/>
      <c r="E39" s="232">
        <f>IFERROR(__xludf.DUMMYFUNCTION("iferror(SPLIT(D39,""/""),split(""0/0"",""/""))"),0.0)</f>
        <v>0</v>
      </c>
      <c r="F39" s="232">
        <f>IFERROR(__xludf.DUMMYFUNCTION("""COMPUTED_VALUE"""),0.0)</f>
        <v>0</v>
      </c>
      <c r="G39" s="247" t="b">
        <v>0</v>
      </c>
      <c r="H39" s="242" t="str">
        <f t="shared" si="1"/>
        <v/>
      </c>
      <c r="I39" s="246" t="s">
        <v>387</v>
      </c>
      <c r="J39" s="236" t="str">
        <f t="shared" si="2"/>
        <v>Using Echo Shards found in Ancient Cities, craft a Recovery Compass (Obtain a Recovery Compass)</v>
      </c>
      <c r="K39" s="237" t="s">
        <v>388</v>
      </c>
      <c r="L39" s="238"/>
      <c r="M39" s="237" t="s">
        <v>389</v>
      </c>
      <c r="N39" s="237" t="s">
        <v>390</v>
      </c>
      <c r="O39" s="239" t="s">
        <v>391</v>
      </c>
      <c r="P39" s="240" t="s">
        <v>189</v>
      </c>
      <c r="Q39" s="241" t="s">
        <v>392</v>
      </c>
      <c r="R39" s="240" t="s">
        <v>194</v>
      </c>
      <c r="S39" s="241"/>
    </row>
    <row r="40">
      <c r="A40" s="230">
        <v>40.0</v>
      </c>
      <c r="B40" s="230" t="s">
        <v>188</v>
      </c>
      <c r="C40" s="231"/>
      <c r="D40" s="232"/>
      <c r="E40" s="232">
        <f>IFERROR(__xludf.DUMMYFUNCTION("iferror(SPLIT(D40,""/""),split(""0/0"",""/""))"),0.0)</f>
        <v>0</v>
      </c>
      <c r="F40" s="232">
        <f>IFERROR(__xludf.DUMMYFUNCTION("""COMPUTED_VALUE"""),0.0)</f>
        <v>0</v>
      </c>
      <c r="G40" s="247" t="b">
        <v>0</v>
      </c>
      <c r="H40" s="242" t="str">
        <f t="shared" si="1"/>
        <v/>
      </c>
      <c r="I40" s="246" t="s">
        <v>393</v>
      </c>
      <c r="J40" s="236" t="str">
        <f t="shared" si="2"/>
        <v>Collect enough Disc Fragments to craft another producer of mysterious sounds (Obtain Music Disc 5)</v>
      </c>
      <c r="K40" s="237" t="s">
        <v>394</v>
      </c>
      <c r="L40" s="238"/>
      <c r="M40" s="237" t="s">
        <v>395</v>
      </c>
      <c r="N40" s="237" t="s">
        <v>396</v>
      </c>
      <c r="O40" s="239" t="s">
        <v>397</v>
      </c>
      <c r="P40" s="240" t="s">
        <v>189</v>
      </c>
      <c r="Q40" s="241" t="s">
        <v>398</v>
      </c>
      <c r="R40" s="240" t="s">
        <v>194</v>
      </c>
      <c r="S40" s="241"/>
    </row>
    <row r="41">
      <c r="A41" s="230">
        <v>41.0</v>
      </c>
      <c r="B41" s="230" t="s">
        <v>188</v>
      </c>
      <c r="C41" s="231"/>
      <c r="D41" s="232"/>
      <c r="E41" s="232">
        <f>IFERROR(__xludf.DUMMYFUNCTION("iferror(SPLIT(D41,""/""),split(""0/0"",""/""))"),0.0)</f>
        <v>0</v>
      </c>
      <c r="F41" s="232">
        <f>IFERROR(__xludf.DUMMYFUNCTION("""COMPUTED_VALUE"""),0.0)</f>
        <v>0</v>
      </c>
      <c r="G41" s="247" t="b">
        <v>0</v>
      </c>
      <c r="H41" s="242" t="str">
        <f t="shared" si="1"/>
        <v/>
      </c>
      <c r="I41" s="249" t="s">
        <v>399</v>
      </c>
      <c r="J41" s="236" t="str">
        <f t="shared" si="2"/>
        <v>Collect a stack of Echo Shards</v>
      </c>
      <c r="K41" s="237" t="s">
        <v>400</v>
      </c>
      <c r="L41" s="238"/>
      <c r="M41" s="237"/>
      <c r="N41" s="237" t="s">
        <v>401</v>
      </c>
      <c r="O41" s="239" t="s">
        <v>402</v>
      </c>
      <c r="P41" s="240" t="s">
        <v>189</v>
      </c>
      <c r="Q41" s="241" t="s">
        <v>403</v>
      </c>
      <c r="R41" s="240" t="s">
        <v>194</v>
      </c>
      <c r="S41" s="241"/>
    </row>
    <row r="42">
      <c r="A42" s="230">
        <v>42.0</v>
      </c>
      <c r="B42" s="230" t="s">
        <v>188</v>
      </c>
      <c r="C42" s="231"/>
      <c r="D42" s="232"/>
      <c r="E42" s="232">
        <f>IFERROR(__xludf.DUMMYFUNCTION("iferror(SPLIT(D42,""/""),split(""0/0"",""/""))"),0.0)</f>
        <v>0</v>
      </c>
      <c r="F42" s="232">
        <f>IFERROR(__xludf.DUMMYFUNCTION("""COMPUTED_VALUE"""),0.0)</f>
        <v>0</v>
      </c>
      <c r="G42" s="247" t="b">
        <v>0</v>
      </c>
      <c r="H42" s="242" t="str">
        <f t="shared" si="1"/>
        <v/>
      </c>
      <c r="I42" s="243" t="s">
        <v>404</v>
      </c>
      <c r="J42" s="236" t="str">
        <f t="shared" si="2"/>
        <v>Construct a better pickaxe (Obtain a stone pickaxe)</v>
      </c>
      <c r="K42" s="237"/>
      <c r="L42" s="238"/>
      <c r="M42" s="237" t="s">
        <v>405</v>
      </c>
      <c r="N42" s="237" t="s">
        <v>406</v>
      </c>
      <c r="O42" s="239" t="s">
        <v>407</v>
      </c>
      <c r="P42" s="240" t="s">
        <v>189</v>
      </c>
      <c r="Q42" s="241" t="s">
        <v>408</v>
      </c>
      <c r="R42" s="240" t="s">
        <v>194</v>
      </c>
      <c r="S42" s="241"/>
    </row>
    <row r="43">
      <c r="A43" s="230">
        <v>43.0</v>
      </c>
      <c r="B43" s="230" t="s">
        <v>188</v>
      </c>
      <c r="C43" s="231"/>
      <c r="D43" s="232"/>
      <c r="E43" s="232">
        <f>IFERROR(__xludf.DUMMYFUNCTION("iferror(SPLIT(D43,""/""),split(""0/0"",""/""))"),0.0)</f>
        <v>0</v>
      </c>
      <c r="F43" s="232">
        <f>IFERROR(__xludf.DUMMYFUNCTION("""COMPUTED_VALUE"""),0.0)</f>
        <v>0</v>
      </c>
      <c r="G43" s="247" t="b">
        <v>0</v>
      </c>
      <c r="H43" s="242" t="str">
        <f t="shared" si="1"/>
        <v/>
      </c>
      <c r="I43" s="243" t="s">
        <v>409</v>
      </c>
      <c r="J43" s="236" t="str">
        <f t="shared" si="2"/>
        <v>Craft a stone pickaxe, axe, shovel and hoe</v>
      </c>
      <c r="K43" s="237" t="s">
        <v>410</v>
      </c>
      <c r="L43" s="238"/>
      <c r="M43" s="237"/>
      <c r="N43" s="237" t="s">
        <v>411</v>
      </c>
      <c r="O43" s="239" t="s">
        <v>412</v>
      </c>
      <c r="P43" s="240" t="s">
        <v>189</v>
      </c>
      <c r="Q43" s="241" t="s">
        <v>413</v>
      </c>
      <c r="R43" s="240" t="s">
        <v>194</v>
      </c>
      <c r="S43" s="241"/>
    </row>
    <row r="44">
      <c r="A44" s="230">
        <v>44.0</v>
      </c>
      <c r="B44" s="230" t="s">
        <v>188</v>
      </c>
      <c r="C44" s="231"/>
      <c r="D44" s="232"/>
      <c r="E44" s="232">
        <f>IFERROR(__xludf.DUMMYFUNCTION("iferror(SPLIT(D44,""/""),split(""0/0"",""/""))"),0.0)</f>
        <v>0</v>
      </c>
      <c r="F44" s="232">
        <f>IFERROR(__xludf.DUMMYFUNCTION("""COMPUTED_VALUE"""),0.0)</f>
        <v>0</v>
      </c>
      <c r="G44" s="247" t="b">
        <v>0</v>
      </c>
      <c r="H44" s="242" t="str">
        <f t="shared" si="1"/>
        <v/>
      </c>
      <c r="I44" s="243" t="s">
        <v>414</v>
      </c>
      <c r="J44" s="236" t="str">
        <f t="shared" si="2"/>
        <v>Break your first tool</v>
      </c>
      <c r="K44" s="237"/>
      <c r="L44" s="238"/>
      <c r="M44" s="237"/>
      <c r="N44" s="237" t="s">
        <v>415</v>
      </c>
      <c r="O44" s="239" t="s">
        <v>416</v>
      </c>
      <c r="P44" s="240" t="s">
        <v>189</v>
      </c>
      <c r="Q44" s="241" t="s">
        <v>417</v>
      </c>
      <c r="R44" s="240" t="s">
        <v>194</v>
      </c>
      <c r="S44" s="241"/>
    </row>
    <row r="45">
      <c r="A45" s="230">
        <v>45.0</v>
      </c>
      <c r="B45" s="230" t="s">
        <v>257</v>
      </c>
      <c r="C45" s="231"/>
      <c r="D45" s="232"/>
      <c r="E45" s="232">
        <f>IFERROR(__xludf.DUMMYFUNCTION("iferror(SPLIT(D45,""/""),split(""0/0"",""/""))"),0.0)</f>
        <v>0</v>
      </c>
      <c r="F45" s="232">
        <f>IFERROR(__xludf.DUMMYFUNCTION("""COMPUTED_VALUE"""),0.0)</f>
        <v>0</v>
      </c>
      <c r="G45" s="247" t="b">
        <v>0</v>
      </c>
      <c r="H45" s="242" t="str">
        <f t="shared" si="1"/>
        <v/>
      </c>
      <c r="I45" s="246" t="s">
        <v>418</v>
      </c>
      <c r="J45" s="236" t="str">
        <f t="shared" si="2"/>
        <v>Mine 1728 cobblestone, place it in a chest, then stand on it in victory (27 stacks of 64 cobblestone in a single chest. You must stand on top of the chest)</v>
      </c>
      <c r="K45" s="237" t="s">
        <v>419</v>
      </c>
      <c r="L45" s="238"/>
      <c r="M45" s="237" t="s">
        <v>420</v>
      </c>
      <c r="N45" s="237" t="s">
        <v>421</v>
      </c>
      <c r="O45" s="239" t="s">
        <v>192</v>
      </c>
      <c r="P45" s="240" t="s">
        <v>189</v>
      </c>
      <c r="Q45" s="241" t="s">
        <v>422</v>
      </c>
      <c r="R45" s="240" t="s">
        <v>194</v>
      </c>
      <c r="S45" s="240" t="s">
        <v>423</v>
      </c>
    </row>
    <row r="46">
      <c r="A46" s="230">
        <v>46.0</v>
      </c>
      <c r="B46" s="230" t="s">
        <v>257</v>
      </c>
      <c r="C46" s="231"/>
      <c r="D46" s="232"/>
      <c r="E46" s="232">
        <f>IFERROR(__xludf.DUMMYFUNCTION("iferror(SPLIT(D46,""/""),split(""0/0"",""/""))"),0.0)</f>
        <v>0</v>
      </c>
      <c r="F46" s="232">
        <f>IFERROR(__xludf.DUMMYFUNCTION("""COMPUTED_VALUE"""),0.0)</f>
        <v>0</v>
      </c>
      <c r="G46" s="247" t="b">
        <v>0</v>
      </c>
      <c r="H46" s="242" t="str">
        <f t="shared" si="1"/>
        <v/>
      </c>
      <c r="I46" s="249" t="s">
        <v>424</v>
      </c>
      <c r="J46" s="236" t="str">
        <f t="shared" si="2"/>
        <v>Destroy a total of 10,000 blocks of stone (Mine a total of 10,000 blocks of stone)</v>
      </c>
      <c r="K46" s="237"/>
      <c r="L46" s="238"/>
      <c r="M46" s="237" t="s">
        <v>425</v>
      </c>
      <c r="N46" s="237" t="s">
        <v>426</v>
      </c>
      <c r="O46" s="239" t="s">
        <v>427</v>
      </c>
      <c r="P46" s="240" t="s">
        <v>189</v>
      </c>
      <c r="Q46" s="241" t="s">
        <v>428</v>
      </c>
      <c r="R46" s="240" t="s">
        <v>194</v>
      </c>
      <c r="S46" s="240" t="s">
        <v>423</v>
      </c>
    </row>
    <row r="47">
      <c r="A47" s="230">
        <v>47.0</v>
      </c>
      <c r="B47" s="230" t="s">
        <v>188</v>
      </c>
      <c r="C47" s="231"/>
      <c r="D47" s="232"/>
      <c r="E47" s="232">
        <f>IFERROR(__xludf.DUMMYFUNCTION("iferror(SPLIT(D47,""/""),split(""0/0"",""/""))"),0.0)</f>
        <v>0</v>
      </c>
      <c r="F47" s="232">
        <f>IFERROR(__xludf.DUMMYFUNCTION("""COMPUTED_VALUE"""),0.0)</f>
        <v>0</v>
      </c>
      <c r="G47" s="247" t="b">
        <v>0</v>
      </c>
      <c r="H47" s="242" t="str">
        <f t="shared" si="1"/>
        <v/>
      </c>
      <c r="I47" s="243" t="s">
        <v>429</v>
      </c>
      <c r="J47" s="236" t="str">
        <f t="shared" si="2"/>
        <v>Coal! As in dead dinosaurs! (Obtain coal)</v>
      </c>
      <c r="K47" s="237" t="s">
        <v>430</v>
      </c>
      <c r="L47" s="238"/>
      <c r="M47" s="237" t="s">
        <v>431</v>
      </c>
      <c r="N47" s="237" t="s">
        <v>432</v>
      </c>
      <c r="O47" s="239" t="s">
        <v>433</v>
      </c>
      <c r="P47" s="240" t="s">
        <v>189</v>
      </c>
      <c r="Q47" s="241" t="s">
        <v>434</v>
      </c>
      <c r="R47" s="240" t="s">
        <v>194</v>
      </c>
      <c r="S47" s="241"/>
    </row>
    <row r="48">
      <c r="A48" s="230">
        <v>48.0</v>
      </c>
      <c r="B48" s="230" t="s">
        <v>188</v>
      </c>
      <c r="C48" s="231"/>
      <c r="D48" s="232"/>
      <c r="E48" s="232">
        <f>IFERROR(__xludf.DUMMYFUNCTION("iferror(SPLIT(D48,""/""),split(""0/0"",""/""))"),0.0)</f>
        <v>0</v>
      </c>
      <c r="F48" s="232">
        <f>IFERROR(__xludf.DUMMYFUNCTION("""COMPUTED_VALUE"""),0.0)</f>
        <v>0</v>
      </c>
      <c r="G48" s="247" t="b">
        <v>0</v>
      </c>
      <c r="H48" s="242" t="str">
        <f t="shared" si="1"/>
        <v/>
      </c>
      <c r="I48" s="246" t="s">
        <v>435</v>
      </c>
      <c r="J48" s="236" t="str">
        <f t="shared" si="2"/>
        <v>Mine a stack of coal</v>
      </c>
      <c r="K48" s="237" t="s">
        <v>436</v>
      </c>
      <c r="L48" s="238"/>
      <c r="M48" s="237"/>
      <c r="N48" s="237" t="s">
        <v>437</v>
      </c>
      <c r="O48" s="239" t="s">
        <v>438</v>
      </c>
      <c r="P48" s="240" t="s">
        <v>189</v>
      </c>
      <c r="Q48" s="241" t="s">
        <v>439</v>
      </c>
      <c r="R48" s="240" t="s">
        <v>194</v>
      </c>
      <c r="S48" s="241"/>
    </row>
    <row r="49">
      <c r="A49" s="230">
        <v>49.0</v>
      </c>
      <c r="B49" s="230" t="s">
        <v>188</v>
      </c>
      <c r="C49" s="231"/>
      <c r="D49" s="232"/>
      <c r="E49" s="232">
        <f>IFERROR(__xludf.DUMMYFUNCTION("iferror(SPLIT(D49,""/""),split(""0/0"",""/""))"),0.0)</f>
        <v>0</v>
      </c>
      <c r="F49" s="232">
        <f>IFERROR(__xludf.DUMMYFUNCTION("""COMPUTED_VALUE"""),0.0)</f>
        <v>0</v>
      </c>
      <c r="G49" s="247" t="b">
        <v>0</v>
      </c>
      <c r="H49" s="242" t="str">
        <f t="shared" si="1"/>
        <v/>
      </c>
      <c r="I49" s="249" t="s">
        <v>440</v>
      </c>
      <c r="J49" s="236" t="str">
        <f t="shared" si="2"/>
        <v>Mine enough coal to make a stack of coal blocks</v>
      </c>
      <c r="K49" s="237" t="s">
        <v>441</v>
      </c>
      <c r="L49" s="238"/>
      <c r="M49" s="237"/>
      <c r="N49" s="237" t="s">
        <v>442</v>
      </c>
      <c r="O49" s="239" t="s">
        <v>438</v>
      </c>
      <c r="P49" s="240" t="s">
        <v>189</v>
      </c>
      <c r="Q49" s="241" t="s">
        <v>443</v>
      </c>
      <c r="R49" s="240" t="s">
        <v>194</v>
      </c>
      <c r="S49" s="241"/>
    </row>
    <row r="50">
      <c r="A50" s="230">
        <v>50.0</v>
      </c>
      <c r="B50" s="230" t="s">
        <v>188</v>
      </c>
      <c r="C50" s="231"/>
      <c r="D50" s="232"/>
      <c r="E50" s="232">
        <f>IFERROR(__xludf.DUMMYFUNCTION("iferror(SPLIT(D50,""/""),split(""0/0"",""/""))"),0.0)</f>
        <v>0</v>
      </c>
      <c r="F50" s="232">
        <f>IFERROR(__xludf.DUMMYFUNCTION("""COMPUTED_VALUE"""),0.0)</f>
        <v>0</v>
      </c>
      <c r="G50" s="247" t="b">
        <v>0</v>
      </c>
      <c r="H50" s="242" t="str">
        <f t="shared" si="1"/>
        <v/>
      </c>
      <c r="I50" s="243" t="s">
        <v>444</v>
      </c>
      <c r="J50" s="236" t="str">
        <f t="shared" si="2"/>
        <v>Construct a furnace out of eight stone blocks</v>
      </c>
      <c r="K50" s="237"/>
      <c r="L50" s="238"/>
      <c r="M50" s="237"/>
      <c r="N50" s="237" t="s">
        <v>445</v>
      </c>
      <c r="O50" s="239" t="s">
        <v>446</v>
      </c>
      <c r="P50" s="240" t="s">
        <v>189</v>
      </c>
      <c r="Q50" s="241" t="s">
        <v>447</v>
      </c>
      <c r="R50" s="240" t="s">
        <v>194</v>
      </c>
      <c r="S50" s="241"/>
    </row>
    <row r="51">
      <c r="A51" s="230">
        <v>51.0</v>
      </c>
      <c r="B51" s="230" t="s">
        <v>188</v>
      </c>
      <c r="C51" s="231"/>
      <c r="D51" s="232"/>
      <c r="E51" s="232">
        <f>IFERROR(__xludf.DUMMYFUNCTION("iferror(SPLIT(D51,""/""),split(""0/0"",""/""))"),0.0)</f>
        <v>0</v>
      </c>
      <c r="F51" s="232">
        <f>IFERROR(__xludf.DUMMYFUNCTION("""COMPUTED_VALUE"""),0.0)</f>
        <v>0</v>
      </c>
      <c r="G51" s="247" t="b">
        <v>0</v>
      </c>
      <c r="H51" s="242" t="str">
        <f t="shared" si="1"/>
        <v/>
      </c>
      <c r="I51" s="243" t="s">
        <v>448</v>
      </c>
      <c r="J51" s="236" t="str">
        <f t="shared" si="2"/>
        <v>Smelt wood trunks using charcoal to make more charcoal (Smelt charcoal)</v>
      </c>
      <c r="K51" s="237" t="s">
        <v>449</v>
      </c>
      <c r="L51" s="238"/>
      <c r="M51" s="237" t="s">
        <v>450</v>
      </c>
      <c r="N51" s="237" t="s">
        <v>451</v>
      </c>
      <c r="O51" s="239" t="s">
        <v>452</v>
      </c>
      <c r="P51" s="240" t="s">
        <v>189</v>
      </c>
      <c r="Q51" s="241" t="s">
        <v>453</v>
      </c>
      <c r="R51" s="240" t="s">
        <v>194</v>
      </c>
      <c r="S51" s="241"/>
    </row>
    <row r="52">
      <c r="A52" s="230">
        <v>52.0</v>
      </c>
      <c r="B52" s="230" t="s">
        <v>188</v>
      </c>
      <c r="C52" s="231"/>
      <c r="D52" s="232"/>
      <c r="E52" s="232">
        <f>IFERROR(__xludf.DUMMYFUNCTION("iferror(SPLIT(D52,""/""),split(""0/0"",""/""))"),0.0)</f>
        <v>0</v>
      </c>
      <c r="F52" s="232">
        <f>IFERROR(__xludf.DUMMYFUNCTION("""COMPUTED_VALUE"""),0.0)</f>
        <v>0</v>
      </c>
      <c r="G52" s="247" t="b">
        <v>0</v>
      </c>
      <c r="H52" s="242" t="str">
        <f t="shared" si="1"/>
        <v/>
      </c>
      <c r="I52" s="243" t="s">
        <v>454</v>
      </c>
      <c r="J52" s="236" t="str">
        <f t="shared" si="2"/>
        <v>Upgrade your furnace to a smoker using some logs</v>
      </c>
      <c r="K52" s="237"/>
      <c r="L52" s="238"/>
      <c r="M52" s="237"/>
      <c r="N52" s="237" t="s">
        <v>455</v>
      </c>
      <c r="O52" s="239" t="s">
        <v>456</v>
      </c>
      <c r="P52" s="240" t="s">
        <v>189</v>
      </c>
      <c r="Q52" s="241" t="s">
        <v>457</v>
      </c>
      <c r="R52" s="240" t="s">
        <v>194</v>
      </c>
      <c r="S52" s="241"/>
    </row>
    <row r="53">
      <c r="A53" s="230">
        <v>53.0</v>
      </c>
      <c r="B53" s="230" t="s">
        <v>188</v>
      </c>
      <c r="C53" s="231"/>
      <c r="D53" s="232"/>
      <c r="E53" s="232">
        <f>IFERROR(__xludf.DUMMYFUNCTION("iferror(SPLIT(D53,""/""),split(""0/0"",""/""))"),0.0)</f>
        <v>0</v>
      </c>
      <c r="F53" s="232">
        <f>IFERROR(__xludf.DUMMYFUNCTION("""COMPUTED_VALUE"""),0.0)</f>
        <v>0</v>
      </c>
      <c r="G53" s="247" t="b">
        <v>0</v>
      </c>
      <c r="H53" s="242" t="str">
        <f t="shared" si="1"/>
        <v/>
      </c>
      <c r="I53" s="243" t="s">
        <v>458</v>
      </c>
      <c r="J53" s="236" t="str">
        <f t="shared" si="2"/>
        <v>Smelt a Copper Ingot (Obtain a copper ingot)</v>
      </c>
      <c r="K53" s="237" t="s">
        <v>459</v>
      </c>
      <c r="L53" s="238"/>
      <c r="M53" s="237" t="s">
        <v>460</v>
      </c>
      <c r="N53" s="237" t="s">
        <v>461</v>
      </c>
      <c r="O53" s="239" t="s">
        <v>462</v>
      </c>
      <c r="P53" s="240" t="s">
        <v>189</v>
      </c>
      <c r="Q53" s="241" t="s">
        <v>463</v>
      </c>
      <c r="R53" s="240" t="s">
        <v>194</v>
      </c>
      <c r="S53" s="241"/>
    </row>
    <row r="54">
      <c r="A54" s="230">
        <v>54.0</v>
      </c>
      <c r="B54" s="230" t="s">
        <v>188</v>
      </c>
      <c r="C54" s="231"/>
      <c r="D54" s="232"/>
      <c r="E54" s="232">
        <f>IFERROR(__xludf.DUMMYFUNCTION("iferror(SPLIT(D54,""/""),split(""0/0"",""/""))"),0.0)</f>
        <v>0</v>
      </c>
      <c r="F54" s="232">
        <f>IFERROR(__xludf.DUMMYFUNCTION("""COMPUTED_VALUE"""),0.0)</f>
        <v>0</v>
      </c>
      <c r="G54" s="247" t="b">
        <v>0</v>
      </c>
      <c r="H54" s="242" t="str">
        <f t="shared" si="1"/>
        <v/>
      </c>
      <c r="I54" s="246" t="s">
        <v>464</v>
      </c>
      <c r="J54" s="236" t="str">
        <f t="shared" si="2"/>
        <v>Mine a stack of Raw Copper</v>
      </c>
      <c r="K54" s="237" t="s">
        <v>465</v>
      </c>
      <c r="L54" s="238"/>
      <c r="M54" s="237"/>
      <c r="N54" s="237" t="s">
        <v>466</v>
      </c>
      <c r="O54" s="239" t="s">
        <v>467</v>
      </c>
      <c r="P54" s="240" t="s">
        <v>189</v>
      </c>
      <c r="Q54" s="241" t="s">
        <v>468</v>
      </c>
      <c r="R54" s="240" t="s">
        <v>194</v>
      </c>
      <c r="S54" s="241"/>
    </row>
    <row r="55">
      <c r="A55" s="230">
        <v>55.0</v>
      </c>
      <c r="B55" s="230" t="s">
        <v>188</v>
      </c>
      <c r="C55" s="231"/>
      <c r="D55" s="232"/>
      <c r="E55" s="232">
        <f>IFERROR(__xludf.DUMMYFUNCTION("iferror(SPLIT(D55,""/""),split(""0/0"",""/""))"),0.0)</f>
        <v>0</v>
      </c>
      <c r="F55" s="232">
        <f>IFERROR(__xludf.DUMMYFUNCTION("""COMPUTED_VALUE"""),0.0)</f>
        <v>0</v>
      </c>
      <c r="G55" s="247" t="b">
        <v>0</v>
      </c>
      <c r="H55" s="242" t="str">
        <f t="shared" si="1"/>
        <v/>
      </c>
      <c r="I55" s="249" t="s">
        <v>469</v>
      </c>
      <c r="J55" s="236" t="str">
        <f t="shared" si="2"/>
        <v>Mine enough copper to make a stack of Copper Blocks (Obtain 64 unoxidized, unwaxed Blocks of Copper)</v>
      </c>
      <c r="K55" s="237" t="s">
        <v>470</v>
      </c>
      <c r="L55" s="238"/>
      <c r="M55" s="237" t="s">
        <v>471</v>
      </c>
      <c r="N55" s="237" t="s">
        <v>472</v>
      </c>
      <c r="O55" s="239" t="s">
        <v>473</v>
      </c>
      <c r="P55" s="240" t="s">
        <v>189</v>
      </c>
      <c r="Q55" s="241" t="s">
        <v>474</v>
      </c>
      <c r="R55" s="240" t="s">
        <v>194</v>
      </c>
      <c r="S55" s="241"/>
    </row>
    <row r="56">
      <c r="A56" s="230">
        <v>56.0</v>
      </c>
      <c r="B56" s="230" t="s">
        <v>188</v>
      </c>
      <c r="C56" s="231"/>
      <c r="D56" s="232"/>
      <c r="E56" s="232">
        <f>IFERROR(__xludf.DUMMYFUNCTION("iferror(SPLIT(D56,""/""),split(""0/0"",""/""))"),0.0)</f>
        <v>0</v>
      </c>
      <c r="F56" s="232">
        <f>IFERROR(__xludf.DUMMYFUNCTION("""COMPUTED_VALUE"""),0.0)</f>
        <v>0</v>
      </c>
      <c r="G56" s="247" t="b">
        <v>0</v>
      </c>
      <c r="H56" s="242" t="str">
        <f t="shared" si="1"/>
        <v/>
      </c>
      <c r="I56" s="243" t="s">
        <v>475</v>
      </c>
      <c r="J56" s="236" t="str">
        <f t="shared" si="2"/>
        <v>Craft a Lightning Rod using Copper Ingots (Obtain a lightning rod)</v>
      </c>
      <c r="K56" s="237" t="s">
        <v>459</v>
      </c>
      <c r="L56" s="238"/>
      <c r="M56" s="237" t="s">
        <v>476</v>
      </c>
      <c r="N56" s="237" t="s">
        <v>477</v>
      </c>
      <c r="O56" s="239" t="s">
        <v>478</v>
      </c>
      <c r="P56" s="240" t="s">
        <v>189</v>
      </c>
      <c r="Q56" s="241" t="s">
        <v>479</v>
      </c>
      <c r="R56" s="240" t="s">
        <v>194</v>
      </c>
      <c r="S56" s="241"/>
    </row>
    <row r="57">
      <c r="A57" s="230">
        <v>57.0</v>
      </c>
      <c r="B57" s="230" t="s">
        <v>257</v>
      </c>
      <c r="C57" s="231"/>
      <c r="D57" s="232"/>
      <c r="E57" s="232">
        <f>IFERROR(__xludf.DUMMYFUNCTION("iferror(SPLIT(D57,""/""),split(""0/0"",""/""))"),0.0)</f>
        <v>0</v>
      </c>
      <c r="F57" s="232">
        <f>IFERROR(__xludf.DUMMYFUNCTION("""COMPUTED_VALUE"""),0.0)</f>
        <v>0</v>
      </c>
      <c r="G57" s="247" t="b">
        <v>0</v>
      </c>
      <c r="H57" s="242" t="str">
        <f t="shared" si="1"/>
        <v/>
      </c>
      <c r="I57" s="246" t="s">
        <v>42</v>
      </c>
      <c r="J57" s="236" t="str">
        <f t="shared" si="2"/>
        <v>Protect a villager from an undesired shock without starting a fire (Have lightning strike a lightning rod with a villager standing at a safe distance away)</v>
      </c>
      <c r="K57" s="237" t="s">
        <v>480</v>
      </c>
      <c r="L57" s="238"/>
      <c r="M57" s="237" t="s">
        <v>481</v>
      </c>
      <c r="N57" s="237" t="s">
        <v>482</v>
      </c>
      <c r="O57" s="239" t="s">
        <v>483</v>
      </c>
      <c r="P57" s="240" t="s">
        <v>189</v>
      </c>
      <c r="Q57" s="241" t="s">
        <v>484</v>
      </c>
      <c r="R57" s="240" t="s">
        <v>194</v>
      </c>
      <c r="S57" s="240" t="s">
        <v>28</v>
      </c>
    </row>
    <row r="58">
      <c r="A58" s="230">
        <v>58.0</v>
      </c>
      <c r="B58" s="230" t="s">
        <v>257</v>
      </c>
      <c r="C58" s="231"/>
      <c r="D58" s="232"/>
      <c r="E58" s="232">
        <f>IFERROR(__xludf.DUMMYFUNCTION("iferror(SPLIT(D58,""/""),split(""0/0"",""/""))"),0.0)</f>
        <v>0</v>
      </c>
      <c r="F58" s="232">
        <f>IFERROR(__xludf.DUMMYFUNCTION("""COMPUTED_VALUE"""),0.0)</f>
        <v>0</v>
      </c>
      <c r="G58" s="233" t="b">
        <v>0</v>
      </c>
      <c r="H58" s="242" t="str">
        <f t="shared" si="1"/>
        <v/>
      </c>
      <c r="I58" s="246" t="s">
        <v>46</v>
      </c>
      <c r="J58" s="236" t="str">
        <f t="shared" si="2"/>
        <v>Get struck by lightning while standing on a Lightning Rod</v>
      </c>
      <c r="K58" s="237"/>
      <c r="L58" s="238"/>
      <c r="M58" s="237"/>
      <c r="N58" s="237" t="s">
        <v>485</v>
      </c>
      <c r="O58" s="239" t="s">
        <v>486</v>
      </c>
      <c r="P58" s="240" t="s">
        <v>189</v>
      </c>
      <c r="Q58" s="241" t="s">
        <v>487</v>
      </c>
      <c r="R58" s="240" t="s">
        <v>194</v>
      </c>
      <c r="S58" s="240" t="s">
        <v>28</v>
      </c>
    </row>
    <row r="59">
      <c r="A59" s="230">
        <v>59.0</v>
      </c>
      <c r="B59" s="230" t="s">
        <v>188</v>
      </c>
      <c r="C59" s="231"/>
      <c r="D59" s="232"/>
      <c r="E59" s="232">
        <f>IFERROR(__xludf.DUMMYFUNCTION("iferror(SPLIT(D59,""/""),split(""0/0"",""/""))"),0.0)</f>
        <v>0</v>
      </c>
      <c r="F59" s="232">
        <f>IFERROR(__xludf.DUMMYFUNCTION("""COMPUTED_VALUE"""),0.0)</f>
        <v>0</v>
      </c>
      <c r="G59" s="233" t="b">
        <v>0</v>
      </c>
      <c r="H59" s="242" t="str">
        <f t="shared" si="1"/>
        <v/>
      </c>
      <c r="I59" s="251" t="s">
        <v>488</v>
      </c>
      <c r="J59" s="236" t="str">
        <f t="shared" si="2"/>
        <v>Craft some Cut Copper (Obtain any block with the word "Cut Copper" in it (so it can be any oxidisation state, can be waxed, and can be a slab or stairs))</v>
      </c>
      <c r="K59" s="237"/>
      <c r="L59" s="238"/>
      <c r="M59" s="237" t="s">
        <v>489</v>
      </c>
      <c r="N59" s="237" t="s">
        <v>490</v>
      </c>
      <c r="O59" s="239" t="s">
        <v>491</v>
      </c>
      <c r="P59" s="240" t="s">
        <v>189</v>
      </c>
      <c r="Q59" s="241" t="s">
        <v>492</v>
      </c>
      <c r="R59" s="240" t="s">
        <v>194</v>
      </c>
      <c r="S59" s="241"/>
    </row>
    <row r="60">
      <c r="A60" s="230">
        <v>60.0</v>
      </c>
      <c r="B60" s="230" t="s">
        <v>206</v>
      </c>
      <c r="C60" s="231"/>
      <c r="D60" s="232"/>
      <c r="E60" s="232">
        <f>IFERROR(__xludf.DUMMYFUNCTION("iferror(SPLIT(D60,""/""),split(""0/0"",""/""))"),0.0)</f>
        <v>0</v>
      </c>
      <c r="F60" s="232">
        <f>IFERROR(__xludf.DUMMYFUNCTION("""COMPUTED_VALUE"""),0.0)</f>
        <v>0</v>
      </c>
      <c r="G60" s="247" t="b">
        <v>0</v>
      </c>
      <c r="H60" s="242" t="str">
        <f t="shared" si="1"/>
        <v/>
      </c>
      <c r="I60" s="243" t="s">
        <v>493</v>
      </c>
      <c r="J60" s="236" t="str">
        <f t="shared" si="2"/>
        <v>Craft or obtain a Copper Grate</v>
      </c>
      <c r="K60" s="237"/>
      <c r="L60" s="238"/>
      <c r="M60" s="237"/>
      <c r="N60" s="237" t="s">
        <v>494</v>
      </c>
      <c r="O60" s="239" t="s">
        <v>495</v>
      </c>
      <c r="P60" s="240" t="s">
        <v>189</v>
      </c>
      <c r="Q60" s="241" t="s">
        <v>496</v>
      </c>
      <c r="R60" s="240" t="s">
        <v>194</v>
      </c>
      <c r="S60" s="241"/>
    </row>
    <row r="61">
      <c r="A61" s="230">
        <v>61.0</v>
      </c>
      <c r="B61" s="230" t="s">
        <v>188</v>
      </c>
      <c r="C61" s="231"/>
      <c r="D61" s="232"/>
      <c r="E61" s="232">
        <f>IFERROR(__xludf.DUMMYFUNCTION("iferror(SPLIT(D61,""/""),split(""0/0"",""/""))"),0.0)</f>
        <v>0</v>
      </c>
      <c r="F61" s="232">
        <f>IFERROR(__xludf.DUMMYFUNCTION("""COMPUTED_VALUE"""),0.0)</f>
        <v>0</v>
      </c>
      <c r="G61" s="247" t="b">
        <v>0</v>
      </c>
      <c r="H61" s="242" t="str">
        <f t="shared" si="1"/>
        <v/>
      </c>
      <c r="I61" s="243" t="s">
        <v>497</v>
      </c>
      <c r="J61" s="236" t="str">
        <f t="shared" si="2"/>
        <v>Use Honeycombs to wax a Copper Block, preventing it from oxidising (Use a honeycomb on any unwaxed copper block OR craft any waxed copper block by adding honeycomb to an unwaxed copper block in the crafting table)</v>
      </c>
      <c r="K61" s="237" t="s">
        <v>498</v>
      </c>
      <c r="L61" s="238"/>
      <c r="M61" s="237" t="s">
        <v>499</v>
      </c>
      <c r="N61" s="237" t="s">
        <v>500</v>
      </c>
      <c r="O61" s="239" t="s">
        <v>501</v>
      </c>
      <c r="P61" s="240" t="s">
        <v>189</v>
      </c>
      <c r="Q61" s="241" t="s">
        <v>502</v>
      </c>
      <c r="R61" s="240" t="s">
        <v>194</v>
      </c>
      <c r="S61" s="241"/>
    </row>
    <row r="62">
      <c r="A62" s="230">
        <v>62.0</v>
      </c>
      <c r="B62" s="230" t="s">
        <v>206</v>
      </c>
      <c r="C62" s="231"/>
      <c r="D62" s="232"/>
      <c r="E62" s="232">
        <f>IFERROR(__xludf.DUMMYFUNCTION("iferror(SPLIT(D62,""/""),split(""0/0"",""/""))"),0.0)</f>
        <v>0</v>
      </c>
      <c r="F62" s="232">
        <f>IFERROR(__xludf.DUMMYFUNCTION("""COMPUTED_VALUE"""),0.0)</f>
        <v>0</v>
      </c>
      <c r="G62" s="247" t="b">
        <v>0</v>
      </c>
      <c r="H62" s="242" t="str">
        <f t="shared" si="1"/>
        <v/>
      </c>
      <c r="I62" s="243" t="s">
        <v>503</v>
      </c>
      <c r="J62" s="236" t="str">
        <f t="shared" si="2"/>
        <v>Use an axe to scrape wax off of a Copper Block (Use an axe on any waxed copper block)</v>
      </c>
      <c r="K62" s="237"/>
      <c r="L62" s="238"/>
      <c r="M62" s="237" t="s">
        <v>504</v>
      </c>
      <c r="N62" s="237" t="s">
        <v>505</v>
      </c>
      <c r="O62" s="239" t="s">
        <v>506</v>
      </c>
      <c r="P62" s="240" t="s">
        <v>189</v>
      </c>
      <c r="Q62" s="241" t="s">
        <v>507</v>
      </c>
      <c r="R62" s="240" t="s">
        <v>194</v>
      </c>
      <c r="S62" s="241"/>
    </row>
    <row r="63">
      <c r="A63" s="230">
        <v>63.0</v>
      </c>
      <c r="B63" s="230" t="s">
        <v>188</v>
      </c>
      <c r="C63" s="231"/>
      <c r="D63" s="232"/>
      <c r="E63" s="232">
        <f>IFERROR(__xludf.DUMMYFUNCTION("iferror(SPLIT(D63,""/""),split(""0/0"",""/""))"),0.0)</f>
        <v>0</v>
      </c>
      <c r="F63" s="232">
        <f>IFERROR(__xludf.DUMMYFUNCTION("""COMPUTED_VALUE"""),0.0)</f>
        <v>0</v>
      </c>
      <c r="G63" s="247" t="b">
        <v>0</v>
      </c>
      <c r="H63" s="242" t="str">
        <f t="shared" si="1"/>
        <v/>
      </c>
      <c r="I63" s="246" t="s">
        <v>508</v>
      </c>
      <c r="J63" s="236" t="str">
        <f t="shared" si="2"/>
        <v>Obtain a fully oxidized Block of Copper (Obtain any type of copper block that is fully oxidized)</v>
      </c>
      <c r="K63" s="237"/>
      <c r="L63" s="238"/>
      <c r="M63" s="237" t="s">
        <v>509</v>
      </c>
      <c r="N63" s="237" t="s">
        <v>510</v>
      </c>
      <c r="O63" s="239" t="s">
        <v>511</v>
      </c>
      <c r="P63" s="240" t="s">
        <v>189</v>
      </c>
      <c r="Q63" s="241" t="s">
        <v>512</v>
      </c>
      <c r="R63" s="240" t="s">
        <v>194</v>
      </c>
      <c r="S63" s="241"/>
    </row>
    <row r="64">
      <c r="A64" s="230">
        <v>64.0</v>
      </c>
      <c r="B64" s="230" t="s">
        <v>188</v>
      </c>
      <c r="C64" s="231"/>
      <c r="D64" s="232"/>
      <c r="E64" s="232">
        <f>IFERROR(__xludf.DUMMYFUNCTION("iferror(SPLIT(D64,""/""),split(""0/0"",""/""))"),0.0)</f>
        <v>0</v>
      </c>
      <c r="F64" s="232">
        <f>IFERROR(__xludf.DUMMYFUNCTION("""COMPUTED_VALUE"""),0.0)</f>
        <v>0</v>
      </c>
      <c r="G64" s="247" t="b">
        <v>0</v>
      </c>
      <c r="H64" s="242" t="str">
        <f t="shared" si="1"/>
        <v/>
      </c>
      <c r="I64" s="249" t="s">
        <v>513</v>
      </c>
      <c r="J64" s="236" t="str">
        <f t="shared" si="2"/>
        <v>Collect a stack of every oxidizing stage of Copper Block, Cut Copper, Cut Copper Slabs and Stairs, and the waxed variants of them all (See requirement notes below)</v>
      </c>
      <c r="K64" s="237"/>
      <c r="L64" s="238"/>
      <c r="M64" s="248" t="s">
        <v>238</v>
      </c>
      <c r="N64" s="237" t="s">
        <v>514</v>
      </c>
      <c r="O64" s="239" t="s">
        <v>515</v>
      </c>
      <c r="P64" s="240" t="s">
        <v>189</v>
      </c>
      <c r="Q64" s="241" t="s">
        <v>516</v>
      </c>
      <c r="R64" s="240" t="s">
        <v>194</v>
      </c>
      <c r="S64" s="241"/>
    </row>
    <row r="65">
      <c r="A65" s="230">
        <v>65.0</v>
      </c>
      <c r="B65" s="230" t="s">
        <v>188</v>
      </c>
      <c r="C65" s="231"/>
      <c r="D65" s="232"/>
      <c r="E65" s="232">
        <f>IFERROR(__xludf.DUMMYFUNCTION("iferror(SPLIT(D65,""/""),split(""0/0"",""/""))"),0.0)</f>
        <v>0</v>
      </c>
      <c r="F65" s="232">
        <f>IFERROR(__xludf.DUMMYFUNCTION("""COMPUTED_VALUE"""),0.0)</f>
        <v>0</v>
      </c>
      <c r="G65" s="247" t="b">
        <v>0</v>
      </c>
      <c r="H65" s="242" t="str">
        <f t="shared" si="1"/>
        <v/>
      </c>
      <c r="I65" s="243" t="s">
        <v>517</v>
      </c>
      <c r="J65" s="236" t="str">
        <f t="shared" si="2"/>
        <v>Smelt an iron ingot (Obtain an iron ingot)</v>
      </c>
      <c r="K65" s="237" t="s">
        <v>518</v>
      </c>
      <c r="L65" s="238"/>
      <c r="M65" s="237" t="s">
        <v>519</v>
      </c>
      <c r="N65" s="237" t="s">
        <v>520</v>
      </c>
      <c r="O65" s="239" t="s">
        <v>521</v>
      </c>
      <c r="P65" s="240" t="s">
        <v>189</v>
      </c>
      <c r="Q65" s="241" t="s">
        <v>522</v>
      </c>
      <c r="R65" s="240" t="s">
        <v>194</v>
      </c>
      <c r="S65" s="241"/>
    </row>
    <row r="66">
      <c r="A66" s="230">
        <v>66.0</v>
      </c>
      <c r="B66" s="230" t="s">
        <v>188</v>
      </c>
      <c r="C66" s="231"/>
      <c r="D66" s="232"/>
      <c r="E66" s="232">
        <f>IFERROR(__xludf.DUMMYFUNCTION("iferror(SPLIT(D66,""/""),split(""0/0"",""/""))"),0.0)</f>
        <v>0</v>
      </c>
      <c r="F66" s="232">
        <f>IFERROR(__xludf.DUMMYFUNCTION("""COMPUTED_VALUE"""),0.0)</f>
        <v>0</v>
      </c>
      <c r="G66" s="247" t="b">
        <v>0</v>
      </c>
      <c r="H66" s="242" t="str">
        <f t="shared" si="1"/>
        <v/>
      </c>
      <c r="I66" s="243" t="s">
        <v>523</v>
      </c>
      <c r="J66" s="236" t="str">
        <f t="shared" si="2"/>
        <v>Craft or find iron nuggets</v>
      </c>
      <c r="K66" s="237"/>
      <c r="L66" s="238"/>
      <c r="M66" s="237"/>
      <c r="N66" s="237" t="s">
        <v>524</v>
      </c>
      <c r="O66" s="239" t="s">
        <v>525</v>
      </c>
      <c r="P66" s="240" t="s">
        <v>189</v>
      </c>
      <c r="Q66" s="241" t="s">
        <v>526</v>
      </c>
      <c r="R66" s="240" t="s">
        <v>194</v>
      </c>
      <c r="S66" s="241"/>
    </row>
    <row r="67">
      <c r="A67" s="230">
        <v>67.0</v>
      </c>
      <c r="B67" s="230" t="s">
        <v>188</v>
      </c>
      <c r="C67" s="231"/>
      <c r="D67" s="232"/>
      <c r="E67" s="232">
        <f>IFERROR(__xludf.DUMMYFUNCTION("iferror(SPLIT(D67,""/""),split(""0/0"",""/""))"),0.0)</f>
        <v>0</v>
      </c>
      <c r="F67" s="232">
        <f>IFERROR(__xludf.DUMMYFUNCTION("""COMPUTED_VALUE"""),0.0)</f>
        <v>0</v>
      </c>
      <c r="G67" s="247" t="b">
        <v>0</v>
      </c>
      <c r="H67" s="242" t="str">
        <f t="shared" si="1"/>
        <v/>
      </c>
      <c r="I67" s="243" t="s">
        <v>527</v>
      </c>
      <c r="J67" s="236" t="str">
        <f t="shared" si="2"/>
        <v>Upgrade your pickaxe (Obtain an iron pickaxe)</v>
      </c>
      <c r="K67" s="237"/>
      <c r="L67" s="238"/>
      <c r="M67" s="237" t="s">
        <v>528</v>
      </c>
      <c r="N67" s="237" t="s">
        <v>529</v>
      </c>
      <c r="O67" s="239" t="s">
        <v>530</v>
      </c>
      <c r="P67" s="240" t="s">
        <v>189</v>
      </c>
      <c r="Q67" s="241" t="s">
        <v>531</v>
      </c>
      <c r="R67" s="240" t="s">
        <v>194</v>
      </c>
      <c r="S67" s="241"/>
    </row>
    <row r="68">
      <c r="A68" s="230">
        <v>68.0</v>
      </c>
      <c r="B68" s="230" t="s">
        <v>188</v>
      </c>
      <c r="C68" s="231"/>
      <c r="D68" s="232"/>
      <c r="E68" s="232">
        <f>IFERROR(__xludf.DUMMYFUNCTION("iferror(SPLIT(D68,""/""),split(""0/0"",""/""))"),0.0)</f>
        <v>0</v>
      </c>
      <c r="F68" s="232">
        <f>IFERROR(__xludf.DUMMYFUNCTION("""COMPUTED_VALUE"""),0.0)</f>
        <v>0</v>
      </c>
      <c r="G68" s="247" t="b">
        <v>0</v>
      </c>
      <c r="H68" s="242" t="str">
        <f t="shared" si="1"/>
        <v/>
      </c>
      <c r="I68" s="243" t="s">
        <v>532</v>
      </c>
      <c r="J68" s="236" t="str">
        <f t="shared" si="2"/>
        <v>Protect yourself with a piece of iron armor (Wear either an iron helmet, chestplate, leggings, or boots)</v>
      </c>
      <c r="K68" s="237" t="s">
        <v>518</v>
      </c>
      <c r="L68" s="238"/>
      <c r="M68" s="237" t="s">
        <v>533</v>
      </c>
      <c r="N68" s="237" t="s">
        <v>534</v>
      </c>
      <c r="O68" s="239" t="s">
        <v>535</v>
      </c>
      <c r="P68" s="240" t="s">
        <v>189</v>
      </c>
      <c r="Q68" s="241" t="s">
        <v>536</v>
      </c>
      <c r="R68" s="240" t="s">
        <v>194</v>
      </c>
      <c r="S68" s="241"/>
    </row>
    <row r="69">
      <c r="A69" s="230">
        <v>69.0</v>
      </c>
      <c r="B69" s="230" t="s">
        <v>206</v>
      </c>
      <c r="C69" s="231"/>
      <c r="D69" s="232"/>
      <c r="E69" s="232">
        <f>IFERROR(__xludf.DUMMYFUNCTION("iferror(SPLIT(D69,""/""),split(""0/0"",""/""))"),0.0)</f>
        <v>0</v>
      </c>
      <c r="F69" s="232">
        <f>IFERROR(__xludf.DUMMYFUNCTION("""COMPUTED_VALUE"""),0.0)</f>
        <v>0</v>
      </c>
      <c r="G69" s="247" t="b">
        <v>0</v>
      </c>
      <c r="H69" s="242" t="str">
        <f t="shared" si="1"/>
        <v/>
      </c>
      <c r="I69" s="246" t="s">
        <v>537</v>
      </c>
      <c r="J69" s="236" t="str">
        <f t="shared" si="2"/>
        <v>Wear a full suit of iron armor (Wear an iron helmet, chestplate, leggings, and boots at the same time)</v>
      </c>
      <c r="K69" s="237" t="s">
        <v>538</v>
      </c>
      <c r="L69" s="238"/>
      <c r="M69" s="237" t="s">
        <v>539</v>
      </c>
      <c r="N69" s="237" t="s">
        <v>540</v>
      </c>
      <c r="O69" s="239" t="s">
        <v>541</v>
      </c>
      <c r="P69" s="240" t="s">
        <v>189</v>
      </c>
      <c r="Q69" s="241" t="s">
        <v>542</v>
      </c>
      <c r="R69" s="240" t="s">
        <v>194</v>
      </c>
      <c r="S69" s="241"/>
    </row>
    <row r="70">
      <c r="A70" s="230">
        <v>70.0</v>
      </c>
      <c r="B70" s="230" t="s">
        <v>188</v>
      </c>
      <c r="C70" s="231"/>
      <c r="D70" s="232"/>
      <c r="E70" s="232">
        <f>IFERROR(__xludf.DUMMYFUNCTION("iferror(SPLIT(D70,""/""),split(""0/0"",""/""))"),0.0)</f>
        <v>0</v>
      </c>
      <c r="F70" s="232">
        <f>IFERROR(__xludf.DUMMYFUNCTION("""COMPUTED_VALUE"""),0.0)</f>
        <v>0</v>
      </c>
      <c r="G70" s="233" t="b">
        <v>0</v>
      </c>
      <c r="H70" s="242" t="str">
        <f t="shared" si="1"/>
        <v/>
      </c>
      <c r="I70" s="246" t="s">
        <v>543</v>
      </c>
      <c r="J70" s="236" t="str">
        <f t="shared" si="2"/>
        <v>Mine a stack of Raw Iron</v>
      </c>
      <c r="K70" s="237" t="s">
        <v>544</v>
      </c>
      <c r="L70" s="238"/>
      <c r="M70" s="237"/>
      <c r="N70" s="237" t="s">
        <v>545</v>
      </c>
      <c r="O70" s="239" t="s">
        <v>546</v>
      </c>
      <c r="P70" s="240" t="s">
        <v>189</v>
      </c>
      <c r="Q70" s="241" t="s">
        <v>547</v>
      </c>
      <c r="R70" s="240" t="s">
        <v>194</v>
      </c>
      <c r="S70" s="241"/>
    </row>
    <row r="71">
      <c r="A71" s="230">
        <v>71.0</v>
      </c>
      <c r="B71" s="230" t="s">
        <v>188</v>
      </c>
      <c r="C71" s="231"/>
      <c r="D71" s="232"/>
      <c r="E71" s="232">
        <f>IFERROR(__xludf.DUMMYFUNCTION("iferror(SPLIT(D71,""/""),split(""0/0"",""/""))"),0.0)</f>
        <v>0</v>
      </c>
      <c r="F71" s="232">
        <f>IFERROR(__xludf.DUMMYFUNCTION("""COMPUTED_VALUE"""),0.0)</f>
        <v>0</v>
      </c>
      <c r="G71" s="233" t="b">
        <v>0</v>
      </c>
      <c r="H71" s="242" t="str">
        <f t="shared" si="1"/>
        <v/>
      </c>
      <c r="I71" s="249" t="s">
        <v>548</v>
      </c>
      <c r="J71" s="236" t="str">
        <f t="shared" si="2"/>
        <v>Mine enough iron to make a stack of iron blocks</v>
      </c>
      <c r="K71" s="237" t="s">
        <v>549</v>
      </c>
      <c r="L71" s="238"/>
      <c r="M71" s="237"/>
      <c r="N71" s="237" t="s">
        <v>550</v>
      </c>
      <c r="O71" s="239" t="s">
        <v>551</v>
      </c>
      <c r="P71" s="240" t="s">
        <v>189</v>
      </c>
      <c r="Q71" s="241" t="s">
        <v>552</v>
      </c>
      <c r="R71" s="240" t="s">
        <v>194</v>
      </c>
      <c r="S71" s="241"/>
    </row>
    <row r="72">
      <c r="A72" s="230">
        <v>72.0</v>
      </c>
      <c r="B72" s="230" t="s">
        <v>188</v>
      </c>
      <c r="C72" s="231"/>
      <c r="D72" s="232"/>
      <c r="E72" s="232">
        <f>IFERROR(__xludf.DUMMYFUNCTION("iferror(SPLIT(D72,""/""),split(""0/0"",""/""))"),0.0)</f>
        <v>0</v>
      </c>
      <c r="F72" s="232">
        <f>IFERROR(__xludf.DUMMYFUNCTION("""COMPUTED_VALUE"""),0.0)</f>
        <v>0</v>
      </c>
      <c r="G72" s="233" t="b">
        <v>0</v>
      </c>
      <c r="H72" s="242" t="str">
        <f t="shared" si="1"/>
        <v/>
      </c>
      <c r="I72" s="243" t="s">
        <v>553</v>
      </c>
      <c r="J72" s="236" t="str">
        <f t="shared" si="2"/>
        <v>Smelt a gold ingot (Obtain a gold ingot)</v>
      </c>
      <c r="K72" s="237" t="s">
        <v>554</v>
      </c>
      <c r="L72" s="238"/>
      <c r="M72" s="237" t="s">
        <v>555</v>
      </c>
      <c r="N72" s="237" t="s">
        <v>556</v>
      </c>
      <c r="O72" s="239" t="s">
        <v>557</v>
      </c>
      <c r="P72" s="240" t="s">
        <v>189</v>
      </c>
      <c r="Q72" s="241" t="s">
        <v>558</v>
      </c>
      <c r="R72" s="240" t="s">
        <v>194</v>
      </c>
      <c r="S72" s="241"/>
    </row>
    <row r="73">
      <c r="A73" s="230">
        <v>73.0</v>
      </c>
      <c r="B73" s="230" t="s">
        <v>188</v>
      </c>
      <c r="C73" s="231"/>
      <c r="D73" s="232"/>
      <c r="E73" s="232">
        <f>IFERROR(__xludf.DUMMYFUNCTION("iferror(SPLIT(D73,""/""),split(""0/0"",""/""))"),0.0)</f>
        <v>0</v>
      </c>
      <c r="F73" s="232">
        <f>IFERROR(__xludf.DUMMYFUNCTION("""COMPUTED_VALUE"""),0.0)</f>
        <v>0</v>
      </c>
      <c r="G73" s="233" t="b">
        <v>0</v>
      </c>
      <c r="H73" s="242" t="str">
        <f t="shared" si="1"/>
        <v/>
      </c>
      <c r="I73" s="243" t="s">
        <v>559</v>
      </c>
      <c r="J73" s="236" t="str">
        <f t="shared" si="2"/>
        <v>Make yourself shiny with golden armor (Wear either a golden helmet, chestplate, leggings or boots)</v>
      </c>
      <c r="K73" s="237" t="s">
        <v>554</v>
      </c>
      <c r="L73" s="238"/>
      <c r="M73" s="237" t="s">
        <v>560</v>
      </c>
      <c r="N73" s="237" t="s">
        <v>561</v>
      </c>
      <c r="O73" s="239" t="s">
        <v>562</v>
      </c>
      <c r="P73" s="240" t="s">
        <v>189</v>
      </c>
      <c r="Q73" s="241" t="s">
        <v>563</v>
      </c>
      <c r="R73" s="240" t="s">
        <v>194</v>
      </c>
      <c r="S73" s="241"/>
    </row>
    <row r="74">
      <c r="A74" s="230">
        <v>74.0</v>
      </c>
      <c r="B74" s="230" t="s">
        <v>283</v>
      </c>
      <c r="C74" s="231"/>
      <c r="D74" s="232"/>
      <c r="E74" s="232">
        <f>IFERROR(__xludf.DUMMYFUNCTION("iferror(SPLIT(D74,""/""),split(""0/0"",""/""))"),0.0)</f>
        <v>0</v>
      </c>
      <c r="F74" s="232">
        <f>IFERROR(__xludf.DUMMYFUNCTION("""COMPUTED_VALUE"""),0.0)</f>
        <v>0</v>
      </c>
      <c r="G74" s="233" t="b">
        <v>0</v>
      </c>
      <c r="H74" s="242" t="str">
        <f t="shared" si="1"/>
        <v/>
      </c>
      <c r="I74" s="249" t="s">
        <v>564</v>
      </c>
      <c r="J74" s="236" t="str">
        <f t="shared" si="2"/>
        <v>Put Mending on a piece of golden armor and realise what you are doing in life (Obtain a golden helmet, chestplate, leggings or boots enchanted with Mending)</v>
      </c>
      <c r="K74" s="237"/>
      <c r="L74" s="238"/>
      <c r="M74" s="237" t="s">
        <v>565</v>
      </c>
      <c r="N74" s="237" t="s">
        <v>566</v>
      </c>
      <c r="O74" s="239" t="s">
        <v>567</v>
      </c>
      <c r="P74" s="240" t="s">
        <v>189</v>
      </c>
      <c r="Q74" s="241" t="s">
        <v>568</v>
      </c>
      <c r="R74" s="240" t="s">
        <v>194</v>
      </c>
      <c r="S74" s="241" t="s">
        <v>290</v>
      </c>
    </row>
    <row r="75">
      <c r="A75" s="230">
        <v>75.0</v>
      </c>
      <c r="B75" s="230" t="s">
        <v>188</v>
      </c>
      <c r="C75" s="231"/>
      <c r="D75" s="232"/>
      <c r="E75" s="232">
        <f>IFERROR(__xludf.DUMMYFUNCTION("iferror(SPLIT(D75,""/""),split(""0/0"",""/""))"),0.0)</f>
        <v>0</v>
      </c>
      <c r="F75" s="232">
        <f>IFERROR(__xludf.DUMMYFUNCTION("""COMPUTED_VALUE"""),0.0)</f>
        <v>0</v>
      </c>
      <c r="G75" s="233" t="b">
        <v>0</v>
      </c>
      <c r="H75" s="242" t="str">
        <f t="shared" si="1"/>
        <v/>
      </c>
      <c r="I75" s="246" t="s">
        <v>569</v>
      </c>
      <c r="J75" s="236" t="str">
        <f t="shared" si="2"/>
        <v>Mine a stack of Raw Gold</v>
      </c>
      <c r="K75" s="237" t="s">
        <v>570</v>
      </c>
      <c r="L75" s="238"/>
      <c r="M75" s="237"/>
      <c r="N75" s="237" t="s">
        <v>571</v>
      </c>
      <c r="O75" s="239" t="s">
        <v>572</v>
      </c>
      <c r="P75" s="240" t="s">
        <v>189</v>
      </c>
      <c r="Q75" s="241" t="s">
        <v>573</v>
      </c>
      <c r="R75" s="240" t="s">
        <v>194</v>
      </c>
      <c r="S75" s="241"/>
    </row>
    <row r="76">
      <c r="A76" s="230">
        <v>76.0</v>
      </c>
      <c r="B76" s="230" t="s">
        <v>188</v>
      </c>
      <c r="C76" s="231"/>
      <c r="D76" s="232"/>
      <c r="E76" s="232">
        <f>IFERROR(__xludf.DUMMYFUNCTION("iferror(SPLIT(D76,""/""),split(""0/0"",""/""))"),0.0)</f>
        <v>0</v>
      </c>
      <c r="F76" s="232">
        <f>IFERROR(__xludf.DUMMYFUNCTION("""COMPUTED_VALUE"""),0.0)</f>
        <v>0</v>
      </c>
      <c r="G76" s="233" t="b">
        <v>0</v>
      </c>
      <c r="H76" s="242" t="str">
        <f t="shared" si="1"/>
        <v/>
      </c>
      <c r="I76" s="249" t="s">
        <v>574</v>
      </c>
      <c r="J76" s="236" t="str">
        <f t="shared" si="2"/>
        <v>Mine enough gold to make a stack of gold blocks</v>
      </c>
      <c r="K76" s="237" t="s">
        <v>575</v>
      </c>
      <c r="L76" s="238"/>
      <c r="M76" s="237"/>
      <c r="N76" s="237" t="s">
        <v>576</v>
      </c>
      <c r="O76" s="239" t="s">
        <v>577</v>
      </c>
      <c r="P76" s="240" t="s">
        <v>189</v>
      </c>
      <c r="Q76" s="241" t="s">
        <v>578</v>
      </c>
      <c r="R76" s="240" t="s">
        <v>194</v>
      </c>
      <c r="S76" s="241"/>
    </row>
    <row r="77">
      <c r="A77" s="230">
        <v>77.0</v>
      </c>
      <c r="B77" s="230" t="s">
        <v>188</v>
      </c>
      <c r="C77" s="231"/>
      <c r="D77" s="232"/>
      <c r="E77" s="232">
        <f>IFERROR(__xludf.DUMMYFUNCTION("iferror(SPLIT(D77,""/""),split(""0/0"",""/""))"),0.0)</f>
        <v>0</v>
      </c>
      <c r="F77" s="232">
        <f>IFERROR(__xludf.DUMMYFUNCTION("""COMPUTED_VALUE"""),0.0)</f>
        <v>0</v>
      </c>
      <c r="G77" s="247" t="b">
        <v>0</v>
      </c>
      <c r="H77" s="242" t="str">
        <f t="shared" si="1"/>
        <v/>
      </c>
      <c r="I77" s="246" t="s">
        <v>579</v>
      </c>
      <c r="J77" s="236" t="str">
        <f t="shared" si="2"/>
        <v>Completely use up a golden pickaxe and then seriously reevaluate your life choices (Break a golden pickaxe)</v>
      </c>
      <c r="K77" s="237"/>
      <c r="L77" s="238"/>
      <c r="M77" s="237" t="s">
        <v>580</v>
      </c>
      <c r="N77" s="237" t="s">
        <v>581</v>
      </c>
      <c r="O77" s="239" t="s">
        <v>582</v>
      </c>
      <c r="P77" s="240" t="s">
        <v>189</v>
      </c>
      <c r="Q77" s="241" t="s">
        <v>583</v>
      </c>
      <c r="R77" s="240" t="s">
        <v>194</v>
      </c>
      <c r="S77" s="241"/>
    </row>
    <row r="78">
      <c r="A78" s="230">
        <v>78.0</v>
      </c>
      <c r="B78" s="230" t="s">
        <v>188</v>
      </c>
      <c r="C78" s="231"/>
      <c r="D78" s="232"/>
      <c r="E78" s="232">
        <f>IFERROR(__xludf.DUMMYFUNCTION("iferror(SPLIT(D78,""/""),split(""0/0"",""/""))"),0.0)</f>
        <v>0</v>
      </c>
      <c r="F78" s="232">
        <f>IFERROR(__xludf.DUMMYFUNCTION("""COMPUTED_VALUE"""),0.0)</f>
        <v>0</v>
      </c>
      <c r="G78" s="247" t="b">
        <v>0</v>
      </c>
      <c r="H78" s="242" t="str">
        <f t="shared" si="1"/>
        <v/>
      </c>
      <c r="I78" s="249" t="s">
        <v>584</v>
      </c>
      <c r="J78" s="236" t="str">
        <f t="shared" si="2"/>
        <v>Break all six types of shovels (Break a wooden, stone, iron, golden, diamond and netherite shovel)</v>
      </c>
      <c r="K78" s="237"/>
      <c r="L78" s="238"/>
      <c r="M78" s="237" t="s">
        <v>585</v>
      </c>
      <c r="N78" s="237" t="s">
        <v>586</v>
      </c>
      <c r="O78" s="239" t="s">
        <v>587</v>
      </c>
      <c r="P78" s="240" t="s">
        <v>189</v>
      </c>
      <c r="Q78" s="241" t="s">
        <v>588</v>
      </c>
      <c r="R78" s="240" t="s">
        <v>194</v>
      </c>
      <c r="S78" s="241"/>
    </row>
    <row r="79">
      <c r="A79" s="230">
        <v>79.0</v>
      </c>
      <c r="B79" s="230" t="s">
        <v>257</v>
      </c>
      <c r="C79" s="231"/>
      <c r="D79" s="232"/>
      <c r="E79" s="232">
        <f>IFERROR(__xludf.DUMMYFUNCTION("iferror(SPLIT(D79,""/""),split(""0/0"",""/""))"),0.0)</f>
        <v>0</v>
      </c>
      <c r="F79" s="232">
        <f>IFERROR(__xludf.DUMMYFUNCTION("""COMPUTED_VALUE"""),0.0)</f>
        <v>0</v>
      </c>
      <c r="G79" s="247" t="b">
        <v>0</v>
      </c>
      <c r="H79" s="242" t="str">
        <f t="shared" si="1"/>
        <v/>
      </c>
      <c r="I79" s="249" t="s">
        <v>589</v>
      </c>
      <c r="J79" s="236" t="str">
        <f t="shared" si="2"/>
        <v>Break every single tool in the game (See requirement notes below)</v>
      </c>
      <c r="K79" s="237" t="s">
        <v>590</v>
      </c>
      <c r="L79" s="238"/>
      <c r="M79" s="248" t="s">
        <v>238</v>
      </c>
      <c r="N79" s="237" t="s">
        <v>591</v>
      </c>
      <c r="O79" s="239" t="s">
        <v>592</v>
      </c>
      <c r="P79" s="240" t="s">
        <v>189</v>
      </c>
      <c r="Q79" s="241" t="s">
        <v>593</v>
      </c>
      <c r="R79" s="240" t="s">
        <v>194</v>
      </c>
      <c r="S79" s="241" t="s">
        <v>594</v>
      </c>
    </row>
    <row r="80">
      <c r="A80" s="230">
        <v>80.0</v>
      </c>
      <c r="B80" s="230" t="s">
        <v>257</v>
      </c>
      <c r="C80" s="231"/>
      <c r="D80" s="232"/>
      <c r="E80" s="232">
        <f>IFERROR(__xludf.DUMMYFUNCTION("iferror(SPLIT(D80,""/""),split(""0/0"",""/""))"),0.0)</f>
        <v>0</v>
      </c>
      <c r="F80" s="232">
        <f>IFERROR(__xludf.DUMMYFUNCTION("""COMPUTED_VALUE"""),0.0)</f>
        <v>0</v>
      </c>
      <c r="G80" s="247" t="b">
        <v>0</v>
      </c>
      <c r="H80" s="242" t="str">
        <f t="shared" si="1"/>
        <v/>
      </c>
      <c r="I80" s="249" t="s">
        <v>595</v>
      </c>
      <c r="J80" s="236" t="str">
        <f t="shared" si="2"/>
        <v>Break every type of armor piece in the game (See requirement notes below)</v>
      </c>
      <c r="K80" s="237" t="s">
        <v>590</v>
      </c>
      <c r="L80" s="238"/>
      <c r="M80" s="248" t="s">
        <v>238</v>
      </c>
      <c r="N80" s="237" t="s">
        <v>596</v>
      </c>
      <c r="O80" s="239" t="s">
        <v>597</v>
      </c>
      <c r="P80" s="240" t="s">
        <v>189</v>
      </c>
      <c r="Q80" s="241" t="s">
        <v>598</v>
      </c>
      <c r="R80" s="240" t="s">
        <v>194</v>
      </c>
      <c r="S80" s="241" t="s">
        <v>594</v>
      </c>
    </row>
    <row r="81">
      <c r="A81" s="230">
        <v>81.0</v>
      </c>
      <c r="B81" s="230" t="s">
        <v>188</v>
      </c>
      <c r="C81" s="231"/>
      <c r="D81" s="232"/>
      <c r="E81" s="232">
        <f>IFERROR(__xludf.DUMMYFUNCTION("iferror(SPLIT(D81,""/""),split(""0/0"",""/""))"),0.0)</f>
        <v>0</v>
      </c>
      <c r="F81" s="232">
        <f>IFERROR(__xludf.DUMMYFUNCTION("""COMPUTED_VALUE"""),0.0)</f>
        <v>0</v>
      </c>
      <c r="G81" s="233" t="b">
        <v>0</v>
      </c>
      <c r="H81" s="242" t="str">
        <f t="shared" si="1"/>
        <v/>
      </c>
      <c r="I81" s="251" t="s">
        <v>599</v>
      </c>
      <c r="J81" s="236" t="str">
        <f t="shared" si="2"/>
        <v>It's still useful for enchanting (Obtain lapis lazuli)</v>
      </c>
      <c r="K81" s="237" t="s">
        <v>600</v>
      </c>
      <c r="L81" s="238"/>
      <c r="M81" s="237" t="s">
        <v>601</v>
      </c>
      <c r="N81" s="237" t="s">
        <v>602</v>
      </c>
      <c r="O81" s="239" t="s">
        <v>603</v>
      </c>
      <c r="P81" s="240" t="s">
        <v>189</v>
      </c>
      <c r="Q81" s="241" t="s">
        <v>604</v>
      </c>
      <c r="R81" s="240" t="s">
        <v>194</v>
      </c>
      <c r="S81" s="241"/>
    </row>
    <row r="82">
      <c r="A82" s="230">
        <v>82.0</v>
      </c>
      <c r="B82" s="230" t="s">
        <v>188</v>
      </c>
      <c r="C82" s="231"/>
      <c r="D82" s="232"/>
      <c r="E82" s="232">
        <f>IFERROR(__xludf.DUMMYFUNCTION("iferror(SPLIT(D82,""/""),split(""0/0"",""/""))"),0.0)</f>
        <v>0</v>
      </c>
      <c r="F82" s="232">
        <f>IFERROR(__xludf.DUMMYFUNCTION("""COMPUTED_VALUE"""),0.0)</f>
        <v>0</v>
      </c>
      <c r="G82" s="247" t="b">
        <v>0</v>
      </c>
      <c r="H82" s="242" t="str">
        <f t="shared" si="1"/>
        <v/>
      </c>
      <c r="I82" s="246" t="s">
        <v>605</v>
      </c>
      <c r="J82" s="236" t="str">
        <f t="shared" si="2"/>
        <v>Mine enough lapis lazuli to craft a stack of lapis lazuli blocks</v>
      </c>
      <c r="K82" s="237" t="s">
        <v>606</v>
      </c>
      <c r="L82" s="238"/>
      <c r="M82" s="237"/>
      <c r="N82" s="237" t="s">
        <v>607</v>
      </c>
      <c r="O82" s="239" t="s">
        <v>608</v>
      </c>
      <c r="P82" s="240" t="s">
        <v>189</v>
      </c>
      <c r="Q82" s="241" t="s">
        <v>609</v>
      </c>
      <c r="R82" s="240" t="s">
        <v>194</v>
      </c>
      <c r="S82" s="241"/>
    </row>
    <row r="83">
      <c r="A83" s="230">
        <v>83.0</v>
      </c>
      <c r="B83" s="230" t="s">
        <v>188</v>
      </c>
      <c r="C83" s="231"/>
      <c r="D83" s="232"/>
      <c r="E83" s="232">
        <f>IFERROR(__xludf.DUMMYFUNCTION("iferror(SPLIT(D83,""/""),split(""0/0"",""/""))"),0.0)</f>
        <v>0</v>
      </c>
      <c r="F83" s="232">
        <f>IFERROR(__xludf.DUMMYFUNCTION("""COMPUTED_VALUE"""),0.0)</f>
        <v>0</v>
      </c>
      <c r="G83" s="247" t="b">
        <v>0</v>
      </c>
      <c r="H83" s="242" t="str">
        <f t="shared" si="1"/>
        <v/>
      </c>
      <c r="I83" s="243" t="s">
        <v>610</v>
      </c>
      <c r="J83" s="236" t="str">
        <f t="shared" si="2"/>
        <v>Mine some redstone from the deepest caves (Obtain redstone dust)</v>
      </c>
      <c r="K83" s="237" t="s">
        <v>611</v>
      </c>
      <c r="L83" s="238"/>
      <c r="M83" s="237" t="s">
        <v>612</v>
      </c>
      <c r="N83" s="237" t="s">
        <v>613</v>
      </c>
      <c r="O83" s="239" t="s">
        <v>614</v>
      </c>
      <c r="P83" s="240" t="s">
        <v>189</v>
      </c>
      <c r="Q83" s="241" t="s">
        <v>615</v>
      </c>
      <c r="R83" s="240" t="s">
        <v>194</v>
      </c>
      <c r="S83" s="241"/>
    </row>
    <row r="84">
      <c r="A84" s="230">
        <v>84.0</v>
      </c>
      <c r="B84" s="230" t="s">
        <v>188</v>
      </c>
      <c r="C84" s="231"/>
      <c r="D84" s="232"/>
      <c r="E84" s="232">
        <f>IFERROR(__xludf.DUMMYFUNCTION("iferror(SPLIT(D84,""/""),split(""0/0"",""/""))"),0.0)</f>
        <v>0</v>
      </c>
      <c r="F84" s="232">
        <f>IFERROR(__xludf.DUMMYFUNCTION("""COMPUTED_VALUE"""),0.0)</f>
        <v>0</v>
      </c>
      <c r="G84" s="247" t="b">
        <v>0</v>
      </c>
      <c r="H84" s="242" t="str">
        <f t="shared" si="1"/>
        <v/>
      </c>
      <c r="I84" s="243" t="s">
        <v>616</v>
      </c>
      <c r="J84" s="236" t="str">
        <f t="shared" si="2"/>
        <v>Craft a compass in case you forgot where spawn is (Obtain a compass)</v>
      </c>
      <c r="K84" s="237" t="s">
        <v>518</v>
      </c>
      <c r="L84" s="238"/>
      <c r="M84" s="237" t="s">
        <v>617</v>
      </c>
      <c r="N84" s="237" t="s">
        <v>618</v>
      </c>
      <c r="O84" s="239" t="s">
        <v>619</v>
      </c>
      <c r="P84" s="240" t="s">
        <v>189</v>
      </c>
      <c r="Q84" s="241" t="s">
        <v>620</v>
      </c>
      <c r="R84" s="240" t="s">
        <v>194</v>
      </c>
      <c r="S84" s="241"/>
    </row>
    <row r="85">
      <c r="A85" s="230">
        <v>85.0</v>
      </c>
      <c r="B85" s="230" t="s">
        <v>188</v>
      </c>
      <c r="C85" s="231"/>
      <c r="D85" s="232"/>
      <c r="E85" s="232">
        <f>IFERROR(__xludf.DUMMYFUNCTION("iferror(SPLIT(D85,""/""),split(""0/0"",""/""))"),0.0)</f>
        <v>0</v>
      </c>
      <c r="F85" s="232">
        <f>IFERROR(__xludf.DUMMYFUNCTION("""COMPUTED_VALUE"""),0.0)</f>
        <v>0</v>
      </c>
      <c r="G85" s="247" t="b">
        <v>0</v>
      </c>
      <c r="H85" s="242" t="str">
        <f t="shared" si="1"/>
        <v/>
      </c>
      <c r="I85" s="243" t="s">
        <v>621</v>
      </c>
      <c r="J85" s="236" t="str">
        <f t="shared" si="2"/>
        <v>Time to clean your clocks! (Or, craft them) (Obtain a clock)</v>
      </c>
      <c r="K85" s="237" t="s">
        <v>554</v>
      </c>
      <c r="L85" s="238"/>
      <c r="M85" s="237" t="s">
        <v>622</v>
      </c>
      <c r="N85" s="237" t="s">
        <v>623</v>
      </c>
      <c r="O85" s="239" t="s">
        <v>624</v>
      </c>
      <c r="P85" s="240" t="s">
        <v>189</v>
      </c>
      <c r="Q85" s="241" t="s">
        <v>625</v>
      </c>
      <c r="R85" s="240" t="s">
        <v>194</v>
      </c>
      <c r="S85" s="241"/>
    </row>
    <row r="86">
      <c r="A86" s="230">
        <v>86.0</v>
      </c>
      <c r="B86" s="230" t="s">
        <v>188</v>
      </c>
      <c r="C86" s="231"/>
      <c r="D86" s="232"/>
      <c r="E86" s="232">
        <f>IFERROR(__xludf.DUMMYFUNCTION("iferror(SPLIT(D86,""/""),split(""0/0"",""/""))"),0.0)</f>
        <v>0</v>
      </c>
      <c r="F86" s="232">
        <f>IFERROR(__xludf.DUMMYFUNCTION("""COMPUTED_VALUE"""),0.0)</f>
        <v>0</v>
      </c>
      <c r="G86" s="247" t="b">
        <v>0</v>
      </c>
      <c r="H86" s="242" t="str">
        <f t="shared" si="1"/>
        <v/>
      </c>
      <c r="I86" s="246" t="s">
        <v>626</v>
      </c>
      <c r="J86" s="236" t="str">
        <f t="shared" si="2"/>
        <v>Mine enough redstone to craft a stack of redstone blocks</v>
      </c>
      <c r="K86" s="237" t="s">
        <v>627</v>
      </c>
      <c r="L86" s="238"/>
      <c r="M86" s="237"/>
      <c r="N86" s="237" t="s">
        <v>628</v>
      </c>
      <c r="O86" s="239" t="s">
        <v>629</v>
      </c>
      <c r="P86" s="240" t="s">
        <v>189</v>
      </c>
      <c r="Q86" s="241" t="s">
        <v>630</v>
      </c>
      <c r="R86" s="240" t="s">
        <v>194</v>
      </c>
      <c r="S86" s="241"/>
    </row>
    <row r="87">
      <c r="A87" s="230">
        <v>87.0</v>
      </c>
      <c r="B87" s="230" t="s">
        <v>188</v>
      </c>
      <c r="C87" s="231"/>
      <c r="D87" s="232"/>
      <c r="E87" s="232">
        <f>IFERROR(__xludf.DUMMYFUNCTION("iferror(SPLIT(D87,""/""),split(""0/0"",""/""))"),0.0)</f>
        <v>0</v>
      </c>
      <c r="F87" s="232">
        <f>IFERROR(__xludf.DUMMYFUNCTION("""COMPUTED_VALUE"""),0.0)</f>
        <v>0</v>
      </c>
      <c r="G87" s="247" t="b">
        <v>0</v>
      </c>
      <c r="H87" s="242" t="str">
        <f t="shared" si="1"/>
        <v/>
      </c>
      <c r="I87" s="243" t="s">
        <v>631</v>
      </c>
      <c r="J87" s="236" t="str">
        <f t="shared" si="2"/>
        <v>Find an Amethyst Geode and mine an Amethyst Cluster (Obtain an amethyst shard)</v>
      </c>
      <c r="K87" s="237" t="s">
        <v>632</v>
      </c>
      <c r="L87" s="238"/>
      <c r="M87" s="237" t="s">
        <v>633</v>
      </c>
      <c r="N87" s="237" t="s">
        <v>634</v>
      </c>
      <c r="O87" s="239" t="s">
        <v>635</v>
      </c>
      <c r="P87" s="240" t="s">
        <v>189</v>
      </c>
      <c r="Q87" s="241" t="s">
        <v>636</v>
      </c>
      <c r="R87" s="240" t="s">
        <v>194</v>
      </c>
      <c r="S87" s="241"/>
    </row>
    <row r="88">
      <c r="A88" s="230">
        <v>88.0</v>
      </c>
      <c r="B88" s="230" t="s">
        <v>188</v>
      </c>
      <c r="C88" s="231"/>
      <c r="D88" s="232"/>
      <c r="E88" s="232">
        <f>IFERROR(__xludf.DUMMYFUNCTION("iferror(SPLIT(D88,""/""),split(""0/0"",""/""))"),0.0)</f>
        <v>0</v>
      </c>
      <c r="F88" s="232">
        <f>IFERROR(__xludf.DUMMYFUNCTION("""COMPUTED_VALUE"""),0.0)</f>
        <v>0</v>
      </c>
      <c r="G88" s="247" t="b">
        <v>0</v>
      </c>
      <c r="H88" s="242" t="str">
        <f t="shared" si="1"/>
        <v/>
      </c>
      <c r="I88" s="243" t="s">
        <v>637</v>
      </c>
      <c r="J88" s="236" t="str">
        <f t="shared" si="2"/>
        <v>Mine some Calcite encasing an Amethyst Geode (Obtain calcite)</v>
      </c>
      <c r="K88" s="237"/>
      <c r="L88" s="238"/>
      <c r="M88" s="237" t="s">
        <v>638</v>
      </c>
      <c r="N88" s="237" t="s">
        <v>639</v>
      </c>
      <c r="O88" s="239" t="s">
        <v>640</v>
      </c>
      <c r="P88" s="240" t="s">
        <v>189</v>
      </c>
      <c r="Q88" s="241" t="s">
        <v>641</v>
      </c>
      <c r="R88" s="240" t="s">
        <v>194</v>
      </c>
      <c r="S88" s="241"/>
    </row>
    <row r="89">
      <c r="A89" s="230">
        <v>89.0</v>
      </c>
      <c r="B89" s="230" t="s">
        <v>188</v>
      </c>
      <c r="C89" s="231"/>
      <c r="D89" s="232"/>
      <c r="E89" s="232">
        <f>IFERROR(__xludf.DUMMYFUNCTION("iferror(SPLIT(D89,""/""),split(""0/0"",""/""))"),0.0)</f>
        <v>0</v>
      </c>
      <c r="F89" s="232">
        <f>IFERROR(__xludf.DUMMYFUNCTION("""COMPUTED_VALUE"""),0.0)</f>
        <v>0</v>
      </c>
      <c r="G89" s="247" t="b">
        <v>0</v>
      </c>
      <c r="H89" s="242" t="str">
        <f t="shared" si="1"/>
        <v/>
      </c>
      <c r="I89" s="243" t="s">
        <v>642</v>
      </c>
      <c r="J89" s="236" t="str">
        <f t="shared" si="2"/>
        <v>Zoom in on something using a Spyglass (Zoom in using a spyglass)</v>
      </c>
      <c r="K89" s="237"/>
      <c r="L89" s="238"/>
      <c r="M89" s="237" t="s">
        <v>643</v>
      </c>
      <c r="N89" s="237" t="s">
        <v>644</v>
      </c>
      <c r="O89" s="239" t="s">
        <v>645</v>
      </c>
      <c r="P89" s="240" t="s">
        <v>189</v>
      </c>
      <c r="Q89" s="241" t="s">
        <v>646</v>
      </c>
      <c r="R89" s="240" t="s">
        <v>194</v>
      </c>
      <c r="S89" s="241"/>
    </row>
    <row r="90">
      <c r="A90" s="230">
        <v>90.0</v>
      </c>
      <c r="B90" s="230" t="s">
        <v>283</v>
      </c>
      <c r="C90" s="231"/>
      <c r="D90" s="232"/>
      <c r="E90" s="232">
        <f>IFERROR(__xludf.DUMMYFUNCTION("iferror(SPLIT(D90,""/""),split(""0/0"",""/""))"),0.0)</f>
        <v>0</v>
      </c>
      <c r="F90" s="232">
        <f>IFERROR(__xludf.DUMMYFUNCTION("""COMPUTED_VALUE"""),0.0)</f>
        <v>0</v>
      </c>
      <c r="G90" s="247" t="b">
        <v>0</v>
      </c>
      <c r="H90" s="242" t="str">
        <f t="shared" si="1"/>
        <v/>
      </c>
      <c r="I90" s="243" t="s">
        <v>647</v>
      </c>
      <c r="J90" s="236" t="str">
        <f t="shared" si="2"/>
        <v>Craft Tinted Glass using Glass and Amethyst Shards and use it to block out light (Place tinted glass)</v>
      </c>
      <c r="K90" s="237" t="s">
        <v>648</v>
      </c>
      <c r="L90" s="238"/>
      <c r="M90" s="237" t="s">
        <v>649</v>
      </c>
      <c r="N90" s="237" t="s">
        <v>650</v>
      </c>
      <c r="O90" s="239" t="s">
        <v>651</v>
      </c>
      <c r="P90" s="240" t="s">
        <v>189</v>
      </c>
      <c r="Q90" s="241" t="s">
        <v>652</v>
      </c>
      <c r="R90" s="240" t="s">
        <v>194</v>
      </c>
      <c r="S90" s="241" t="s">
        <v>290</v>
      </c>
    </row>
    <row r="91">
      <c r="A91" s="230">
        <v>91.0</v>
      </c>
      <c r="B91" s="230" t="s">
        <v>188</v>
      </c>
      <c r="C91" s="231"/>
      <c r="D91" s="232"/>
      <c r="E91" s="232">
        <f>IFERROR(__xludf.DUMMYFUNCTION("iferror(SPLIT(D91,""/""),split(""0/0"",""/""))"),0.0)</f>
        <v>0</v>
      </c>
      <c r="F91" s="232">
        <f>IFERROR(__xludf.DUMMYFUNCTION("""COMPUTED_VALUE"""),0.0)</f>
        <v>0</v>
      </c>
      <c r="G91" s="247" t="b">
        <v>0</v>
      </c>
      <c r="H91" s="242" t="str">
        <f t="shared" si="1"/>
        <v/>
      </c>
      <c r="I91" s="249" t="s">
        <v>653</v>
      </c>
      <c r="J91" s="236" t="str">
        <f t="shared" si="2"/>
        <v>Mine a stack of Amethyst Blocks, Amethyst Clusters, and every size of Amethyst Bud (Obtain 64 Amethyst Blocks, Clusters, and Small, Medium and Large Amethyst Buds)</v>
      </c>
      <c r="K91" s="237" t="s">
        <v>654</v>
      </c>
      <c r="L91" s="238"/>
      <c r="M91" s="237" t="s">
        <v>655</v>
      </c>
      <c r="N91" s="237" t="s">
        <v>656</v>
      </c>
      <c r="O91" s="239" t="s">
        <v>657</v>
      </c>
      <c r="P91" s="240" t="s">
        <v>189</v>
      </c>
      <c r="Q91" s="241" t="s">
        <v>658</v>
      </c>
      <c r="R91" s="240" t="s">
        <v>194</v>
      </c>
      <c r="S91" s="241"/>
    </row>
    <row r="92">
      <c r="A92" s="230">
        <v>92.0</v>
      </c>
      <c r="B92" s="230" t="s">
        <v>188</v>
      </c>
      <c r="C92" s="231"/>
      <c r="D92" s="232"/>
      <c r="E92" s="232">
        <f>IFERROR(__xludf.DUMMYFUNCTION("iferror(SPLIT(D92,""/""),split(""0/0"",""/""))"),0.0)</f>
        <v>0</v>
      </c>
      <c r="F92" s="232">
        <f>IFERROR(__xludf.DUMMYFUNCTION("""COMPUTED_VALUE"""),0.0)</f>
        <v>0</v>
      </c>
      <c r="G92" s="247" t="b">
        <v>0</v>
      </c>
      <c r="H92" s="242" t="str">
        <f t="shared" si="1"/>
        <v/>
      </c>
      <c r="I92" s="243" t="s">
        <v>659</v>
      </c>
      <c r="J92" s="236" t="str">
        <f t="shared" si="2"/>
        <v>Obtain diamonds</v>
      </c>
      <c r="K92" s="237" t="s">
        <v>660</v>
      </c>
      <c r="L92" s="238"/>
      <c r="M92" s="237"/>
      <c r="N92" s="237" t="s">
        <v>661</v>
      </c>
      <c r="O92" s="239" t="s">
        <v>662</v>
      </c>
      <c r="P92" s="240" t="s">
        <v>189</v>
      </c>
      <c r="Q92" s="241" t="s">
        <v>663</v>
      </c>
      <c r="R92" s="240" t="s">
        <v>194</v>
      </c>
      <c r="S92" s="241"/>
    </row>
    <row r="93">
      <c r="A93" s="230">
        <v>93.0</v>
      </c>
      <c r="B93" s="230" t="s">
        <v>188</v>
      </c>
      <c r="C93" s="231"/>
      <c r="D93" s="232"/>
      <c r="E93" s="232">
        <f>IFERROR(__xludf.DUMMYFUNCTION("iferror(SPLIT(D93,""/""),split(""0/0"",""/""))"),0.0)</f>
        <v>0</v>
      </c>
      <c r="F93" s="232">
        <f>IFERROR(__xludf.DUMMYFUNCTION("""COMPUTED_VALUE"""),0.0)</f>
        <v>0</v>
      </c>
      <c r="G93" s="247" t="b">
        <v>0</v>
      </c>
      <c r="H93" s="242" t="str">
        <f t="shared" si="1"/>
        <v/>
      </c>
      <c r="I93" s="243" t="s">
        <v>664</v>
      </c>
      <c r="J93" s="236" t="str">
        <f t="shared" si="2"/>
        <v>Create a pickaxe of the highest calibre (Obtain a diamond pickaxe)</v>
      </c>
      <c r="K93" s="237" t="s">
        <v>660</v>
      </c>
      <c r="L93" s="238"/>
      <c r="M93" s="237" t="s">
        <v>665</v>
      </c>
      <c r="N93" s="237" t="s">
        <v>666</v>
      </c>
      <c r="O93" s="239" t="s">
        <v>667</v>
      </c>
      <c r="P93" s="240" t="s">
        <v>189</v>
      </c>
      <c r="Q93" s="241" t="s">
        <v>668</v>
      </c>
      <c r="R93" s="240" t="s">
        <v>194</v>
      </c>
      <c r="S93" s="241"/>
    </row>
    <row r="94">
      <c r="A94" s="230">
        <v>94.0</v>
      </c>
      <c r="B94" s="230" t="s">
        <v>188</v>
      </c>
      <c r="C94" s="231"/>
      <c r="D94" s="232"/>
      <c r="E94" s="232">
        <f>IFERROR(__xludf.DUMMYFUNCTION("iferror(SPLIT(D94,""/""),split(""0/0"",""/""))"),0.0)</f>
        <v>0</v>
      </c>
      <c r="F94" s="232">
        <f>IFERROR(__xludf.DUMMYFUNCTION("""COMPUTED_VALUE"""),0.0)</f>
        <v>0</v>
      </c>
      <c r="G94" s="247" t="b">
        <v>0</v>
      </c>
      <c r="H94" s="242" t="str">
        <f t="shared" si="1"/>
        <v/>
      </c>
      <c r="I94" s="243" t="s">
        <v>669</v>
      </c>
      <c r="J94" s="236" t="str">
        <f t="shared" si="2"/>
        <v>Do you like my sword sword? (Obtain a diamond sword)</v>
      </c>
      <c r="K94" s="237" t="s">
        <v>660</v>
      </c>
      <c r="L94" s="238"/>
      <c r="M94" s="237" t="s">
        <v>670</v>
      </c>
      <c r="N94" s="237" t="s">
        <v>671</v>
      </c>
      <c r="O94" s="239" t="s">
        <v>672</v>
      </c>
      <c r="P94" s="240" t="s">
        <v>189</v>
      </c>
      <c r="Q94" s="241" t="s">
        <v>673</v>
      </c>
      <c r="R94" s="240" t="s">
        <v>194</v>
      </c>
      <c r="S94" s="241"/>
    </row>
    <row r="95">
      <c r="A95" s="230">
        <v>95.0</v>
      </c>
      <c r="B95" s="230" t="s">
        <v>188</v>
      </c>
      <c r="C95" s="231"/>
      <c r="D95" s="232"/>
      <c r="E95" s="232">
        <f>IFERROR(__xludf.DUMMYFUNCTION("iferror(SPLIT(D95,""/""),split(""0/0"",""/""))"),0.0)</f>
        <v>0</v>
      </c>
      <c r="F95" s="232">
        <f>IFERROR(__xludf.DUMMYFUNCTION("""COMPUTED_VALUE"""),0.0)</f>
        <v>0</v>
      </c>
      <c r="G95" s="247" t="b">
        <v>0</v>
      </c>
      <c r="H95" s="242" t="str">
        <f t="shared" si="1"/>
        <v/>
      </c>
      <c r="I95" s="243" t="s">
        <v>674</v>
      </c>
      <c r="J95" s="236" t="str">
        <f t="shared" si="2"/>
        <v>Craft a full diamond tools set (Craft a diamond pickaxe, shovel, axe and hoe)</v>
      </c>
      <c r="K95" s="237" t="s">
        <v>675</v>
      </c>
      <c r="L95" s="238"/>
      <c r="M95" s="237" t="s">
        <v>676</v>
      </c>
      <c r="N95" s="237" t="s">
        <v>677</v>
      </c>
      <c r="O95" s="239" t="s">
        <v>678</v>
      </c>
      <c r="P95" s="240" t="s">
        <v>189</v>
      </c>
      <c r="Q95" s="241" t="s">
        <v>679</v>
      </c>
      <c r="R95" s="240" t="s">
        <v>194</v>
      </c>
      <c r="S95" s="241"/>
    </row>
    <row r="96">
      <c r="A96" s="230">
        <v>96.0</v>
      </c>
      <c r="B96" s="230" t="s">
        <v>188</v>
      </c>
      <c r="C96" s="231"/>
      <c r="D96" s="232"/>
      <c r="E96" s="232">
        <f>IFERROR(__xludf.DUMMYFUNCTION("iferror(SPLIT(D96,""/""),split(""0/0"",""/""))"),0.0)</f>
        <v>0</v>
      </c>
      <c r="F96" s="232">
        <f>IFERROR(__xludf.DUMMYFUNCTION("""COMPUTED_VALUE"""),0.0)</f>
        <v>0</v>
      </c>
      <c r="G96" s="247" t="b">
        <v>0</v>
      </c>
      <c r="H96" s="242" t="str">
        <f t="shared" si="1"/>
        <v/>
      </c>
      <c r="I96" s="246" t="s">
        <v>680</v>
      </c>
      <c r="J96" s="236" t="str">
        <f t="shared" si="2"/>
        <v>Break your first diamond pickaxe</v>
      </c>
      <c r="K96" s="237" t="s">
        <v>675</v>
      </c>
      <c r="L96" s="238"/>
      <c r="M96" s="237"/>
      <c r="N96" s="237" t="s">
        <v>681</v>
      </c>
      <c r="O96" s="239" t="s">
        <v>667</v>
      </c>
      <c r="P96" s="240" t="s">
        <v>189</v>
      </c>
      <c r="Q96" s="241" t="s">
        <v>682</v>
      </c>
      <c r="R96" s="240" t="s">
        <v>194</v>
      </c>
      <c r="S96" s="241"/>
    </row>
    <row r="97">
      <c r="A97" s="230">
        <v>97.0</v>
      </c>
      <c r="B97" s="230" t="s">
        <v>188</v>
      </c>
      <c r="C97" s="231"/>
      <c r="D97" s="232"/>
      <c r="E97" s="232">
        <f>IFERROR(__xludf.DUMMYFUNCTION("iferror(SPLIT(D97,""/""),split(""0/0"",""/""))"),0.0)</f>
        <v>0</v>
      </c>
      <c r="F97" s="232">
        <f>IFERROR(__xludf.DUMMYFUNCTION("""COMPUTED_VALUE"""),0.0)</f>
        <v>0</v>
      </c>
      <c r="G97" s="247" t="b">
        <v>0</v>
      </c>
      <c r="H97" s="242" t="str">
        <f t="shared" si="1"/>
        <v/>
      </c>
      <c r="I97" s="243" t="s">
        <v>683</v>
      </c>
      <c r="J97" s="236" t="str">
        <f t="shared" si="2"/>
        <v>Diamond armor saves lives (Wear either a diamond helmet, chestplate, leggings, or boots)</v>
      </c>
      <c r="K97" s="237" t="s">
        <v>675</v>
      </c>
      <c r="L97" s="238"/>
      <c r="M97" s="237" t="s">
        <v>684</v>
      </c>
      <c r="N97" s="237" t="s">
        <v>685</v>
      </c>
      <c r="O97" s="239" t="s">
        <v>686</v>
      </c>
      <c r="P97" s="240" t="s">
        <v>189</v>
      </c>
      <c r="Q97" s="241" t="s">
        <v>687</v>
      </c>
      <c r="R97" s="240" t="s">
        <v>194</v>
      </c>
      <c r="S97" s="241"/>
    </row>
    <row r="98">
      <c r="A98" s="230">
        <v>98.0</v>
      </c>
      <c r="B98" s="230" t="s">
        <v>206</v>
      </c>
      <c r="C98" s="231"/>
      <c r="D98" s="232"/>
      <c r="E98" s="232">
        <f>IFERROR(__xludf.DUMMYFUNCTION("iferror(SPLIT(D98,""/""),split(""0/0"",""/""))"),0.0)</f>
        <v>0</v>
      </c>
      <c r="F98" s="232">
        <f>IFERROR(__xludf.DUMMYFUNCTION("""COMPUTED_VALUE"""),0.0)</f>
        <v>0</v>
      </c>
      <c r="G98" s="247" t="b">
        <v>0</v>
      </c>
      <c r="H98" s="242" t="str">
        <f t="shared" si="1"/>
        <v/>
      </c>
      <c r="I98" s="246" t="s">
        <v>688</v>
      </c>
      <c r="J98" s="236" t="str">
        <f t="shared" si="2"/>
        <v>A full suit of diamond armor saves even more lives (Wear a diamond helmet, chestplate, leggings, and boots at the same time)</v>
      </c>
      <c r="K98" s="237" t="s">
        <v>689</v>
      </c>
      <c r="L98" s="238"/>
      <c r="M98" s="237" t="s">
        <v>690</v>
      </c>
      <c r="N98" s="237" t="s">
        <v>691</v>
      </c>
      <c r="O98" s="239" t="s">
        <v>692</v>
      </c>
      <c r="P98" s="240" t="s">
        <v>189</v>
      </c>
      <c r="Q98" s="241" t="s">
        <v>693</v>
      </c>
      <c r="R98" s="240" t="s">
        <v>194</v>
      </c>
      <c r="S98" s="241"/>
    </row>
    <row r="99">
      <c r="A99" s="230">
        <v>99.0</v>
      </c>
      <c r="B99" s="230" t="s">
        <v>188</v>
      </c>
      <c r="C99" s="231"/>
      <c r="D99" s="232"/>
      <c r="E99" s="232">
        <f>IFERROR(__xludf.DUMMYFUNCTION("iferror(SPLIT(D99,""/""),split(""0/0"",""/""))"),0.0)</f>
        <v>0</v>
      </c>
      <c r="F99" s="232">
        <f>IFERROR(__xludf.DUMMYFUNCTION("""COMPUTED_VALUE"""),0.0)</f>
        <v>0</v>
      </c>
      <c r="G99" s="247" t="b">
        <v>0</v>
      </c>
      <c r="H99" s="242" t="str">
        <f t="shared" si="1"/>
        <v/>
      </c>
      <c r="I99" s="246" t="s">
        <v>694</v>
      </c>
      <c r="J99" s="236" t="str">
        <f t="shared" si="2"/>
        <v>Mine a stack of diamonds. Good luck!</v>
      </c>
      <c r="K99" s="237" t="s">
        <v>695</v>
      </c>
      <c r="L99" s="238"/>
      <c r="M99" s="237"/>
      <c r="N99" s="237" t="s">
        <v>696</v>
      </c>
      <c r="O99" s="239" t="s">
        <v>697</v>
      </c>
      <c r="P99" s="240" t="s">
        <v>189</v>
      </c>
      <c r="Q99" s="241" t="s">
        <v>698</v>
      </c>
      <c r="R99" s="240" t="s">
        <v>194</v>
      </c>
      <c r="S99" s="241"/>
    </row>
    <row r="100">
      <c r="A100" s="230">
        <v>100.0</v>
      </c>
      <c r="B100" s="230" t="s">
        <v>188</v>
      </c>
      <c r="C100" s="231"/>
      <c r="D100" s="232"/>
      <c r="E100" s="232">
        <f>IFERROR(__xludf.DUMMYFUNCTION("iferror(SPLIT(D100,""/""),split(""0/0"",""/""))"),0.0)</f>
        <v>0</v>
      </c>
      <c r="F100" s="232">
        <f>IFERROR(__xludf.DUMMYFUNCTION("""COMPUTED_VALUE"""),0.0)</f>
        <v>0</v>
      </c>
      <c r="G100" s="247" t="b">
        <v>0</v>
      </c>
      <c r="H100" s="242" t="str">
        <f t="shared" si="1"/>
        <v/>
      </c>
      <c r="I100" s="243" t="s">
        <v>699</v>
      </c>
      <c r="J100" s="236" t="str">
        <f t="shared" si="2"/>
        <v>Throw diamonds at another player or mob (Throw a diamond and have any other entity pick it up)</v>
      </c>
      <c r="K100" s="237" t="s">
        <v>675</v>
      </c>
      <c r="L100" s="238"/>
      <c r="M100" s="237" t="s">
        <v>700</v>
      </c>
      <c r="N100" s="237" t="s">
        <v>701</v>
      </c>
      <c r="O100" s="239" t="s">
        <v>702</v>
      </c>
      <c r="P100" s="240" t="s">
        <v>189</v>
      </c>
      <c r="Q100" s="241" t="s">
        <v>703</v>
      </c>
      <c r="R100" s="240" t="s">
        <v>194</v>
      </c>
      <c r="S100" s="241"/>
    </row>
    <row r="101">
      <c r="A101" s="230">
        <v>101.0</v>
      </c>
      <c r="B101" s="230" t="s">
        <v>188</v>
      </c>
      <c r="C101" s="231"/>
      <c r="D101" s="232"/>
      <c r="E101" s="232">
        <f>IFERROR(__xludf.DUMMYFUNCTION("iferror(SPLIT(D101,""/""),split(""0/0"",""/""))"),0.0)</f>
        <v>0</v>
      </c>
      <c r="F101" s="232">
        <f>IFERROR(__xludf.DUMMYFUNCTION("""COMPUTED_VALUE"""),0.0)</f>
        <v>0</v>
      </c>
      <c r="G101" s="247" t="b">
        <v>0</v>
      </c>
      <c r="H101" s="242" t="str">
        <f t="shared" si="1"/>
        <v/>
      </c>
      <c r="I101" s="246" t="s">
        <v>704</v>
      </c>
      <c r="J101" s="236" t="str">
        <f t="shared" si="2"/>
        <v>Craft every type of mineral block (See requirement notes below)</v>
      </c>
      <c r="K101" s="237"/>
      <c r="L101" s="238"/>
      <c r="M101" s="248" t="s">
        <v>238</v>
      </c>
      <c r="N101" s="237" t="s">
        <v>705</v>
      </c>
      <c r="O101" s="239" t="s">
        <v>706</v>
      </c>
      <c r="P101" s="240" t="s">
        <v>189</v>
      </c>
      <c r="Q101" s="241" t="s">
        <v>707</v>
      </c>
      <c r="R101" s="240" t="s">
        <v>194</v>
      </c>
      <c r="S101" s="241"/>
    </row>
    <row r="102">
      <c r="A102" s="230">
        <v>102.0</v>
      </c>
      <c r="B102" s="230" t="s">
        <v>188</v>
      </c>
      <c r="C102" s="231"/>
      <c r="D102" s="232"/>
      <c r="E102" s="232">
        <f>IFERROR(__xludf.DUMMYFUNCTION("iferror(SPLIT(D102,""/""),split(""0/0"",""/""))"),0.0)</f>
        <v>0</v>
      </c>
      <c r="F102" s="232">
        <f>IFERROR(__xludf.DUMMYFUNCTION("""COMPUTED_VALUE"""),0.0)</f>
        <v>0</v>
      </c>
      <c r="G102" s="247" t="b">
        <v>0</v>
      </c>
      <c r="H102" s="242" t="str">
        <f t="shared" si="1"/>
        <v/>
      </c>
      <c r="I102" s="249" t="s">
        <v>708</v>
      </c>
      <c r="J102" s="236" t="str">
        <f t="shared" si="2"/>
        <v>Mine enough diamond to make a stack of diamond blocks</v>
      </c>
      <c r="K102" s="237" t="s">
        <v>709</v>
      </c>
      <c r="L102" s="238"/>
      <c r="M102" s="237"/>
      <c r="N102" s="237" t="s">
        <v>710</v>
      </c>
      <c r="O102" s="239" t="s">
        <v>711</v>
      </c>
      <c r="P102" s="240" t="s">
        <v>189</v>
      </c>
      <c r="Q102" s="241" t="s">
        <v>712</v>
      </c>
      <c r="R102" s="240" t="s">
        <v>194</v>
      </c>
      <c r="S102" s="241"/>
    </row>
    <row r="103">
      <c r="A103" s="230">
        <v>103.0</v>
      </c>
      <c r="B103" s="230" t="s">
        <v>188</v>
      </c>
      <c r="C103" s="231"/>
      <c r="D103" s="232"/>
      <c r="E103" s="232">
        <f>IFERROR(__xludf.DUMMYFUNCTION("iferror(SPLIT(D103,""/""),split(""0/0"",""/""))"),0.0)</f>
        <v>0</v>
      </c>
      <c r="F103" s="232">
        <f>IFERROR(__xludf.DUMMYFUNCTION("""COMPUTED_VALUE"""),0.0)</f>
        <v>0</v>
      </c>
      <c r="G103" s="247" t="b">
        <v>0</v>
      </c>
      <c r="H103" s="242" t="str">
        <f t="shared" si="1"/>
        <v/>
      </c>
      <c r="I103" s="249" t="s">
        <v>713</v>
      </c>
      <c r="J103" s="236" t="str">
        <f t="shared" si="2"/>
        <v>Craft a stack of Raw Iron, Copper and Gold Blocks</v>
      </c>
      <c r="K103" s="237" t="s">
        <v>714</v>
      </c>
      <c r="L103" s="238"/>
      <c r="M103" s="237"/>
      <c r="N103" s="237" t="s">
        <v>715</v>
      </c>
      <c r="O103" s="239" t="s">
        <v>716</v>
      </c>
      <c r="P103" s="240" t="s">
        <v>189</v>
      </c>
      <c r="Q103" s="241" t="s">
        <v>717</v>
      </c>
      <c r="R103" s="240" t="s">
        <v>194</v>
      </c>
      <c r="S103" s="241"/>
    </row>
    <row r="104">
      <c r="A104" s="230">
        <v>104.0</v>
      </c>
      <c r="B104" s="230" t="s">
        <v>188</v>
      </c>
      <c r="C104" s="231"/>
      <c r="D104" s="232"/>
      <c r="E104" s="232">
        <f>IFERROR(__xludf.DUMMYFUNCTION("iferror(SPLIT(D104,""/""),split(""0/0"",""/""))"),0.0)</f>
        <v>0</v>
      </c>
      <c r="F104" s="232">
        <f>IFERROR(__xludf.DUMMYFUNCTION("""COMPUTED_VALUE"""),0.0)</f>
        <v>0</v>
      </c>
      <c r="G104" s="247" t="b">
        <v>0</v>
      </c>
      <c r="H104" s="242" t="str">
        <f t="shared" si="1"/>
        <v/>
      </c>
      <c r="I104" s="249" t="s">
        <v>718</v>
      </c>
      <c r="J104" s="252" t="str">
        <f t="shared" si="2"/>
        <v>Mine a stack of raw emerald ore (Obtain 64 Emerald Ore or 64 Deepslate Emerald Ore)</v>
      </c>
      <c r="K104" s="253" t="s">
        <v>480</v>
      </c>
      <c r="L104" s="254"/>
      <c r="M104" s="253" t="s">
        <v>719</v>
      </c>
      <c r="N104" s="253" t="s">
        <v>720</v>
      </c>
      <c r="O104" s="239" t="s">
        <v>721</v>
      </c>
      <c r="P104" s="240" t="s">
        <v>189</v>
      </c>
      <c r="Q104" s="241" t="s">
        <v>722</v>
      </c>
      <c r="R104" s="240" t="s">
        <v>194</v>
      </c>
      <c r="S104" s="241"/>
    </row>
    <row r="105">
      <c r="A105" s="230">
        <v>105.0</v>
      </c>
      <c r="B105" s="230" t="s">
        <v>188</v>
      </c>
      <c r="C105" s="231"/>
      <c r="D105" s="232"/>
      <c r="E105" s="232">
        <f>IFERROR(__xludf.DUMMYFUNCTION("iferror(SPLIT(D105,""/""),split(""0/0"",""/""))"),0.0)</f>
        <v>0</v>
      </c>
      <c r="F105" s="232">
        <f>IFERROR(__xludf.DUMMYFUNCTION("""COMPUTED_VALUE"""),0.0)</f>
        <v>0</v>
      </c>
      <c r="G105" s="247" t="b">
        <v>0</v>
      </c>
      <c r="H105" s="242" t="str">
        <f t="shared" si="1"/>
        <v/>
      </c>
      <c r="I105" s="249" t="s">
        <v>723</v>
      </c>
      <c r="J105" s="236" t="str">
        <f t="shared" si="2"/>
        <v>Mine a stack of every ore block (See requirement notes below)</v>
      </c>
      <c r="K105" s="237"/>
      <c r="L105" s="238"/>
      <c r="M105" s="248" t="s">
        <v>238</v>
      </c>
      <c r="N105" s="237" t="s">
        <v>724</v>
      </c>
      <c r="O105" s="239" t="s">
        <v>725</v>
      </c>
      <c r="P105" s="240" t="s">
        <v>189</v>
      </c>
      <c r="Q105" s="241" t="s">
        <v>726</v>
      </c>
      <c r="R105" s="240" t="s">
        <v>194</v>
      </c>
      <c r="S105" s="241"/>
    </row>
    <row r="106">
      <c r="A106" s="230">
        <v>106.0</v>
      </c>
      <c r="B106" s="230" t="s">
        <v>188</v>
      </c>
      <c r="C106" s="231"/>
      <c r="D106" s="232"/>
      <c r="E106" s="232">
        <f>IFERROR(__xludf.DUMMYFUNCTION("iferror(SPLIT(D106,""/""),split(""0/0"",""/""))"),0.0)</f>
        <v>0</v>
      </c>
      <c r="F106" s="232">
        <f>IFERROR(__xludf.DUMMYFUNCTION("""COMPUTED_VALUE"""),0.0)</f>
        <v>0</v>
      </c>
      <c r="G106" s="247" t="b">
        <v>0</v>
      </c>
      <c r="H106" s="242" t="str">
        <f t="shared" si="1"/>
        <v/>
      </c>
      <c r="I106" s="243" t="s">
        <v>727</v>
      </c>
      <c r="J106" s="236" t="str">
        <f t="shared" si="2"/>
        <v>Fill a bucket with lava (Obtain a lava bucket)</v>
      </c>
      <c r="K106" s="237"/>
      <c r="L106" s="238"/>
      <c r="M106" s="237" t="s">
        <v>728</v>
      </c>
      <c r="N106" s="237" t="s">
        <v>729</v>
      </c>
      <c r="O106" s="239" t="s">
        <v>730</v>
      </c>
      <c r="P106" s="240" t="s">
        <v>189</v>
      </c>
      <c r="Q106" s="241" t="s">
        <v>731</v>
      </c>
      <c r="R106" s="240" t="s">
        <v>194</v>
      </c>
      <c r="S106" s="241"/>
    </row>
    <row r="107">
      <c r="A107" s="230">
        <v>107.0</v>
      </c>
      <c r="B107" s="230" t="s">
        <v>188</v>
      </c>
      <c r="C107" s="231"/>
      <c r="D107" s="232"/>
      <c r="E107" s="232">
        <f>IFERROR(__xludf.DUMMYFUNCTION("iferror(SPLIT(D107,""/""),split(""0/0"",""/""))"),0.0)</f>
        <v>0</v>
      </c>
      <c r="F107" s="232">
        <f>IFERROR(__xludf.DUMMYFUNCTION("""COMPUTED_VALUE"""),0.0)</f>
        <v>0</v>
      </c>
      <c r="G107" s="247" t="b">
        <v>0</v>
      </c>
      <c r="H107" s="242" t="str">
        <f t="shared" si="1"/>
        <v/>
      </c>
      <c r="I107" s="243" t="s">
        <v>732</v>
      </c>
      <c r="J107" s="236" t="str">
        <f t="shared" si="2"/>
        <v>Form and mine a block of obsidian (Obtain a block of obsidian)</v>
      </c>
      <c r="K107" s="237" t="s">
        <v>733</v>
      </c>
      <c r="L107" s="238"/>
      <c r="M107" s="237" t="s">
        <v>734</v>
      </c>
      <c r="N107" s="237" t="s">
        <v>735</v>
      </c>
      <c r="O107" s="239" t="s">
        <v>736</v>
      </c>
      <c r="P107" s="240" t="s">
        <v>189</v>
      </c>
      <c r="Q107" s="241" t="s">
        <v>737</v>
      </c>
      <c r="R107" s="240" t="s">
        <v>194</v>
      </c>
      <c r="S107" s="241"/>
    </row>
    <row r="108">
      <c r="A108" s="230">
        <v>108.0</v>
      </c>
      <c r="B108" s="230" t="s">
        <v>188</v>
      </c>
      <c r="C108" s="231"/>
      <c r="D108" s="232"/>
      <c r="E108" s="232">
        <f>IFERROR(__xludf.DUMMYFUNCTION("iferror(SPLIT(D108,""/""),split(""0/0"",""/""))"),0.0)</f>
        <v>0</v>
      </c>
      <c r="F108" s="232">
        <f>IFERROR(__xludf.DUMMYFUNCTION("""COMPUTED_VALUE"""),0.0)</f>
        <v>0</v>
      </c>
      <c r="G108" s="247" t="b">
        <v>0</v>
      </c>
      <c r="H108" s="242" t="str">
        <f t="shared" si="1"/>
        <v/>
      </c>
      <c r="I108" s="246" t="s">
        <v>738</v>
      </c>
      <c r="J108" s="236" t="str">
        <f t="shared" si="2"/>
        <v>Craft an enchanting table</v>
      </c>
      <c r="K108" s="237" t="s">
        <v>739</v>
      </c>
      <c r="L108" s="238"/>
      <c r="M108" s="237"/>
      <c r="N108" s="237" t="s">
        <v>740</v>
      </c>
      <c r="O108" s="239" t="s">
        <v>741</v>
      </c>
      <c r="P108" s="240" t="s">
        <v>189</v>
      </c>
      <c r="Q108" s="241" t="s">
        <v>742</v>
      </c>
      <c r="R108" s="240" t="s">
        <v>194</v>
      </c>
      <c r="S108" s="241"/>
    </row>
    <row r="109">
      <c r="A109" s="230">
        <v>109.0</v>
      </c>
      <c r="B109" s="230" t="s">
        <v>188</v>
      </c>
      <c r="C109" s="231"/>
      <c r="D109" s="232"/>
      <c r="E109" s="232">
        <f>IFERROR(__xludf.DUMMYFUNCTION("iferror(SPLIT(D109,""/""),split(""0/0"",""/""))"),0.0)</f>
        <v>0</v>
      </c>
      <c r="F109" s="232">
        <f>IFERROR(__xludf.DUMMYFUNCTION("""COMPUTED_VALUE"""),0.0)</f>
        <v>0</v>
      </c>
      <c r="G109" s="247" t="b">
        <v>0</v>
      </c>
      <c r="H109" s="242" t="str">
        <f t="shared" si="1"/>
        <v/>
      </c>
      <c r="I109" s="246" t="s">
        <v>743</v>
      </c>
      <c r="J109" s="236" t="str">
        <f t="shared" si="2"/>
        <v>Build, light and enter a Nether Portal (Enter a nether portal block)</v>
      </c>
      <c r="K109" s="237"/>
      <c r="L109" s="238"/>
      <c r="M109" s="237" t="s">
        <v>744</v>
      </c>
      <c r="N109" s="237" t="s">
        <v>745</v>
      </c>
      <c r="O109" s="239" t="s">
        <v>277</v>
      </c>
      <c r="P109" s="240" t="s">
        <v>189</v>
      </c>
      <c r="Q109" s="241" t="s">
        <v>746</v>
      </c>
      <c r="R109" s="240" t="s">
        <v>194</v>
      </c>
      <c r="S109" s="241"/>
    </row>
    <row r="110">
      <c r="A110" s="230">
        <v>110.0</v>
      </c>
      <c r="B110" s="230" t="s">
        <v>188</v>
      </c>
      <c r="C110" s="231"/>
      <c r="D110" s="232"/>
      <c r="E110" s="232">
        <f>IFERROR(__xludf.DUMMYFUNCTION("iferror(SPLIT(D110,""/""),split(""0/0"",""/""))"),0.0)</f>
        <v>0</v>
      </c>
      <c r="F110" s="232">
        <f>IFERROR(__xludf.DUMMYFUNCTION("""COMPUTED_VALUE"""),0.0)</f>
        <v>0</v>
      </c>
      <c r="G110" s="247" t="b">
        <v>0</v>
      </c>
      <c r="H110" s="242" t="str">
        <f t="shared" si="1"/>
        <v/>
      </c>
      <c r="I110" s="246" t="s">
        <v>747</v>
      </c>
      <c r="J110" s="236" t="str">
        <f t="shared" si="2"/>
        <v>Mine a stack of obsidian. (This might take a while...)</v>
      </c>
      <c r="K110" s="237" t="s">
        <v>748</v>
      </c>
      <c r="L110" s="238"/>
      <c r="M110" s="237"/>
      <c r="N110" s="237" t="s">
        <v>749</v>
      </c>
      <c r="O110" s="239" t="s">
        <v>736</v>
      </c>
      <c r="P110" s="240" t="s">
        <v>189</v>
      </c>
      <c r="Q110" s="241" t="s">
        <v>750</v>
      </c>
      <c r="R110" s="240" t="s">
        <v>194</v>
      </c>
      <c r="S110" s="241"/>
    </row>
    <row r="111">
      <c r="A111" s="230">
        <v>111.0</v>
      </c>
      <c r="B111" s="230" t="s">
        <v>188</v>
      </c>
      <c r="C111" s="231"/>
      <c r="D111" s="232"/>
      <c r="E111" s="232">
        <f>IFERROR(__xludf.DUMMYFUNCTION("iferror(SPLIT(D111,""/""),split(""0/0"",""/""))"),0.0)</f>
        <v>0</v>
      </c>
      <c r="F111" s="232">
        <f>IFERROR(__xludf.DUMMYFUNCTION("""COMPUTED_VALUE"""),0.0)</f>
        <v>0</v>
      </c>
      <c r="G111" s="247" t="b">
        <v>0</v>
      </c>
      <c r="H111" s="242" t="str">
        <f t="shared" si="1"/>
        <v/>
      </c>
      <c r="I111" s="235" t="s">
        <v>751</v>
      </c>
      <c r="J111" s="255" t="str">
        <f t="shared" si="2"/>
        <v>Your only limit is your imagination... and resources (Place any block)</v>
      </c>
      <c r="K111" s="256"/>
      <c r="L111" s="257"/>
      <c r="M111" s="256" t="s">
        <v>752</v>
      </c>
      <c r="N111" s="256" t="s">
        <v>753</v>
      </c>
      <c r="O111" s="239" t="s">
        <v>754</v>
      </c>
      <c r="P111" s="258" t="s">
        <v>751</v>
      </c>
      <c r="Q111" s="259" t="s">
        <v>755</v>
      </c>
      <c r="R111" s="258" t="s">
        <v>194</v>
      </c>
      <c r="S111" s="259"/>
    </row>
    <row r="112">
      <c r="A112" s="230">
        <v>112.0</v>
      </c>
      <c r="B112" s="230" t="s">
        <v>188</v>
      </c>
      <c r="C112" s="231"/>
      <c r="D112" s="232"/>
      <c r="E112" s="232">
        <f>IFERROR(__xludf.DUMMYFUNCTION("iferror(SPLIT(D112,""/""),split(""0/0"",""/""))"),0.0)</f>
        <v>0</v>
      </c>
      <c r="F112" s="232">
        <f>IFERROR(__xludf.DUMMYFUNCTION("""COMPUTED_VALUE"""),0.0)</f>
        <v>0</v>
      </c>
      <c r="G112" s="233" t="b">
        <v>0</v>
      </c>
      <c r="H112" s="242" t="str">
        <f t="shared" si="1"/>
        <v/>
      </c>
      <c r="I112" s="243" t="s">
        <v>756</v>
      </c>
      <c r="J112" s="255" t="str">
        <f t="shared" si="2"/>
        <v>Craft a door to stop monsters from entering your house (Obtain any type of door (can be an iron door))</v>
      </c>
      <c r="K112" s="256"/>
      <c r="L112" s="257"/>
      <c r="M112" s="256" t="s">
        <v>757</v>
      </c>
      <c r="N112" s="256" t="s">
        <v>758</v>
      </c>
      <c r="O112" s="239" t="s">
        <v>759</v>
      </c>
      <c r="P112" s="258" t="s">
        <v>751</v>
      </c>
      <c r="Q112" s="259" t="s">
        <v>760</v>
      </c>
      <c r="R112" s="258" t="s">
        <v>194</v>
      </c>
      <c r="S112" s="259"/>
    </row>
    <row r="113">
      <c r="A113" s="230">
        <v>113.0</v>
      </c>
      <c r="B113" s="230" t="s">
        <v>188</v>
      </c>
      <c r="C113" s="231"/>
      <c r="D113" s="232"/>
      <c r="E113" s="232">
        <f>IFERROR(__xludf.DUMMYFUNCTION("iferror(SPLIT(D113,""/""),split(""0/0"",""/""))"),0.0)</f>
        <v>0</v>
      </c>
      <c r="F113" s="232">
        <f>IFERROR(__xludf.DUMMYFUNCTION("""COMPUTED_VALUE"""),0.0)</f>
        <v>0</v>
      </c>
      <c r="G113" s="247" t="b">
        <v>0</v>
      </c>
      <c r="H113" s="242" t="str">
        <f t="shared" si="1"/>
        <v/>
      </c>
      <c r="I113" s="243" t="s">
        <v>761</v>
      </c>
      <c r="J113" s="255" t="str">
        <f t="shared" si="2"/>
        <v>Craft some slabs (Obtain any kind of slab)</v>
      </c>
      <c r="K113" s="256"/>
      <c r="L113" s="257"/>
      <c r="M113" s="256" t="s">
        <v>762</v>
      </c>
      <c r="N113" s="256" t="s">
        <v>763</v>
      </c>
      <c r="O113" s="239" t="s">
        <v>764</v>
      </c>
      <c r="P113" s="258" t="s">
        <v>751</v>
      </c>
      <c r="Q113" s="259" t="s">
        <v>765</v>
      </c>
      <c r="R113" s="258" t="s">
        <v>194</v>
      </c>
      <c r="S113" s="259"/>
    </row>
    <row r="114">
      <c r="A114" s="230">
        <v>114.0</v>
      </c>
      <c r="B114" s="230" t="s">
        <v>188</v>
      </c>
      <c r="C114" s="231"/>
      <c r="D114" s="232"/>
      <c r="E114" s="232">
        <f>IFERROR(__xludf.DUMMYFUNCTION("iferror(SPLIT(D114,""/""),split(""0/0"",""/""))"),0.0)</f>
        <v>0</v>
      </c>
      <c r="F114" s="232">
        <f>IFERROR(__xludf.DUMMYFUNCTION("""COMPUTED_VALUE"""),0.0)</f>
        <v>0</v>
      </c>
      <c r="G114" s="247" t="b">
        <v>0</v>
      </c>
      <c r="H114" s="242" t="str">
        <f t="shared" si="1"/>
        <v/>
      </c>
      <c r="I114" s="243" t="s">
        <v>766</v>
      </c>
      <c r="J114" s="255" t="str">
        <f t="shared" si="2"/>
        <v>Craft some stairs (Obtain any kind of stairs)</v>
      </c>
      <c r="K114" s="256"/>
      <c r="L114" s="257"/>
      <c r="M114" s="256" t="s">
        <v>767</v>
      </c>
      <c r="N114" s="256" t="s">
        <v>768</v>
      </c>
      <c r="O114" s="239" t="s">
        <v>769</v>
      </c>
      <c r="P114" s="258" t="s">
        <v>751</v>
      </c>
      <c r="Q114" s="259" t="s">
        <v>770</v>
      </c>
      <c r="R114" s="258" t="s">
        <v>194</v>
      </c>
      <c r="S114" s="259"/>
    </row>
    <row r="115">
      <c r="A115" s="230">
        <v>115.0</v>
      </c>
      <c r="B115" s="230" t="s">
        <v>188</v>
      </c>
      <c r="C115" s="231"/>
      <c r="D115" s="232"/>
      <c r="E115" s="232">
        <f>IFERROR(__xludf.DUMMYFUNCTION("iferror(SPLIT(D115,""/""),split(""0/0"",""/""))"),0.0)</f>
        <v>0</v>
      </c>
      <c r="F115" s="232">
        <f>IFERROR(__xludf.DUMMYFUNCTION("""COMPUTED_VALUE"""),0.0)</f>
        <v>0</v>
      </c>
      <c r="G115" s="247" t="b">
        <v>0</v>
      </c>
      <c r="H115" s="242" t="str">
        <f t="shared" si="1"/>
        <v/>
      </c>
      <c r="I115" s="246" t="s">
        <v>771</v>
      </c>
      <c r="J115" s="255" t="str">
        <f t="shared" si="2"/>
        <v>Craft every type of slab (See requirement notes below)</v>
      </c>
      <c r="K115" s="256"/>
      <c r="L115" s="257"/>
      <c r="M115" s="260" t="s">
        <v>238</v>
      </c>
      <c r="N115" s="256" t="s">
        <v>772</v>
      </c>
      <c r="O115" s="239" t="s">
        <v>773</v>
      </c>
      <c r="P115" s="258" t="s">
        <v>751</v>
      </c>
      <c r="Q115" s="259" t="s">
        <v>774</v>
      </c>
      <c r="R115" s="258" t="s">
        <v>194</v>
      </c>
      <c r="S115" s="259"/>
    </row>
    <row r="116">
      <c r="A116" s="230">
        <v>116.0</v>
      </c>
      <c r="B116" s="230" t="s">
        <v>188</v>
      </c>
      <c r="C116" s="231"/>
      <c r="D116" s="232"/>
      <c r="E116" s="232">
        <f>IFERROR(__xludf.DUMMYFUNCTION("iferror(SPLIT(D116,""/""),split(""0/0"",""/""))"),0.0)</f>
        <v>0</v>
      </c>
      <c r="F116" s="232">
        <f>IFERROR(__xludf.DUMMYFUNCTION("""COMPUTED_VALUE"""),0.0)</f>
        <v>0</v>
      </c>
      <c r="G116" s="247" t="b">
        <v>0</v>
      </c>
      <c r="H116" s="242" t="str">
        <f t="shared" si="1"/>
        <v/>
      </c>
      <c r="I116" s="246" t="s">
        <v>775</v>
      </c>
      <c r="J116" s="255" t="str">
        <f t="shared" si="2"/>
        <v>Craft every type of stair (See requirement notes below)</v>
      </c>
      <c r="K116" s="256"/>
      <c r="L116" s="257"/>
      <c r="M116" s="260" t="s">
        <v>238</v>
      </c>
      <c r="N116" s="256" t="s">
        <v>776</v>
      </c>
      <c r="O116" s="239" t="s">
        <v>777</v>
      </c>
      <c r="P116" s="258" t="s">
        <v>751</v>
      </c>
      <c r="Q116" s="259" t="s">
        <v>778</v>
      </c>
      <c r="R116" s="258" t="s">
        <v>194</v>
      </c>
      <c r="S116" s="259"/>
    </row>
    <row r="117">
      <c r="A117" s="230">
        <v>117.0</v>
      </c>
      <c r="B117" s="230" t="s">
        <v>188</v>
      </c>
      <c r="C117" s="231"/>
      <c r="D117" s="232"/>
      <c r="E117" s="232">
        <f>IFERROR(__xludf.DUMMYFUNCTION("iferror(SPLIT(D117,""/""),split(""0/0"",""/""))"),0.0)</f>
        <v>0</v>
      </c>
      <c r="F117" s="232">
        <f>IFERROR(__xludf.DUMMYFUNCTION("""COMPUTED_VALUE"""),0.0)</f>
        <v>0</v>
      </c>
      <c r="G117" s="247" t="b">
        <v>0</v>
      </c>
      <c r="H117" s="242" t="str">
        <f t="shared" si="1"/>
        <v/>
      </c>
      <c r="I117" s="243" t="s">
        <v>779</v>
      </c>
      <c r="J117" s="255" t="str">
        <f t="shared" si="2"/>
        <v>Sleep in a bed to change your respawn point (Sleep in a bed. You do not have to pass the night)</v>
      </c>
      <c r="K117" s="256"/>
      <c r="L117" s="257"/>
      <c r="M117" s="256" t="s">
        <v>780</v>
      </c>
      <c r="N117" s="256" t="s">
        <v>781</v>
      </c>
      <c r="O117" s="239" t="s">
        <v>782</v>
      </c>
      <c r="P117" s="258" t="s">
        <v>751</v>
      </c>
      <c r="Q117" s="259" t="s">
        <v>783</v>
      </c>
      <c r="R117" s="258" t="s">
        <v>194</v>
      </c>
      <c r="S117" s="259"/>
    </row>
    <row r="118">
      <c r="A118" s="230">
        <v>118.0</v>
      </c>
      <c r="B118" s="230" t="s">
        <v>188</v>
      </c>
      <c r="C118" s="231"/>
      <c r="D118" s="232"/>
      <c r="E118" s="232">
        <f>IFERROR(__xludf.DUMMYFUNCTION("iferror(SPLIT(D118,""/""),split(""0/0"",""/""))"),0.0)</f>
        <v>0</v>
      </c>
      <c r="F118" s="232">
        <f>IFERROR(__xludf.DUMMYFUNCTION("""COMPUTED_VALUE"""),0.0)</f>
        <v>0</v>
      </c>
      <c r="G118" s="247" t="b">
        <v>0</v>
      </c>
      <c r="H118" s="242" t="str">
        <f t="shared" si="1"/>
        <v/>
      </c>
      <c r="I118" s="243" t="s">
        <v>784</v>
      </c>
      <c r="J118" s="255" t="str">
        <f t="shared" si="2"/>
        <v>Dye your bed a different color (Obtain a bed of any color other than white)</v>
      </c>
      <c r="K118" s="256"/>
      <c r="L118" s="257"/>
      <c r="M118" s="256" t="s">
        <v>785</v>
      </c>
      <c r="N118" s="256" t="s">
        <v>786</v>
      </c>
      <c r="O118" s="239" t="s">
        <v>787</v>
      </c>
      <c r="P118" s="258" t="s">
        <v>751</v>
      </c>
      <c r="Q118" s="259" t="s">
        <v>788</v>
      </c>
      <c r="R118" s="258" t="s">
        <v>194</v>
      </c>
      <c r="S118" s="259"/>
    </row>
    <row r="119">
      <c r="A119" s="230">
        <v>119.0</v>
      </c>
      <c r="B119" s="230" t="s">
        <v>188</v>
      </c>
      <c r="C119" s="231"/>
      <c r="D119" s="232"/>
      <c r="E119" s="232">
        <f>IFERROR(__xludf.DUMMYFUNCTION("iferror(SPLIT(D119,""/""),split(""0/0"",""/""))"),0.0)</f>
        <v>0</v>
      </c>
      <c r="F119" s="232">
        <f>IFERROR(__xludf.DUMMYFUNCTION("""COMPUTED_VALUE"""),0.0)</f>
        <v>0</v>
      </c>
      <c r="G119" s="247" t="b">
        <v>0</v>
      </c>
      <c r="H119" s="242" t="str">
        <f t="shared" si="1"/>
        <v/>
      </c>
      <c r="I119" s="246" t="s">
        <v>789</v>
      </c>
      <c r="J119" s="255" t="str">
        <f t="shared" si="2"/>
        <v>Craft every color of bed</v>
      </c>
      <c r="K119" s="256" t="s">
        <v>790</v>
      </c>
      <c r="L119" s="257"/>
      <c r="M119" s="256"/>
      <c r="N119" s="256" t="s">
        <v>791</v>
      </c>
      <c r="O119" s="239" t="s">
        <v>792</v>
      </c>
      <c r="P119" s="258" t="s">
        <v>751</v>
      </c>
      <c r="Q119" s="259" t="s">
        <v>793</v>
      </c>
      <c r="R119" s="258" t="s">
        <v>194</v>
      </c>
      <c r="S119" s="259"/>
    </row>
    <row r="120">
      <c r="A120" s="230">
        <v>120.0</v>
      </c>
      <c r="B120" s="230" t="s">
        <v>206</v>
      </c>
      <c r="C120" s="231"/>
      <c r="D120" s="232"/>
      <c r="E120" s="232">
        <f>IFERROR(__xludf.DUMMYFUNCTION("iferror(SPLIT(D120,""/""),split(""0/0"",""/""))"),0.0)</f>
        <v>0</v>
      </c>
      <c r="F120" s="232">
        <f>IFERROR(__xludf.DUMMYFUNCTION("""COMPUTED_VALUE"""),0.0)</f>
        <v>0</v>
      </c>
      <c r="G120" s="247" t="b">
        <v>0</v>
      </c>
      <c r="H120" s="242" t="str">
        <f t="shared" si="1"/>
        <v/>
      </c>
      <c r="I120" s="249" t="s">
        <v>794</v>
      </c>
      <c r="J120" s="255" t="str">
        <f t="shared" si="2"/>
        <v>Go 30 days without sleep</v>
      </c>
      <c r="K120" s="256" t="s">
        <v>795</v>
      </c>
      <c r="L120" s="257"/>
      <c r="M120" s="256"/>
      <c r="N120" s="256" t="s">
        <v>796</v>
      </c>
      <c r="O120" s="239" t="s">
        <v>797</v>
      </c>
      <c r="P120" s="258" t="s">
        <v>751</v>
      </c>
      <c r="Q120" s="259" t="s">
        <v>798</v>
      </c>
      <c r="R120" s="258" t="s">
        <v>194</v>
      </c>
      <c r="S120" s="259"/>
    </row>
    <row r="121">
      <c r="A121" s="230">
        <v>121.0</v>
      </c>
      <c r="B121" s="230" t="s">
        <v>206</v>
      </c>
      <c r="C121" s="231"/>
      <c r="D121" s="232"/>
      <c r="E121" s="232">
        <f>IFERROR(__xludf.DUMMYFUNCTION("iferror(SPLIT(D121,""/""),split(""0/0"",""/""))"),0.0)</f>
        <v>0</v>
      </c>
      <c r="F121" s="232">
        <f>IFERROR(__xludf.DUMMYFUNCTION("""COMPUTED_VALUE"""),0.0)</f>
        <v>0</v>
      </c>
      <c r="G121" s="247" t="b">
        <v>0</v>
      </c>
      <c r="H121" s="242" t="str">
        <f t="shared" si="1"/>
        <v/>
      </c>
      <c r="I121" s="243" t="s">
        <v>799</v>
      </c>
      <c r="J121" s="255" t="str">
        <f t="shared" si="2"/>
        <v>Climb the ladder! (Enter a ladder block)</v>
      </c>
      <c r="K121" s="256"/>
      <c r="L121" s="257"/>
      <c r="M121" s="256" t="s">
        <v>800</v>
      </c>
      <c r="N121" s="256" t="s">
        <v>801</v>
      </c>
      <c r="O121" s="239" t="s">
        <v>802</v>
      </c>
      <c r="P121" s="258" t="s">
        <v>751</v>
      </c>
      <c r="Q121" s="259" t="s">
        <v>803</v>
      </c>
      <c r="R121" s="258" t="s">
        <v>194</v>
      </c>
      <c r="S121" s="259"/>
    </row>
    <row r="122">
      <c r="A122" s="230">
        <v>122.0</v>
      </c>
      <c r="B122" s="230" t="s">
        <v>283</v>
      </c>
      <c r="C122" s="231"/>
      <c r="D122" s="232"/>
      <c r="E122" s="232">
        <f>IFERROR(__xludf.DUMMYFUNCTION("iferror(SPLIT(D122,""/""),split(""0/0"",""/""))"),0.0)</f>
        <v>0</v>
      </c>
      <c r="F122" s="232">
        <f>IFERROR(__xludf.DUMMYFUNCTION("""COMPUTED_VALUE"""),0.0)</f>
        <v>0</v>
      </c>
      <c r="G122" s="247" t="b">
        <v>0</v>
      </c>
      <c r="H122" s="242" t="str">
        <f t="shared" si="1"/>
        <v/>
      </c>
      <c r="I122" s="243" t="s">
        <v>804</v>
      </c>
      <c r="J122" s="255" t="str">
        <f t="shared" si="2"/>
        <v>Craft and place down a trapdoor (Place any type of trapdoor (can be an iron trapdoor))</v>
      </c>
      <c r="K122" s="256"/>
      <c r="L122" s="257"/>
      <c r="M122" s="256" t="s">
        <v>805</v>
      </c>
      <c r="N122" s="256" t="s">
        <v>806</v>
      </c>
      <c r="O122" s="239" t="s">
        <v>807</v>
      </c>
      <c r="P122" s="258" t="s">
        <v>751</v>
      </c>
      <c r="Q122" s="259" t="s">
        <v>808</v>
      </c>
      <c r="R122" s="258" t="s">
        <v>194</v>
      </c>
      <c r="S122" s="259" t="s">
        <v>290</v>
      </c>
    </row>
    <row r="123">
      <c r="A123" s="230">
        <v>123.0</v>
      </c>
      <c r="B123" s="230" t="s">
        <v>283</v>
      </c>
      <c r="C123" s="231"/>
      <c r="D123" s="232"/>
      <c r="E123" s="232">
        <f>IFERROR(__xludf.DUMMYFUNCTION("iferror(SPLIT(D123,""/""),split(""0/0"",""/""))"),0.0)</f>
        <v>0</v>
      </c>
      <c r="F123" s="232">
        <f>IFERROR(__xludf.DUMMYFUNCTION("""COMPUTED_VALUE"""),0.0)</f>
        <v>0</v>
      </c>
      <c r="G123" s="247" t="b">
        <v>0</v>
      </c>
      <c r="H123" s="242" t="str">
        <f t="shared" si="1"/>
        <v/>
      </c>
      <c r="I123" s="243" t="s">
        <v>809</v>
      </c>
      <c r="J123" s="255" t="str">
        <f t="shared" si="2"/>
        <v>Craft and place an iron door (Place an iron door)</v>
      </c>
      <c r="K123" s="256" t="s">
        <v>518</v>
      </c>
      <c r="L123" s="257"/>
      <c r="M123" s="256" t="s">
        <v>810</v>
      </c>
      <c r="N123" s="256" t="s">
        <v>811</v>
      </c>
      <c r="O123" s="239" t="s">
        <v>812</v>
      </c>
      <c r="P123" s="258" t="s">
        <v>751</v>
      </c>
      <c r="Q123" s="259" t="s">
        <v>813</v>
      </c>
      <c r="R123" s="258" t="s">
        <v>194</v>
      </c>
      <c r="S123" s="259" t="s">
        <v>290</v>
      </c>
    </row>
    <row r="124">
      <c r="A124" s="230">
        <v>124.0</v>
      </c>
      <c r="B124" s="230" t="s">
        <v>283</v>
      </c>
      <c r="C124" s="231"/>
      <c r="D124" s="232"/>
      <c r="E124" s="232">
        <f>IFERROR(__xludf.DUMMYFUNCTION("iferror(SPLIT(D124,""/""),split(""0/0"",""/""))"),0.0)</f>
        <v>0</v>
      </c>
      <c r="F124" s="232">
        <f>IFERROR(__xludf.DUMMYFUNCTION("""COMPUTED_VALUE"""),0.0)</f>
        <v>0</v>
      </c>
      <c r="G124" s="247" t="b">
        <v>0</v>
      </c>
      <c r="H124" s="242" t="str">
        <f t="shared" si="1"/>
        <v/>
      </c>
      <c r="I124" s="243" t="s">
        <v>814</v>
      </c>
      <c r="J124" s="255" t="str">
        <f t="shared" si="2"/>
        <v>Erect some fencing (Place any type of fence (can be nether brick fence))</v>
      </c>
      <c r="K124" s="256"/>
      <c r="L124" s="257"/>
      <c r="M124" s="256" t="s">
        <v>815</v>
      </c>
      <c r="N124" s="256" t="s">
        <v>816</v>
      </c>
      <c r="O124" s="239" t="s">
        <v>299</v>
      </c>
      <c r="P124" s="258" t="s">
        <v>751</v>
      </c>
      <c r="Q124" s="259" t="s">
        <v>817</v>
      </c>
      <c r="R124" s="258" t="s">
        <v>194</v>
      </c>
      <c r="S124" s="259" t="s">
        <v>290</v>
      </c>
    </row>
    <row r="125">
      <c r="A125" s="230">
        <v>125.0</v>
      </c>
      <c r="B125" s="230" t="s">
        <v>283</v>
      </c>
      <c r="C125" s="231"/>
      <c r="D125" s="232"/>
      <c r="E125" s="232">
        <f>IFERROR(__xludf.DUMMYFUNCTION("iferror(SPLIT(D125,""/""),split(""0/0"",""/""))"),0.0)</f>
        <v>0</v>
      </c>
      <c r="F125" s="232">
        <f>IFERROR(__xludf.DUMMYFUNCTION("""COMPUTED_VALUE"""),0.0)</f>
        <v>0</v>
      </c>
      <c r="G125" s="247" t="b">
        <v>0</v>
      </c>
      <c r="H125" s="242" t="str">
        <f t="shared" si="1"/>
        <v/>
      </c>
      <c r="I125" s="243" t="s">
        <v>818</v>
      </c>
      <c r="J125" s="255" t="str">
        <f t="shared" si="2"/>
        <v>Put up some cobblestone walls (Place a cobblestone wall)</v>
      </c>
      <c r="K125" s="256" t="s">
        <v>819</v>
      </c>
      <c r="L125" s="257"/>
      <c r="M125" s="256" t="s">
        <v>820</v>
      </c>
      <c r="N125" s="256" t="s">
        <v>821</v>
      </c>
      <c r="O125" s="239" t="s">
        <v>822</v>
      </c>
      <c r="P125" s="258" t="s">
        <v>751</v>
      </c>
      <c r="Q125" s="259" t="s">
        <v>823</v>
      </c>
      <c r="R125" s="258" t="s">
        <v>194</v>
      </c>
      <c r="S125" s="259" t="s">
        <v>290</v>
      </c>
    </row>
    <row r="126">
      <c r="A126" s="230">
        <v>126.0</v>
      </c>
      <c r="B126" s="230" t="s">
        <v>188</v>
      </c>
      <c r="C126" s="231"/>
      <c r="D126" s="232"/>
      <c r="E126" s="232">
        <f>IFERROR(__xludf.DUMMYFUNCTION("iferror(SPLIT(D126,""/""),split(""0/0"",""/""))"),0.0)</f>
        <v>0</v>
      </c>
      <c r="F126" s="232">
        <f>IFERROR(__xludf.DUMMYFUNCTION("""COMPUTED_VALUE"""),0.0)</f>
        <v>0</v>
      </c>
      <c r="G126" s="247" t="b">
        <v>0</v>
      </c>
      <c r="H126" s="242" t="str">
        <f t="shared" si="1"/>
        <v/>
      </c>
      <c r="I126" s="246" t="s">
        <v>824</v>
      </c>
      <c r="J126" s="255" t="str">
        <f t="shared" si="2"/>
        <v>Craft every type of wall (See requirement notes below)</v>
      </c>
      <c r="K126" s="256"/>
      <c r="L126" s="257"/>
      <c r="M126" s="260" t="s">
        <v>238</v>
      </c>
      <c r="N126" s="256" t="s">
        <v>825</v>
      </c>
      <c r="O126" s="239" t="s">
        <v>826</v>
      </c>
      <c r="P126" s="258" t="s">
        <v>751</v>
      </c>
      <c r="Q126" s="259" t="s">
        <v>827</v>
      </c>
      <c r="R126" s="258" t="s">
        <v>194</v>
      </c>
      <c r="S126" s="259"/>
    </row>
    <row r="127">
      <c r="A127" s="230">
        <v>127.0</v>
      </c>
      <c r="B127" s="230" t="s">
        <v>283</v>
      </c>
      <c r="C127" s="231"/>
      <c r="D127" s="232"/>
      <c r="E127" s="232">
        <f>IFERROR(__xludf.DUMMYFUNCTION("iferror(SPLIT(D127,""/""),split(""0/0"",""/""))"),0.0)</f>
        <v>0</v>
      </c>
      <c r="F127" s="232">
        <f>IFERROR(__xludf.DUMMYFUNCTION("""COMPUTED_VALUE"""),0.0)</f>
        <v>0</v>
      </c>
      <c r="G127" s="247" t="b">
        <v>0</v>
      </c>
      <c r="H127" s="242" t="str">
        <f t="shared" si="1"/>
        <v/>
      </c>
      <c r="I127" s="243" t="s">
        <v>828</v>
      </c>
      <c r="J127" s="255" t="str">
        <f t="shared" si="2"/>
        <v>Craft and place a chest for storing your items (Place a chest)</v>
      </c>
      <c r="K127" s="256" t="s">
        <v>829</v>
      </c>
      <c r="L127" s="257"/>
      <c r="M127" s="256" t="s">
        <v>830</v>
      </c>
      <c r="N127" s="256" t="s">
        <v>831</v>
      </c>
      <c r="O127" s="239" t="s">
        <v>832</v>
      </c>
      <c r="P127" s="258" t="s">
        <v>751</v>
      </c>
      <c r="Q127" s="259" t="s">
        <v>833</v>
      </c>
      <c r="R127" s="258" t="s">
        <v>194</v>
      </c>
      <c r="S127" s="259" t="s">
        <v>290</v>
      </c>
    </row>
    <row r="128">
      <c r="A128" s="230">
        <v>128.0</v>
      </c>
      <c r="B128" s="230" t="s">
        <v>283</v>
      </c>
      <c r="C128" s="231"/>
      <c r="D128" s="232"/>
      <c r="E128" s="232">
        <f>IFERROR(__xludf.DUMMYFUNCTION("iferror(SPLIT(D128,""/""),split(""0/0"",""/""))"),0.0)</f>
        <v>0</v>
      </c>
      <c r="F128" s="232">
        <f>IFERROR(__xludf.DUMMYFUNCTION("""COMPUTED_VALUE"""),0.0)</f>
        <v>0</v>
      </c>
      <c r="G128" s="247" t="b">
        <v>0</v>
      </c>
      <c r="H128" s="242" t="str">
        <f t="shared" si="1"/>
        <v/>
      </c>
      <c r="I128" s="243" t="s">
        <v>834</v>
      </c>
      <c r="J128" s="255" t="str">
        <f t="shared" si="2"/>
        <v>Craft and place a barrel. Totally not for riding in (Place a barrel)</v>
      </c>
      <c r="K128" s="256" t="s">
        <v>835</v>
      </c>
      <c r="L128" s="257"/>
      <c r="M128" s="256" t="s">
        <v>836</v>
      </c>
      <c r="N128" s="256" t="s">
        <v>837</v>
      </c>
      <c r="O128" s="239" t="s">
        <v>838</v>
      </c>
      <c r="P128" s="258" t="s">
        <v>751</v>
      </c>
      <c r="Q128" s="259" t="s">
        <v>839</v>
      </c>
      <c r="R128" s="258" t="s">
        <v>194</v>
      </c>
      <c r="S128" s="259" t="s">
        <v>290</v>
      </c>
    </row>
    <row r="129">
      <c r="A129" s="230">
        <v>129.0</v>
      </c>
      <c r="B129" s="230" t="s">
        <v>283</v>
      </c>
      <c r="C129" s="231"/>
      <c r="D129" s="232"/>
      <c r="E129" s="232">
        <f>IFERROR(__xludf.DUMMYFUNCTION("iferror(SPLIT(D129,""/""),split(""0/0"",""/""))"),0.0)</f>
        <v>0</v>
      </c>
      <c r="F129" s="232">
        <f>IFERROR(__xludf.DUMMYFUNCTION("""COMPUTED_VALUE"""),0.0)</f>
        <v>0</v>
      </c>
      <c r="G129" s="247" t="b">
        <v>0</v>
      </c>
      <c r="H129" s="242" t="str">
        <f t="shared" si="1"/>
        <v/>
      </c>
      <c r="I129" s="243" t="s">
        <v>840</v>
      </c>
      <c r="J129" s="255" t="str">
        <f t="shared" si="2"/>
        <v>Craft a lectern using wooden slabs and a bookshelf then place it (Place a lectern)</v>
      </c>
      <c r="K129" s="256"/>
      <c r="L129" s="257"/>
      <c r="M129" s="256" t="s">
        <v>841</v>
      </c>
      <c r="N129" s="256" t="s">
        <v>842</v>
      </c>
      <c r="O129" s="239" t="s">
        <v>843</v>
      </c>
      <c r="P129" s="258" t="s">
        <v>751</v>
      </c>
      <c r="Q129" s="259" t="s">
        <v>844</v>
      </c>
      <c r="R129" s="258" t="s">
        <v>194</v>
      </c>
      <c r="S129" s="259" t="s">
        <v>290</v>
      </c>
    </row>
    <row r="130">
      <c r="A130" s="230">
        <v>130.0</v>
      </c>
      <c r="B130" s="230" t="s">
        <v>283</v>
      </c>
      <c r="C130" s="231"/>
      <c r="D130" s="232"/>
      <c r="E130" s="232">
        <f>IFERROR(__xludf.DUMMYFUNCTION("iferror(SPLIT(D130,""/""),split(""0/0"",""/""))"),0.0)</f>
        <v>0</v>
      </c>
      <c r="F130" s="232">
        <f>IFERROR(__xludf.DUMMYFUNCTION("""COMPUTED_VALUE"""),0.0)</f>
        <v>0</v>
      </c>
      <c r="G130" s="233" t="b">
        <v>0</v>
      </c>
      <c r="H130" s="242" t="str">
        <f t="shared" si="1"/>
        <v/>
      </c>
      <c r="I130" s="243" t="s">
        <v>845</v>
      </c>
      <c r="J130" s="255" t="str">
        <f t="shared" si="2"/>
        <v>Fill a Chiseled Bookshelf with books (Place a book inside a Chiseled Bookshelf such that all slots become occupied)</v>
      </c>
      <c r="K130" s="256"/>
      <c r="L130" s="257"/>
      <c r="M130" s="256" t="s">
        <v>846</v>
      </c>
      <c r="N130" s="256" t="s">
        <v>847</v>
      </c>
      <c r="O130" s="239" t="s">
        <v>848</v>
      </c>
      <c r="P130" s="258" t="s">
        <v>751</v>
      </c>
      <c r="Q130" s="259" t="s">
        <v>849</v>
      </c>
      <c r="R130" s="258" t="s">
        <v>194</v>
      </c>
      <c r="S130" s="259" t="s">
        <v>290</v>
      </c>
    </row>
    <row r="131">
      <c r="A131" s="230">
        <v>131.0</v>
      </c>
      <c r="B131" s="230" t="s">
        <v>283</v>
      </c>
      <c r="C131" s="231"/>
      <c r="D131" s="232"/>
      <c r="E131" s="232">
        <f>IFERROR(__xludf.DUMMYFUNCTION("iferror(SPLIT(D131,""/""),split(""0/0"",""/""))"),0.0)</f>
        <v>0</v>
      </c>
      <c r="F131" s="232">
        <f>IFERROR(__xludf.DUMMYFUNCTION("""COMPUTED_VALUE"""),0.0)</f>
        <v>0</v>
      </c>
      <c r="G131" s="233" t="b">
        <v>0</v>
      </c>
      <c r="H131" s="242" t="str">
        <f t="shared" si="1"/>
        <v/>
      </c>
      <c r="I131" s="251" t="s">
        <v>850</v>
      </c>
      <c r="J131" s="255" t="str">
        <f t="shared" si="2"/>
        <v>Craft and place a sign (Place any type of sign)</v>
      </c>
      <c r="K131" s="256"/>
      <c r="L131" s="257"/>
      <c r="M131" s="256" t="s">
        <v>851</v>
      </c>
      <c r="N131" s="256" t="s">
        <v>852</v>
      </c>
      <c r="O131" s="239" t="s">
        <v>853</v>
      </c>
      <c r="P131" s="258" t="s">
        <v>751</v>
      </c>
      <c r="Q131" s="259" t="s">
        <v>854</v>
      </c>
      <c r="R131" s="258" t="s">
        <v>194</v>
      </c>
      <c r="S131" s="259" t="s">
        <v>290</v>
      </c>
    </row>
    <row r="132">
      <c r="A132" s="230">
        <v>132.0</v>
      </c>
      <c r="B132" s="230" t="s">
        <v>283</v>
      </c>
      <c r="C132" s="231"/>
      <c r="D132" s="232"/>
      <c r="E132" s="232">
        <f>IFERROR(__xludf.DUMMYFUNCTION("iferror(SPLIT(D132,""/""),split(""0/0"",""/""))"),0.0)</f>
        <v>0</v>
      </c>
      <c r="F132" s="232">
        <f>IFERROR(__xludf.DUMMYFUNCTION("""COMPUTED_VALUE"""),0.0)</f>
        <v>0</v>
      </c>
      <c r="G132" s="247" t="b">
        <v>0</v>
      </c>
      <c r="H132" s="242" t="str">
        <f t="shared" si="1"/>
        <v/>
      </c>
      <c r="I132" s="243" t="s">
        <v>855</v>
      </c>
      <c r="J132" s="255" t="str">
        <f t="shared" si="2"/>
        <v>Put up a Hanging Sign (Place any type of hanging sign)</v>
      </c>
      <c r="K132" s="256"/>
      <c r="L132" s="257"/>
      <c r="M132" s="256" t="s">
        <v>856</v>
      </c>
      <c r="N132" s="256" t="s">
        <v>857</v>
      </c>
      <c r="O132" s="239" t="s">
        <v>858</v>
      </c>
      <c r="P132" s="258" t="s">
        <v>751</v>
      </c>
      <c r="Q132" s="259" t="s">
        <v>859</v>
      </c>
      <c r="R132" s="258" t="s">
        <v>194</v>
      </c>
      <c r="S132" s="259" t="s">
        <v>290</v>
      </c>
    </row>
    <row r="133">
      <c r="A133" s="230">
        <v>133.0</v>
      </c>
      <c r="B133" s="230" t="s">
        <v>283</v>
      </c>
      <c r="C133" s="231"/>
      <c r="D133" s="232"/>
      <c r="E133" s="232">
        <f>IFERROR(__xludf.DUMMYFUNCTION("iferror(SPLIT(D133,""/""),split(""0/0"",""/""))"),0.0)</f>
        <v>0</v>
      </c>
      <c r="F133" s="232">
        <f>IFERROR(__xludf.DUMMYFUNCTION("""COMPUTED_VALUE"""),0.0)</f>
        <v>0</v>
      </c>
      <c r="G133" s="233" t="b">
        <v>0</v>
      </c>
      <c r="H133" s="242" t="str">
        <f t="shared" si="1"/>
        <v/>
      </c>
      <c r="I133" s="243" t="s">
        <v>860</v>
      </c>
      <c r="J133" s="255" t="str">
        <f t="shared" si="2"/>
        <v>Use honeycomb to wax a sign, setting its ink for eternity (Use honeycomb on any sign)</v>
      </c>
      <c r="K133" s="256" t="s">
        <v>861</v>
      </c>
      <c r="L133" s="257"/>
      <c r="M133" s="256" t="s">
        <v>862</v>
      </c>
      <c r="N133" s="256" t="s">
        <v>863</v>
      </c>
      <c r="O133" s="239" t="s">
        <v>501</v>
      </c>
      <c r="P133" s="258" t="s">
        <v>751</v>
      </c>
      <c r="Q133" s="259" t="s">
        <v>864</v>
      </c>
      <c r="R133" s="258" t="s">
        <v>194</v>
      </c>
      <c r="S133" s="259" t="s">
        <v>290</v>
      </c>
    </row>
    <row r="134">
      <c r="A134" s="230">
        <v>134.0</v>
      </c>
      <c r="B134" s="230" t="s">
        <v>283</v>
      </c>
      <c r="C134" s="231"/>
      <c r="D134" s="232"/>
      <c r="E134" s="232">
        <f>IFERROR(__xludf.DUMMYFUNCTION("iferror(SPLIT(D134,""/""),split(""0/0"",""/""))"),0.0)</f>
        <v>0</v>
      </c>
      <c r="F134" s="232">
        <f>IFERROR(__xludf.DUMMYFUNCTION("""COMPUTED_VALUE"""),0.0)</f>
        <v>0</v>
      </c>
      <c r="G134" s="233" t="b">
        <v>0</v>
      </c>
      <c r="H134" s="242" t="str">
        <f t="shared" si="1"/>
        <v/>
      </c>
      <c r="I134" s="246" t="s">
        <v>865</v>
      </c>
      <c r="J134" s="255" t="str">
        <f t="shared" si="2"/>
        <v>Dye a sign with each color of dye (Use all 16 dyes on any sign)</v>
      </c>
      <c r="K134" s="256"/>
      <c r="L134" s="257"/>
      <c r="M134" s="256" t="s">
        <v>866</v>
      </c>
      <c r="N134" s="256" t="s">
        <v>867</v>
      </c>
      <c r="O134" s="239" t="s">
        <v>868</v>
      </c>
      <c r="P134" s="258" t="s">
        <v>751</v>
      </c>
      <c r="Q134" s="259" t="s">
        <v>869</v>
      </c>
      <c r="R134" s="258" t="s">
        <v>194</v>
      </c>
      <c r="S134" s="259" t="s">
        <v>290</v>
      </c>
    </row>
    <row r="135">
      <c r="A135" s="230">
        <v>135.0</v>
      </c>
      <c r="B135" s="230" t="s">
        <v>188</v>
      </c>
      <c r="C135" s="231"/>
      <c r="D135" s="232"/>
      <c r="E135" s="232">
        <f>IFERROR(__xludf.DUMMYFUNCTION("iferror(SPLIT(D135,""/""),split(""0/0"",""/""))"),0.0)</f>
        <v>0</v>
      </c>
      <c r="F135" s="232">
        <f>IFERROR(__xludf.DUMMYFUNCTION("""COMPUTED_VALUE"""),0.0)</f>
        <v>0</v>
      </c>
      <c r="G135" s="247" t="b">
        <v>0</v>
      </c>
      <c r="H135" s="242" t="str">
        <f t="shared" si="1"/>
        <v/>
      </c>
      <c r="I135" s="243" t="s">
        <v>870</v>
      </c>
      <c r="J135" s="255" t="str">
        <f t="shared" si="2"/>
        <v>Craft an item frame for displaying your items (Obtain an item frame)</v>
      </c>
      <c r="K135" s="256"/>
      <c r="L135" s="257"/>
      <c r="M135" s="256" t="s">
        <v>871</v>
      </c>
      <c r="N135" s="256" t="s">
        <v>872</v>
      </c>
      <c r="O135" s="239" t="s">
        <v>873</v>
      </c>
      <c r="P135" s="258" t="s">
        <v>751</v>
      </c>
      <c r="Q135" s="259" t="s">
        <v>874</v>
      </c>
      <c r="R135" s="258" t="s">
        <v>194</v>
      </c>
      <c r="S135" s="259"/>
    </row>
    <row r="136">
      <c r="A136" s="230">
        <v>136.0</v>
      </c>
      <c r="B136" s="230" t="s">
        <v>188</v>
      </c>
      <c r="C136" s="231"/>
      <c r="D136" s="232"/>
      <c r="E136" s="232">
        <f>IFERROR(__xludf.DUMMYFUNCTION("iferror(SPLIT(D136,""/""),split(""0/0"",""/""))"),0.0)</f>
        <v>0</v>
      </c>
      <c r="F136" s="232">
        <f>IFERROR(__xludf.DUMMYFUNCTION("""COMPUTED_VALUE"""),0.0)</f>
        <v>0</v>
      </c>
      <c r="G136" s="247" t="b">
        <v>0</v>
      </c>
      <c r="H136" s="242" t="str">
        <f t="shared" si="1"/>
        <v/>
      </c>
      <c r="I136" s="243" t="s">
        <v>875</v>
      </c>
      <c r="J136" s="255" t="str">
        <f t="shared" si="2"/>
        <v>Put up a painting (Place a painting)</v>
      </c>
      <c r="K136" s="256"/>
      <c r="L136" s="257"/>
      <c r="M136" s="256" t="s">
        <v>876</v>
      </c>
      <c r="N136" s="256" t="s">
        <v>877</v>
      </c>
      <c r="O136" s="239" t="s">
        <v>878</v>
      </c>
      <c r="P136" s="258" t="s">
        <v>751</v>
      </c>
      <c r="Q136" s="259" t="s">
        <v>879</v>
      </c>
      <c r="R136" s="258" t="s">
        <v>194</v>
      </c>
      <c r="S136" s="259"/>
    </row>
    <row r="137">
      <c r="A137" s="230">
        <v>137.0</v>
      </c>
      <c r="B137" s="230" t="s">
        <v>283</v>
      </c>
      <c r="C137" s="231"/>
      <c r="D137" s="232"/>
      <c r="E137" s="232">
        <f>IFERROR(__xludf.DUMMYFUNCTION("iferror(SPLIT(D137,""/""),split(""0/0"",""/""))"),0.0)</f>
        <v>0</v>
      </c>
      <c r="F137" s="232">
        <f>IFERROR(__xludf.DUMMYFUNCTION("""COMPUTED_VALUE"""),0.0)</f>
        <v>0</v>
      </c>
      <c r="G137" s="233" t="b">
        <v>0</v>
      </c>
      <c r="H137" s="242" t="str">
        <f t="shared" si="1"/>
        <v/>
      </c>
      <c r="I137" s="246" t="s">
        <v>880</v>
      </c>
      <c r="J137" s="255" t="str">
        <f t="shared" si="2"/>
        <v>Place every type of painting (Every painting is listed on Minecraft wiki at https://minecraft.wiki/w/Painting )</v>
      </c>
      <c r="K137" s="256"/>
      <c r="L137" s="257"/>
      <c r="M137" s="261" t="s">
        <v>881</v>
      </c>
      <c r="N137" s="256" t="s">
        <v>882</v>
      </c>
      <c r="O137" s="239" t="s">
        <v>883</v>
      </c>
      <c r="P137" s="258" t="s">
        <v>751</v>
      </c>
      <c r="Q137" s="259" t="s">
        <v>884</v>
      </c>
      <c r="R137" s="258" t="s">
        <v>194</v>
      </c>
      <c r="S137" s="259" t="s">
        <v>290</v>
      </c>
    </row>
    <row r="138">
      <c r="A138" s="230">
        <v>138.0</v>
      </c>
      <c r="B138" s="230" t="s">
        <v>283</v>
      </c>
      <c r="C138" s="231"/>
      <c r="D138" s="232"/>
      <c r="E138" s="232">
        <f>IFERROR(__xludf.DUMMYFUNCTION("iferror(SPLIT(D138,""/""),split(""0/0"",""/""))"),0.0)</f>
        <v>0</v>
      </c>
      <c r="F138" s="232">
        <f>IFERROR(__xludf.DUMMYFUNCTION("""COMPUTED_VALUE"""),0.0)</f>
        <v>0</v>
      </c>
      <c r="G138" s="247" t="b">
        <v>0</v>
      </c>
      <c r="H138" s="242" t="str">
        <f t="shared" si="1"/>
        <v/>
      </c>
      <c r="I138" s="243" t="s">
        <v>885</v>
      </c>
      <c r="J138" s="255" t="str">
        <f t="shared" si="2"/>
        <v>Craft and place a banner</v>
      </c>
      <c r="K138" s="256"/>
      <c r="L138" s="257"/>
      <c r="M138" s="256"/>
      <c r="N138" s="256" t="s">
        <v>886</v>
      </c>
      <c r="O138" s="239" t="s">
        <v>887</v>
      </c>
      <c r="P138" s="258" t="s">
        <v>751</v>
      </c>
      <c r="Q138" s="259" t="s">
        <v>888</v>
      </c>
      <c r="R138" s="258" t="s">
        <v>194</v>
      </c>
      <c r="S138" s="259" t="s">
        <v>290</v>
      </c>
    </row>
    <row r="139">
      <c r="A139" s="230">
        <v>139.0</v>
      </c>
      <c r="B139" s="230" t="s">
        <v>188</v>
      </c>
      <c r="C139" s="231"/>
      <c r="D139" s="232"/>
      <c r="E139" s="232">
        <f>IFERROR(__xludf.DUMMYFUNCTION("iferror(SPLIT(D139,""/""),split(""0/0"",""/""))"),0.0)</f>
        <v>0</v>
      </c>
      <c r="F139" s="232">
        <f>IFERROR(__xludf.DUMMYFUNCTION("""COMPUTED_VALUE"""),0.0)</f>
        <v>0</v>
      </c>
      <c r="G139" s="247" t="b">
        <v>0</v>
      </c>
      <c r="H139" s="242" t="str">
        <f t="shared" si="1"/>
        <v/>
      </c>
      <c r="I139" s="243" t="s">
        <v>889</v>
      </c>
      <c r="J139" s="255" t="str">
        <f t="shared" si="2"/>
        <v>Craft a loom with string and planks for creating your own banners (Obtain a loom)</v>
      </c>
      <c r="K139" s="256"/>
      <c r="L139" s="257"/>
      <c r="M139" s="256" t="s">
        <v>890</v>
      </c>
      <c r="N139" s="256" t="s">
        <v>891</v>
      </c>
      <c r="O139" s="239" t="s">
        <v>892</v>
      </c>
      <c r="P139" s="258" t="s">
        <v>751</v>
      </c>
      <c r="Q139" s="259" t="s">
        <v>893</v>
      </c>
      <c r="R139" s="258" t="s">
        <v>194</v>
      </c>
      <c r="S139" s="259"/>
    </row>
    <row r="140">
      <c r="A140" s="230">
        <v>140.0</v>
      </c>
      <c r="B140" s="230" t="s">
        <v>188</v>
      </c>
      <c r="C140" s="231"/>
      <c r="D140" s="232"/>
      <c r="E140" s="232">
        <f>IFERROR(__xludf.DUMMYFUNCTION("iferror(SPLIT(D140,""/""),split(""0/0"",""/""))"),0.0)</f>
        <v>0</v>
      </c>
      <c r="F140" s="232">
        <f>IFERROR(__xludf.DUMMYFUNCTION("""COMPUTED_VALUE"""),0.0)</f>
        <v>0</v>
      </c>
      <c r="G140" s="247" t="b">
        <v>0</v>
      </c>
      <c r="H140" s="242" t="str">
        <f t="shared" si="1"/>
        <v/>
      </c>
      <c r="I140" s="246" t="s">
        <v>894</v>
      </c>
      <c r="J140" s="255" t="str">
        <f t="shared" si="2"/>
        <v>Craft all 16 banner colors</v>
      </c>
      <c r="K140" s="256" t="s">
        <v>790</v>
      </c>
      <c r="L140" s="257"/>
      <c r="M140" s="256"/>
      <c r="N140" s="256" t="s">
        <v>895</v>
      </c>
      <c r="O140" s="239" t="s">
        <v>896</v>
      </c>
      <c r="P140" s="258" t="s">
        <v>751</v>
      </c>
      <c r="Q140" s="259" t="s">
        <v>897</v>
      </c>
      <c r="R140" s="258" t="s">
        <v>194</v>
      </c>
      <c r="S140" s="259"/>
    </row>
    <row r="141">
      <c r="A141" s="230">
        <v>141.0</v>
      </c>
      <c r="B141" s="230" t="s">
        <v>188</v>
      </c>
      <c r="C141" s="231"/>
      <c r="D141" s="232"/>
      <c r="E141" s="232">
        <f>IFERROR(__xludf.DUMMYFUNCTION("iferror(SPLIT(D141,""/""),split(""0/0"",""/""))"),0.0)</f>
        <v>0</v>
      </c>
      <c r="F141" s="232">
        <f>IFERROR(__xludf.DUMMYFUNCTION("""COMPUTED_VALUE"""),0.0)</f>
        <v>0</v>
      </c>
      <c r="G141" s="247" t="b">
        <v>0</v>
      </c>
      <c r="H141" s="242" t="str">
        <f t="shared" si="1"/>
        <v/>
      </c>
      <c r="I141" s="249" t="s">
        <v>898</v>
      </c>
      <c r="J141" s="255" t="str">
        <f t="shared" si="2"/>
        <v>Craft all the special banner patterns (See requirement notes below)</v>
      </c>
      <c r="K141" s="256" t="s">
        <v>899</v>
      </c>
      <c r="L141" s="257"/>
      <c r="M141" s="260" t="s">
        <v>238</v>
      </c>
      <c r="N141" s="256" t="s">
        <v>900</v>
      </c>
      <c r="O141" s="239" t="s">
        <v>901</v>
      </c>
      <c r="P141" s="258" t="s">
        <v>751</v>
      </c>
      <c r="Q141" s="259" t="s">
        <v>902</v>
      </c>
      <c r="R141" s="258" t="s">
        <v>194</v>
      </c>
      <c r="S141" s="259"/>
    </row>
    <row r="142">
      <c r="A142" s="230">
        <v>142.0</v>
      </c>
      <c r="B142" s="230" t="s">
        <v>283</v>
      </c>
      <c r="C142" s="231"/>
      <c r="D142" s="232"/>
      <c r="E142" s="232">
        <f>IFERROR(__xludf.DUMMYFUNCTION("iferror(SPLIT(D142,""/""),split(""0/0"",""/""))"),0.0)</f>
        <v>0</v>
      </c>
      <c r="F142" s="232">
        <f>IFERROR(__xludf.DUMMYFUNCTION("""COMPUTED_VALUE"""),0.0)</f>
        <v>0</v>
      </c>
      <c r="G142" s="247" t="b">
        <v>0</v>
      </c>
      <c r="H142" s="242" t="str">
        <f t="shared" si="1"/>
        <v/>
      </c>
      <c r="I142" s="243" t="s">
        <v>903</v>
      </c>
      <c r="J142" s="255" t="str">
        <f t="shared" si="2"/>
        <v>Light up the area with some torches (Place a torch)</v>
      </c>
      <c r="K142" s="256" t="s">
        <v>904</v>
      </c>
      <c r="L142" s="257"/>
      <c r="M142" s="256" t="s">
        <v>905</v>
      </c>
      <c r="N142" s="256" t="s">
        <v>906</v>
      </c>
      <c r="O142" s="239" t="s">
        <v>907</v>
      </c>
      <c r="P142" s="258" t="s">
        <v>751</v>
      </c>
      <c r="Q142" s="259" t="s">
        <v>908</v>
      </c>
      <c r="R142" s="258" t="s">
        <v>194</v>
      </c>
      <c r="S142" s="259" t="s">
        <v>290</v>
      </c>
    </row>
    <row r="143">
      <c r="A143" s="230">
        <v>143.0</v>
      </c>
      <c r="B143" s="230" t="s">
        <v>188</v>
      </c>
      <c r="C143" s="231"/>
      <c r="D143" s="232"/>
      <c r="E143" s="232">
        <f>IFERROR(__xludf.DUMMYFUNCTION("iferror(SPLIT(D143,""/""),split(""0/0"",""/""))"),0.0)</f>
        <v>0</v>
      </c>
      <c r="F143" s="232">
        <f>IFERROR(__xludf.DUMMYFUNCTION("""COMPUTED_VALUE"""),0.0)</f>
        <v>0</v>
      </c>
      <c r="G143" s="247" t="b">
        <v>0</v>
      </c>
      <c r="H143" s="242" t="str">
        <f t="shared" si="1"/>
        <v/>
      </c>
      <c r="I143" s="243" t="s">
        <v>909</v>
      </c>
      <c r="J143" s="255" t="str">
        <f t="shared" si="2"/>
        <v>Craft and place a campfire using some logs, sticks and coal</v>
      </c>
      <c r="K143" s="256"/>
      <c r="L143" s="257"/>
      <c r="M143" s="256"/>
      <c r="N143" s="256" t="s">
        <v>910</v>
      </c>
      <c r="O143" s="239" t="s">
        <v>911</v>
      </c>
      <c r="P143" s="258" t="s">
        <v>751</v>
      </c>
      <c r="Q143" s="259" t="s">
        <v>912</v>
      </c>
      <c r="R143" s="258" t="s">
        <v>194</v>
      </c>
      <c r="S143" s="259"/>
    </row>
    <row r="144">
      <c r="A144" s="230">
        <v>144.0</v>
      </c>
      <c r="B144" s="230" t="s">
        <v>257</v>
      </c>
      <c r="C144" s="231"/>
      <c r="D144" s="232"/>
      <c r="E144" s="232">
        <f>IFERROR(__xludf.DUMMYFUNCTION("iferror(SPLIT(D144,""/""),split(""0/0"",""/""))"),0.0)</f>
        <v>0</v>
      </c>
      <c r="F144" s="232">
        <f>IFERROR(__xludf.DUMMYFUNCTION("""COMPUTED_VALUE"""),0.0)</f>
        <v>0</v>
      </c>
      <c r="G144" s="247" t="b">
        <v>0</v>
      </c>
      <c r="H144" s="242" t="str">
        <f t="shared" si="1"/>
        <v/>
      </c>
      <c r="I144" s="246" t="s">
        <v>913</v>
      </c>
      <c r="J144" s="255" t="str">
        <f t="shared" si="2"/>
        <v>Place every type of cookable food on a campfire (See requirement notes below)</v>
      </c>
      <c r="K144" s="256" t="s">
        <v>914</v>
      </c>
      <c r="L144" s="257"/>
      <c r="M144" s="260" t="s">
        <v>238</v>
      </c>
      <c r="N144" s="256" t="s">
        <v>915</v>
      </c>
      <c r="O144" s="239" t="s">
        <v>916</v>
      </c>
      <c r="P144" s="258" t="s">
        <v>751</v>
      </c>
      <c r="Q144" s="259" t="s">
        <v>917</v>
      </c>
      <c r="R144" s="258" t="s">
        <v>194</v>
      </c>
      <c r="S144" s="259" t="s">
        <v>262</v>
      </c>
    </row>
    <row r="145">
      <c r="A145" s="230">
        <v>145.0</v>
      </c>
      <c r="B145" s="230" t="s">
        <v>257</v>
      </c>
      <c r="C145" s="231"/>
      <c r="D145" s="232"/>
      <c r="E145" s="232">
        <f>IFERROR(__xludf.DUMMYFUNCTION("iferror(SPLIT(D145,""/""),split(""0/0"",""/""))"),0.0)</f>
        <v>0</v>
      </c>
      <c r="F145" s="232">
        <f>IFERROR(__xludf.DUMMYFUNCTION("""COMPUTED_VALUE"""),0.0)</f>
        <v>0</v>
      </c>
      <c r="G145" s="247" t="b">
        <v>0</v>
      </c>
      <c r="H145" s="242" t="str">
        <f t="shared" si="1"/>
        <v/>
      </c>
      <c r="I145" s="246" t="s">
        <v>918</v>
      </c>
      <c r="J145" s="255" t="str">
        <f t="shared" si="2"/>
        <v>Travel close to 0,0 coordinates and place down a campfire (Place a campfire with x and z coordinates both being between -10 and 10)</v>
      </c>
      <c r="K145" s="256" t="s">
        <v>919</v>
      </c>
      <c r="L145" s="257"/>
      <c r="M145" s="256" t="s">
        <v>920</v>
      </c>
      <c r="N145" s="256" t="s">
        <v>921</v>
      </c>
      <c r="O145" s="239" t="s">
        <v>922</v>
      </c>
      <c r="P145" s="258" t="s">
        <v>751</v>
      </c>
      <c r="Q145" s="259" t="s">
        <v>923</v>
      </c>
      <c r="R145" s="258" t="s">
        <v>194</v>
      </c>
      <c r="S145" s="259" t="s">
        <v>262</v>
      </c>
    </row>
    <row r="146">
      <c r="A146" s="230">
        <v>146.0</v>
      </c>
      <c r="B146" s="230" t="s">
        <v>283</v>
      </c>
      <c r="C146" s="231"/>
      <c r="D146" s="232"/>
      <c r="E146" s="232">
        <f>IFERROR(__xludf.DUMMYFUNCTION("iferror(SPLIT(D146,""/""),split(""0/0"",""/""))"),0.0)</f>
        <v>0</v>
      </c>
      <c r="F146" s="232">
        <f>IFERROR(__xludf.DUMMYFUNCTION("""COMPUTED_VALUE"""),0.0)</f>
        <v>0</v>
      </c>
      <c r="G146" s="247" t="b">
        <v>0</v>
      </c>
      <c r="H146" s="242" t="str">
        <f t="shared" si="1"/>
        <v/>
      </c>
      <c r="I146" s="243" t="s">
        <v>924</v>
      </c>
      <c r="J146" s="255" t="str">
        <f t="shared" si="2"/>
        <v>Light up with jack o' lanterns! (Place a jack o' lantern)</v>
      </c>
      <c r="K146" s="256" t="s">
        <v>925</v>
      </c>
      <c r="L146" s="257"/>
      <c r="M146" s="256" t="s">
        <v>926</v>
      </c>
      <c r="N146" s="256" t="s">
        <v>927</v>
      </c>
      <c r="O146" s="239" t="s">
        <v>928</v>
      </c>
      <c r="P146" s="258" t="s">
        <v>751</v>
      </c>
      <c r="Q146" s="259" t="s">
        <v>929</v>
      </c>
      <c r="R146" s="258" t="s">
        <v>194</v>
      </c>
      <c r="S146" s="259" t="s">
        <v>290</v>
      </c>
    </row>
    <row r="147">
      <c r="A147" s="230">
        <v>147.0</v>
      </c>
      <c r="B147" s="230" t="s">
        <v>283</v>
      </c>
      <c r="C147" s="231"/>
      <c r="D147" s="232"/>
      <c r="E147" s="232">
        <f>IFERROR(__xludf.DUMMYFUNCTION("iferror(SPLIT(D147,""/""),split(""0/0"",""/""))"),0.0)</f>
        <v>0</v>
      </c>
      <c r="F147" s="232">
        <f>IFERROR(__xludf.DUMMYFUNCTION("""COMPUTED_VALUE"""),0.0)</f>
        <v>0</v>
      </c>
      <c r="G147" s="247" t="b">
        <v>0</v>
      </c>
      <c r="H147" s="242" t="str">
        <f t="shared" si="1"/>
        <v/>
      </c>
      <c r="I147" s="243" t="s">
        <v>930</v>
      </c>
      <c r="J147" s="255" t="str">
        <f t="shared" si="2"/>
        <v>Place four sea pickles in a group underwater (Place a sea pickle on top of three existing sea pickles to create a group of four)</v>
      </c>
      <c r="K147" s="256" t="s">
        <v>931</v>
      </c>
      <c r="L147" s="257"/>
      <c r="M147" s="256" t="s">
        <v>932</v>
      </c>
      <c r="N147" s="256" t="s">
        <v>933</v>
      </c>
      <c r="O147" s="239" t="s">
        <v>934</v>
      </c>
      <c r="P147" s="258" t="s">
        <v>751</v>
      </c>
      <c r="Q147" s="259" t="s">
        <v>935</v>
      </c>
      <c r="R147" s="258" t="s">
        <v>194</v>
      </c>
      <c r="S147" s="259" t="s">
        <v>290</v>
      </c>
    </row>
    <row r="148">
      <c r="A148" s="230">
        <v>148.0</v>
      </c>
      <c r="B148" s="230" t="s">
        <v>283</v>
      </c>
      <c r="C148" s="231"/>
      <c r="D148" s="232"/>
      <c r="E148" s="232">
        <f>IFERROR(__xludf.DUMMYFUNCTION("iferror(SPLIT(D148,""/""),split(""0/0"",""/""))"),0.0)</f>
        <v>0</v>
      </c>
      <c r="F148" s="232">
        <f>IFERROR(__xludf.DUMMYFUNCTION("""COMPUTED_VALUE"""),0.0)</f>
        <v>0</v>
      </c>
      <c r="G148" s="247" t="b">
        <v>0</v>
      </c>
      <c r="H148" s="242" t="str">
        <f t="shared" si="1"/>
        <v/>
      </c>
      <c r="I148" s="243" t="s">
        <v>936</v>
      </c>
      <c r="J148" s="255" t="str">
        <f t="shared" si="2"/>
        <v>Place a candle and light it using Flint and Steel (Light any type of candle or candle cake using either Flint and Steel or a Fire Charge)</v>
      </c>
      <c r="K148" s="256" t="s">
        <v>937</v>
      </c>
      <c r="L148" s="257"/>
      <c r="M148" s="256" t="s">
        <v>938</v>
      </c>
      <c r="N148" s="256" t="s">
        <v>939</v>
      </c>
      <c r="O148" s="239" t="s">
        <v>940</v>
      </c>
      <c r="P148" s="258" t="s">
        <v>751</v>
      </c>
      <c r="Q148" s="259" t="s">
        <v>941</v>
      </c>
      <c r="R148" s="258" t="s">
        <v>194</v>
      </c>
      <c r="S148" s="259" t="s">
        <v>290</v>
      </c>
    </row>
    <row r="149">
      <c r="A149" s="230">
        <v>149.0</v>
      </c>
      <c r="B149" s="230" t="s">
        <v>188</v>
      </c>
      <c r="C149" s="231"/>
      <c r="D149" s="232"/>
      <c r="E149" s="232">
        <f>IFERROR(__xludf.DUMMYFUNCTION("iferror(SPLIT(D149,""/""),split(""0/0"",""/""))"),0.0)</f>
        <v>0</v>
      </c>
      <c r="F149" s="232">
        <f>IFERROR(__xludf.DUMMYFUNCTION("""COMPUTED_VALUE"""),0.0)</f>
        <v>0</v>
      </c>
      <c r="G149" s="247" t="b">
        <v>0</v>
      </c>
      <c r="H149" s="242" t="str">
        <f t="shared" si="1"/>
        <v/>
      </c>
      <c r="I149" s="246" t="s">
        <v>942</v>
      </c>
      <c r="J149" s="255" t="str">
        <f t="shared" si="2"/>
        <v>Get one stack of Black Candles</v>
      </c>
      <c r="K149" s="256" t="s">
        <v>943</v>
      </c>
      <c r="L149" s="257"/>
      <c r="M149" s="256"/>
      <c r="N149" s="256" t="s">
        <v>944</v>
      </c>
      <c r="O149" s="239" t="s">
        <v>945</v>
      </c>
      <c r="P149" s="258" t="s">
        <v>751</v>
      </c>
      <c r="Q149" s="259" t="s">
        <v>946</v>
      </c>
      <c r="R149" s="258" t="s">
        <v>194</v>
      </c>
      <c r="S149" s="259"/>
    </row>
    <row r="150">
      <c r="A150" s="230">
        <v>150.0</v>
      </c>
      <c r="B150" s="230" t="s">
        <v>283</v>
      </c>
      <c r="C150" s="231"/>
      <c r="D150" s="232"/>
      <c r="E150" s="232">
        <f>IFERROR(__xludf.DUMMYFUNCTION("iferror(SPLIT(D150,""/""),split(""0/0"",""/""))"),0.0)</f>
        <v>0</v>
      </c>
      <c r="F150" s="232">
        <f>IFERROR(__xludf.DUMMYFUNCTION("""COMPUTED_VALUE"""),0.0)</f>
        <v>0</v>
      </c>
      <c r="G150" s="247" t="b">
        <v>0</v>
      </c>
      <c r="H150" s="242" t="str">
        <f t="shared" si="1"/>
        <v/>
      </c>
      <c r="I150" s="243" t="s">
        <v>947</v>
      </c>
      <c r="J150" s="255" t="str">
        <f t="shared" si="2"/>
        <v>Place a candle on a cake</v>
      </c>
      <c r="K150" s="256"/>
      <c r="L150" s="257"/>
      <c r="M150" s="256"/>
      <c r="N150" s="256" t="s">
        <v>948</v>
      </c>
      <c r="O150" s="239" t="s">
        <v>949</v>
      </c>
      <c r="P150" s="258" t="s">
        <v>751</v>
      </c>
      <c r="Q150" s="259" t="s">
        <v>950</v>
      </c>
      <c r="R150" s="258" t="s">
        <v>194</v>
      </c>
      <c r="S150" s="259" t="s">
        <v>290</v>
      </c>
    </row>
    <row r="151">
      <c r="A151" s="230">
        <v>151.0</v>
      </c>
      <c r="B151" s="230" t="s">
        <v>283</v>
      </c>
      <c r="C151" s="231"/>
      <c r="D151" s="232"/>
      <c r="E151" s="232">
        <f>IFERROR(__xludf.DUMMYFUNCTION("iferror(SPLIT(D151,""/""),split(""0/0"",""/""))"),0.0)</f>
        <v>0</v>
      </c>
      <c r="F151" s="232">
        <f>IFERROR(__xludf.DUMMYFUNCTION("""COMPUTED_VALUE"""),0.0)</f>
        <v>0</v>
      </c>
      <c r="G151" s="247" t="b">
        <v>0</v>
      </c>
      <c r="H151" s="242" t="str">
        <f t="shared" si="1"/>
        <v/>
      </c>
      <c r="I151" s="243" t="s">
        <v>951</v>
      </c>
      <c r="J151" s="255" t="str">
        <f t="shared" si="2"/>
        <v>Light up the area using a lantern (Place a lantern)</v>
      </c>
      <c r="K151" s="256" t="s">
        <v>952</v>
      </c>
      <c r="L151" s="257"/>
      <c r="M151" s="256" t="s">
        <v>953</v>
      </c>
      <c r="N151" s="256" t="s">
        <v>954</v>
      </c>
      <c r="O151" s="239" t="s">
        <v>955</v>
      </c>
      <c r="P151" s="258" t="s">
        <v>751</v>
      </c>
      <c r="Q151" s="259" t="s">
        <v>956</v>
      </c>
      <c r="R151" s="258" t="s">
        <v>194</v>
      </c>
      <c r="S151" s="259" t="s">
        <v>290</v>
      </c>
    </row>
    <row r="152">
      <c r="A152" s="230">
        <v>152.0</v>
      </c>
      <c r="B152" s="230" t="s">
        <v>283</v>
      </c>
      <c r="C152" s="231"/>
      <c r="D152" s="232"/>
      <c r="E152" s="232">
        <f>IFERROR(__xludf.DUMMYFUNCTION("iferror(SPLIT(D152,""/""),split(""0/0"",""/""))"),0.0)</f>
        <v>0</v>
      </c>
      <c r="F152" s="232">
        <f>IFERROR(__xludf.DUMMYFUNCTION("""COMPUTED_VALUE"""),0.0)</f>
        <v>0</v>
      </c>
      <c r="G152" s="247" t="b">
        <v>0</v>
      </c>
      <c r="H152" s="242" t="str">
        <f t="shared" si="1"/>
        <v/>
      </c>
      <c r="I152" s="243" t="s">
        <v>957</v>
      </c>
      <c r="J152" s="255" t="str">
        <f t="shared" si="2"/>
        <v>Light up the area with glowstone (Place a glowstone block)</v>
      </c>
      <c r="K152" s="256" t="s">
        <v>958</v>
      </c>
      <c r="L152" s="257"/>
      <c r="M152" s="256" t="s">
        <v>959</v>
      </c>
      <c r="N152" s="256" t="s">
        <v>960</v>
      </c>
      <c r="O152" s="239" t="s">
        <v>961</v>
      </c>
      <c r="P152" s="258" t="s">
        <v>751</v>
      </c>
      <c r="Q152" s="259" t="s">
        <v>962</v>
      </c>
      <c r="R152" s="258" t="s">
        <v>194</v>
      </c>
      <c r="S152" s="259" t="s">
        <v>290</v>
      </c>
    </row>
    <row r="153">
      <c r="A153" s="230">
        <v>153.0</v>
      </c>
      <c r="B153" s="230" t="s">
        <v>283</v>
      </c>
      <c r="C153" s="231"/>
      <c r="D153" s="232"/>
      <c r="E153" s="232">
        <f>IFERROR(__xludf.DUMMYFUNCTION("iferror(SPLIT(D153,""/""),split(""0/0"",""/""))"),0.0)</f>
        <v>0</v>
      </c>
      <c r="F153" s="232">
        <f>IFERROR(__xludf.DUMMYFUNCTION("""COMPUTED_VALUE"""),0.0)</f>
        <v>0</v>
      </c>
      <c r="G153" s="233" t="b">
        <v>0</v>
      </c>
      <c r="H153" s="242" t="str">
        <f t="shared" si="1"/>
        <v/>
      </c>
      <c r="I153" s="243" t="s">
        <v>963</v>
      </c>
      <c r="J153" s="255" t="str">
        <f t="shared" si="2"/>
        <v>Light up the area with Shroomlight! (Place a shroomlight)</v>
      </c>
      <c r="K153" s="256" t="s">
        <v>964</v>
      </c>
      <c r="L153" s="257"/>
      <c r="M153" s="256" t="s">
        <v>965</v>
      </c>
      <c r="N153" s="256" t="s">
        <v>966</v>
      </c>
      <c r="O153" s="239" t="s">
        <v>967</v>
      </c>
      <c r="P153" s="258" t="s">
        <v>751</v>
      </c>
      <c r="Q153" s="259" t="s">
        <v>968</v>
      </c>
      <c r="R153" s="258" t="s">
        <v>194</v>
      </c>
      <c r="S153" s="259" t="s">
        <v>290</v>
      </c>
    </row>
    <row r="154">
      <c r="A154" s="230">
        <v>154.0</v>
      </c>
      <c r="B154" s="230" t="s">
        <v>283</v>
      </c>
      <c r="C154" s="231"/>
      <c r="D154" s="232"/>
      <c r="E154" s="232">
        <f>IFERROR(__xludf.DUMMYFUNCTION("iferror(SPLIT(D154,""/""),split(""0/0"",""/""))"),0.0)</f>
        <v>0</v>
      </c>
      <c r="F154" s="232">
        <f>IFERROR(__xludf.DUMMYFUNCTION("""COMPUTED_VALUE"""),0.0)</f>
        <v>0</v>
      </c>
      <c r="G154" s="247" t="b">
        <v>0</v>
      </c>
      <c r="H154" s="242" t="str">
        <f t="shared" si="1"/>
        <v/>
      </c>
      <c r="I154" s="243" t="s">
        <v>969</v>
      </c>
      <c r="J154" s="255" t="str">
        <f t="shared" si="2"/>
        <v>Light up the area with soul fire torches and soul fire lanterns! (Place a soul fire torch and a soul fire lantern)</v>
      </c>
      <c r="K154" s="256" t="s">
        <v>970</v>
      </c>
      <c r="L154" s="257"/>
      <c r="M154" s="256" t="s">
        <v>971</v>
      </c>
      <c r="N154" s="256" t="s">
        <v>972</v>
      </c>
      <c r="O154" s="239" t="s">
        <v>973</v>
      </c>
      <c r="P154" s="258" t="s">
        <v>751</v>
      </c>
      <c r="Q154" s="259" t="s">
        <v>974</v>
      </c>
      <c r="R154" s="258" t="s">
        <v>194</v>
      </c>
      <c r="S154" s="259" t="s">
        <v>290</v>
      </c>
    </row>
    <row r="155">
      <c r="A155" s="230">
        <v>155.0</v>
      </c>
      <c r="B155" s="230" t="s">
        <v>283</v>
      </c>
      <c r="C155" s="231"/>
      <c r="D155" s="232"/>
      <c r="E155" s="232">
        <f>IFERROR(__xludf.DUMMYFUNCTION("iferror(SPLIT(D155,""/""),split(""0/0"",""/""))"),0.0)</f>
        <v>0</v>
      </c>
      <c r="F155" s="232">
        <f>IFERROR(__xludf.DUMMYFUNCTION("""COMPUTED_VALUE"""),0.0)</f>
        <v>0</v>
      </c>
      <c r="G155" s="247" t="b">
        <v>0</v>
      </c>
      <c r="H155" s="242" t="str">
        <f t="shared" si="1"/>
        <v/>
      </c>
      <c r="I155" s="246" t="s">
        <v>975</v>
      </c>
      <c r="J155" s="255" t="str">
        <f t="shared" si="2"/>
        <v>Light up the area with all three hues of Froglight (Place Ochre, Verdant and Pearlescent Froglights)</v>
      </c>
      <c r="K155" s="256" t="s">
        <v>976</v>
      </c>
      <c r="L155" s="257"/>
      <c r="M155" s="256" t="s">
        <v>977</v>
      </c>
      <c r="N155" s="256" t="s">
        <v>978</v>
      </c>
      <c r="O155" s="239" t="s">
        <v>979</v>
      </c>
      <c r="P155" s="258" t="s">
        <v>751</v>
      </c>
      <c r="Q155" s="259" t="s">
        <v>980</v>
      </c>
      <c r="R155" s="258" t="s">
        <v>194</v>
      </c>
      <c r="S155" s="259" t="s">
        <v>290</v>
      </c>
    </row>
    <row r="156">
      <c r="A156" s="230">
        <v>156.0</v>
      </c>
      <c r="B156" s="230" t="s">
        <v>283</v>
      </c>
      <c r="C156" s="231"/>
      <c r="D156" s="232"/>
      <c r="E156" s="232">
        <f>IFERROR(__xludf.DUMMYFUNCTION("iferror(SPLIT(D156,""/""),split(""0/0"",""/""))"),0.0)</f>
        <v>0</v>
      </c>
      <c r="F156" s="232">
        <f>IFERROR(__xludf.DUMMYFUNCTION("""COMPUTED_VALUE"""),0.0)</f>
        <v>0</v>
      </c>
      <c r="G156" s="233" t="b">
        <v>0</v>
      </c>
      <c r="H156" s="242" t="str">
        <f t="shared" si="1"/>
        <v/>
      </c>
      <c r="I156" s="243" t="s">
        <v>981</v>
      </c>
      <c r="J156" s="255" t="str">
        <f t="shared" si="2"/>
        <v>Light up the area with some redstone lamps (Place a redstone lamp)</v>
      </c>
      <c r="K156" s="256" t="s">
        <v>982</v>
      </c>
      <c r="L156" s="257"/>
      <c r="M156" s="256" t="s">
        <v>983</v>
      </c>
      <c r="N156" s="256" t="s">
        <v>984</v>
      </c>
      <c r="O156" s="239" t="s">
        <v>985</v>
      </c>
      <c r="P156" s="258" t="s">
        <v>751</v>
      </c>
      <c r="Q156" s="259" t="s">
        <v>986</v>
      </c>
      <c r="R156" s="258" t="s">
        <v>194</v>
      </c>
      <c r="S156" s="259" t="s">
        <v>290</v>
      </c>
    </row>
    <row r="157">
      <c r="A157" s="230">
        <v>157.0</v>
      </c>
      <c r="B157" s="230" t="s">
        <v>206</v>
      </c>
      <c r="C157" s="231"/>
      <c r="D157" s="232"/>
      <c r="E157" s="232">
        <f>IFERROR(__xludf.DUMMYFUNCTION("iferror(SPLIT(D157,""/""),split(""0/0"",""/""))"),0.0)</f>
        <v>0</v>
      </c>
      <c r="F157" s="232">
        <f>IFERROR(__xludf.DUMMYFUNCTION("""COMPUTED_VALUE"""),0.0)</f>
        <v>0</v>
      </c>
      <c r="G157" s="247" t="b">
        <v>0</v>
      </c>
      <c r="H157" s="242" t="str">
        <f t="shared" si="1"/>
        <v/>
      </c>
      <c r="I157" s="243" t="s">
        <v>987</v>
      </c>
      <c r="J157" s="255" t="str">
        <f t="shared" si="2"/>
        <v>Light up the area with a Copper Bulb! (Place any Copper Bulb)</v>
      </c>
      <c r="K157" s="256" t="s">
        <v>988</v>
      </c>
      <c r="L157" s="257"/>
      <c r="M157" s="256" t="s">
        <v>989</v>
      </c>
      <c r="N157" s="256" t="s">
        <v>990</v>
      </c>
      <c r="O157" s="239" t="s">
        <v>991</v>
      </c>
      <c r="P157" s="258" t="s">
        <v>751</v>
      </c>
      <c r="Q157" s="259" t="s">
        <v>992</v>
      </c>
      <c r="R157" s="258" t="s">
        <v>194</v>
      </c>
      <c r="S157" s="258" t="s">
        <v>993</v>
      </c>
    </row>
    <row r="158">
      <c r="A158" s="230">
        <v>158.0</v>
      </c>
      <c r="B158" s="230" t="s">
        <v>206</v>
      </c>
      <c r="C158" s="231"/>
      <c r="D158" s="232"/>
      <c r="E158" s="232">
        <f>IFERROR(__xludf.DUMMYFUNCTION("iferror(SPLIT(D158,""/""),split(""0/0"",""/""))"),0.0)</f>
        <v>0</v>
      </c>
      <c r="F158" s="232">
        <f>IFERROR(__xludf.DUMMYFUNCTION("""COMPUTED_VALUE"""),0.0)</f>
        <v>0</v>
      </c>
      <c r="G158" s="247" t="b">
        <v>0</v>
      </c>
      <c r="H158" s="242" t="str">
        <f t="shared" si="1"/>
        <v/>
      </c>
      <c r="I158" s="243" t="s">
        <v>994</v>
      </c>
      <c r="J158" s="255" t="str">
        <f t="shared" si="2"/>
        <v>Scrape a Copper Bulb with an axe to make it brighter (Use an axe on a Copper Bulb that is either waxed or exposed, weathered or oxidized)</v>
      </c>
      <c r="K158" s="256"/>
      <c r="L158" s="257"/>
      <c r="M158" s="256" t="s">
        <v>995</v>
      </c>
      <c r="N158" s="256" t="s">
        <v>996</v>
      </c>
      <c r="O158" s="239" t="s">
        <v>997</v>
      </c>
      <c r="P158" s="258" t="s">
        <v>751</v>
      </c>
      <c r="Q158" s="259" t="s">
        <v>998</v>
      </c>
      <c r="R158" s="258" t="s">
        <v>194</v>
      </c>
      <c r="S158" s="258" t="s">
        <v>993</v>
      </c>
    </row>
    <row r="159">
      <c r="A159" s="230">
        <v>159.0</v>
      </c>
      <c r="B159" s="230" t="s">
        <v>283</v>
      </c>
      <c r="C159" s="231"/>
      <c r="D159" s="232"/>
      <c r="E159" s="232">
        <f>IFERROR(__xludf.DUMMYFUNCTION("iferror(SPLIT(D159,""/""),split(""0/0"",""/""))"),0.0)</f>
        <v>0</v>
      </c>
      <c r="F159" s="232">
        <f>IFERROR(__xludf.DUMMYFUNCTION("""COMPUTED_VALUE"""),0.0)</f>
        <v>0</v>
      </c>
      <c r="G159" s="247" t="b">
        <v>0</v>
      </c>
      <c r="H159" s="242" t="str">
        <f t="shared" si="1"/>
        <v/>
      </c>
      <c r="I159" s="243" t="s">
        <v>999</v>
      </c>
      <c r="J159" s="255" t="str">
        <f t="shared" si="2"/>
        <v>Light up the area with some sea lanterns (Place a sea lantern)</v>
      </c>
      <c r="K159" s="256" t="s">
        <v>1000</v>
      </c>
      <c r="L159" s="257"/>
      <c r="M159" s="256" t="s">
        <v>1001</v>
      </c>
      <c r="N159" s="256" t="s">
        <v>1002</v>
      </c>
      <c r="O159" s="239" t="s">
        <v>1003</v>
      </c>
      <c r="P159" s="258" t="s">
        <v>751</v>
      </c>
      <c r="Q159" s="259" t="s">
        <v>1004</v>
      </c>
      <c r="R159" s="258" t="s">
        <v>194</v>
      </c>
      <c r="S159" s="259" t="s">
        <v>290</v>
      </c>
    </row>
    <row r="160">
      <c r="A160" s="230">
        <v>160.0</v>
      </c>
      <c r="B160" s="230" t="s">
        <v>283</v>
      </c>
      <c r="C160" s="231"/>
      <c r="D160" s="232"/>
      <c r="E160" s="232">
        <f>IFERROR(__xludf.DUMMYFUNCTION("iferror(SPLIT(D160,""/""),split(""0/0"",""/""))"),0.0)</f>
        <v>0</v>
      </c>
      <c r="F160" s="232">
        <f>IFERROR(__xludf.DUMMYFUNCTION("""COMPUTED_VALUE"""),0.0)</f>
        <v>0</v>
      </c>
      <c r="G160" s="247" t="b">
        <v>0</v>
      </c>
      <c r="H160" s="242" t="str">
        <f t="shared" si="1"/>
        <v/>
      </c>
      <c r="I160" s="243" t="s">
        <v>1005</v>
      </c>
      <c r="J160" s="255" t="str">
        <f t="shared" si="2"/>
        <v>Light up the area with some end rods (Place an end rod)</v>
      </c>
      <c r="K160" s="256" t="s">
        <v>1006</v>
      </c>
      <c r="L160" s="257"/>
      <c r="M160" s="256" t="s">
        <v>1007</v>
      </c>
      <c r="N160" s="256" t="s">
        <v>1008</v>
      </c>
      <c r="O160" s="239" t="s">
        <v>1009</v>
      </c>
      <c r="P160" s="258" t="s">
        <v>751</v>
      </c>
      <c r="Q160" s="259" t="s">
        <v>1010</v>
      </c>
      <c r="R160" s="258" t="s">
        <v>194</v>
      </c>
      <c r="S160" s="259" t="s">
        <v>290</v>
      </c>
    </row>
    <row r="161">
      <c r="A161" s="230">
        <v>161.0</v>
      </c>
      <c r="B161" s="230" t="s">
        <v>188</v>
      </c>
      <c r="C161" s="231"/>
      <c r="D161" s="232"/>
      <c r="E161" s="232">
        <f>IFERROR(__xludf.DUMMYFUNCTION("iferror(SPLIT(D161,""/""),split(""0/0"",""/""))"),0.0)</f>
        <v>0</v>
      </c>
      <c r="F161" s="232">
        <f>IFERROR(__xludf.DUMMYFUNCTION("""COMPUTED_VALUE"""),0.0)</f>
        <v>0</v>
      </c>
      <c r="G161" s="247" t="b">
        <v>0</v>
      </c>
      <c r="H161" s="242" t="str">
        <f t="shared" si="1"/>
        <v/>
      </c>
      <c r="I161" s="249" t="s">
        <v>1011</v>
      </c>
      <c r="J161" s="255" t="str">
        <f t="shared" si="2"/>
        <v>Hold a stack of every light-emitting block and item (See requirement notes below)</v>
      </c>
      <c r="K161" s="256"/>
      <c r="L161" s="257"/>
      <c r="M161" s="260" t="s">
        <v>238</v>
      </c>
      <c r="N161" s="256" t="s">
        <v>1012</v>
      </c>
      <c r="O161" s="239" t="s">
        <v>1013</v>
      </c>
      <c r="P161" s="258" t="s">
        <v>751</v>
      </c>
      <c r="Q161" s="259" t="s">
        <v>1014</v>
      </c>
      <c r="R161" s="258" t="s">
        <v>194</v>
      </c>
      <c r="S161" s="259"/>
    </row>
    <row r="162">
      <c r="A162" s="230">
        <v>162.0</v>
      </c>
      <c r="B162" s="230" t="s">
        <v>188</v>
      </c>
      <c r="C162" s="231"/>
      <c r="D162" s="232"/>
      <c r="E162" s="232">
        <f>IFERROR(__xludf.DUMMYFUNCTION("iferror(SPLIT(D162,""/""),split(""0/0"",""/""))"),0.0)</f>
        <v>0</v>
      </c>
      <c r="F162" s="232">
        <f>IFERROR(__xludf.DUMMYFUNCTION("""COMPUTED_VALUE"""),0.0)</f>
        <v>0</v>
      </c>
      <c r="G162" s="247" t="b">
        <v>0</v>
      </c>
      <c r="H162" s="242" t="str">
        <f t="shared" si="1"/>
        <v/>
      </c>
      <c r="I162" s="243" t="s">
        <v>1015</v>
      </c>
      <c r="J162" s="255" t="str">
        <f t="shared" si="2"/>
        <v>Chop down enough trees to collect a full stack of one log type</v>
      </c>
      <c r="K162" s="262" t="s">
        <v>1016</v>
      </c>
      <c r="L162" s="263"/>
      <c r="M162" s="256"/>
      <c r="N162" s="256" t="s">
        <v>1017</v>
      </c>
      <c r="O162" s="239" t="s">
        <v>1018</v>
      </c>
      <c r="P162" s="258" t="s">
        <v>751</v>
      </c>
      <c r="Q162" s="259" t="s">
        <v>1019</v>
      </c>
      <c r="R162" s="258" t="s">
        <v>194</v>
      </c>
      <c r="S162" s="259"/>
    </row>
    <row r="163">
      <c r="A163" s="230">
        <v>163.0</v>
      </c>
      <c r="B163" s="230" t="s">
        <v>188</v>
      </c>
      <c r="C163" s="231"/>
      <c r="D163" s="232"/>
      <c r="E163" s="232">
        <f>IFERROR(__xludf.DUMMYFUNCTION("iferror(SPLIT(D163,""/""),split(""0/0"",""/""))"),0.0)</f>
        <v>0</v>
      </c>
      <c r="F163" s="232">
        <f>IFERROR(__xludf.DUMMYFUNCTION("""COMPUTED_VALUE"""),0.0)</f>
        <v>0</v>
      </c>
      <c r="G163" s="247" t="b">
        <v>0</v>
      </c>
      <c r="H163" s="242" t="str">
        <f t="shared" si="1"/>
        <v/>
      </c>
      <c r="I163" s="243" t="s">
        <v>1020</v>
      </c>
      <c r="J163" s="255" t="str">
        <f t="shared" si="2"/>
        <v>Craft a bark block (Obtain a "wood" or "hyphae" block of any kind)</v>
      </c>
      <c r="K163" s="256"/>
      <c r="L163" s="257"/>
      <c r="M163" s="256" t="s">
        <v>1021</v>
      </c>
      <c r="N163" s="256" t="s">
        <v>1022</v>
      </c>
      <c r="O163" s="239" t="s">
        <v>1023</v>
      </c>
      <c r="P163" s="258" t="s">
        <v>751</v>
      </c>
      <c r="Q163" s="259" t="s">
        <v>1024</v>
      </c>
      <c r="R163" s="258" t="s">
        <v>194</v>
      </c>
      <c r="S163" s="259"/>
    </row>
    <row r="164">
      <c r="A164" s="230">
        <v>164.0</v>
      </c>
      <c r="B164" s="230" t="s">
        <v>188</v>
      </c>
      <c r="C164" s="231"/>
      <c r="D164" s="232"/>
      <c r="E164" s="232">
        <f>IFERROR(__xludf.DUMMYFUNCTION("iferror(SPLIT(D164,""/""),split(""0/0"",""/""))"),0.0)</f>
        <v>0</v>
      </c>
      <c r="F164" s="232">
        <f>IFERROR(__xludf.DUMMYFUNCTION("""COMPUTED_VALUE"""),0.0)</f>
        <v>0</v>
      </c>
      <c r="G164" s="247" t="b">
        <v>0</v>
      </c>
      <c r="H164" s="242" t="str">
        <f t="shared" si="1"/>
        <v/>
      </c>
      <c r="I164" s="243" t="s">
        <v>1025</v>
      </c>
      <c r="J164" s="255" t="str">
        <f t="shared" si="2"/>
        <v>Strip a bark block of its bark (Strip a wood or hyphae block using an axe)</v>
      </c>
      <c r="K164" s="256"/>
      <c r="L164" s="257"/>
      <c r="M164" s="256" t="s">
        <v>1026</v>
      </c>
      <c r="N164" s="256" t="s">
        <v>1027</v>
      </c>
      <c r="O164" s="239" t="s">
        <v>1028</v>
      </c>
      <c r="P164" s="258" t="s">
        <v>751</v>
      </c>
      <c r="Q164" s="259" t="s">
        <v>1029</v>
      </c>
      <c r="R164" s="258" t="s">
        <v>194</v>
      </c>
      <c r="S164" s="259"/>
    </row>
    <row r="165">
      <c r="A165" s="230">
        <v>165.0</v>
      </c>
      <c r="B165" s="230" t="s">
        <v>188</v>
      </c>
      <c r="C165" s="231"/>
      <c r="D165" s="232"/>
      <c r="E165" s="232">
        <f>IFERROR(__xludf.DUMMYFUNCTION("iferror(SPLIT(D165,""/""),split(""0/0"",""/""))"),0.0)</f>
        <v>0</v>
      </c>
      <c r="F165" s="232">
        <f>IFERROR(__xludf.DUMMYFUNCTION("""COMPUTED_VALUE"""),0.0)</f>
        <v>0</v>
      </c>
      <c r="G165" s="247" t="b">
        <v>0</v>
      </c>
      <c r="H165" s="242" t="str">
        <f t="shared" si="1"/>
        <v/>
      </c>
      <c r="I165" s="246" t="s">
        <v>1030</v>
      </c>
      <c r="J165" s="255" t="str">
        <f t="shared" si="2"/>
        <v>Craft every type of item made out of oak wood (See requirement notes below)</v>
      </c>
      <c r="K165" s="256" t="s">
        <v>1031</v>
      </c>
      <c r="L165" s="257"/>
      <c r="M165" s="260" t="s">
        <v>238</v>
      </c>
      <c r="N165" s="256" t="s">
        <v>1032</v>
      </c>
      <c r="O165" s="239" t="s">
        <v>1033</v>
      </c>
      <c r="P165" s="258" t="s">
        <v>751</v>
      </c>
      <c r="Q165" s="259" t="s">
        <v>1034</v>
      </c>
      <c r="R165" s="258" t="s">
        <v>194</v>
      </c>
      <c r="S165" s="259"/>
    </row>
    <row r="166">
      <c r="A166" s="230">
        <v>166.0</v>
      </c>
      <c r="B166" s="230" t="s">
        <v>188</v>
      </c>
      <c r="C166" s="231"/>
      <c r="D166" s="232"/>
      <c r="E166" s="232">
        <f>IFERROR(__xludf.DUMMYFUNCTION("iferror(SPLIT(D166,""/""),split(""0/0"",""/""))"),0.0)</f>
        <v>0</v>
      </c>
      <c r="F166" s="232">
        <f>IFERROR(__xludf.DUMMYFUNCTION("""COMPUTED_VALUE"""),0.0)</f>
        <v>0</v>
      </c>
      <c r="G166" s="247" t="b">
        <v>0</v>
      </c>
      <c r="H166" s="242" t="str">
        <f t="shared" si="1"/>
        <v/>
      </c>
      <c r="I166" s="246" t="s">
        <v>1035</v>
      </c>
      <c r="J166" s="255" t="str">
        <f t="shared" si="2"/>
        <v>Craft every type of item made out of spruce wood (See requirement notes below)</v>
      </c>
      <c r="K166" s="256" t="s">
        <v>1036</v>
      </c>
      <c r="L166" s="257"/>
      <c r="M166" s="260" t="s">
        <v>238</v>
      </c>
      <c r="N166" s="256" t="s">
        <v>1037</v>
      </c>
      <c r="O166" s="239" t="s">
        <v>1038</v>
      </c>
      <c r="P166" s="258" t="s">
        <v>751</v>
      </c>
      <c r="Q166" s="259" t="s">
        <v>1039</v>
      </c>
      <c r="R166" s="258" t="s">
        <v>194</v>
      </c>
      <c r="S166" s="259"/>
    </row>
    <row r="167">
      <c r="A167" s="230">
        <v>167.0</v>
      </c>
      <c r="B167" s="230" t="s">
        <v>188</v>
      </c>
      <c r="C167" s="231"/>
      <c r="D167" s="232"/>
      <c r="E167" s="232">
        <f>IFERROR(__xludf.DUMMYFUNCTION("iferror(SPLIT(D167,""/""),split(""0/0"",""/""))"),0.0)</f>
        <v>0</v>
      </c>
      <c r="F167" s="232">
        <f>IFERROR(__xludf.DUMMYFUNCTION("""COMPUTED_VALUE"""),0.0)</f>
        <v>0</v>
      </c>
      <c r="G167" s="247" t="b">
        <v>0</v>
      </c>
      <c r="H167" s="242" t="str">
        <f t="shared" si="1"/>
        <v/>
      </c>
      <c r="I167" s="246" t="s">
        <v>1040</v>
      </c>
      <c r="J167" s="255" t="str">
        <f t="shared" si="2"/>
        <v>Craft every type of item made out of birch wood (See requirement notes below)</v>
      </c>
      <c r="K167" s="256" t="s">
        <v>1041</v>
      </c>
      <c r="L167" s="257"/>
      <c r="M167" s="260" t="s">
        <v>238</v>
      </c>
      <c r="N167" s="256" t="s">
        <v>1042</v>
      </c>
      <c r="O167" s="239" t="s">
        <v>1043</v>
      </c>
      <c r="P167" s="258" t="s">
        <v>751</v>
      </c>
      <c r="Q167" s="259" t="s">
        <v>1044</v>
      </c>
      <c r="R167" s="258" t="s">
        <v>194</v>
      </c>
      <c r="S167" s="259"/>
    </row>
    <row r="168">
      <c r="A168" s="230">
        <v>168.0</v>
      </c>
      <c r="B168" s="230" t="s">
        <v>188</v>
      </c>
      <c r="C168" s="231"/>
      <c r="D168" s="232"/>
      <c r="E168" s="232">
        <f>IFERROR(__xludf.DUMMYFUNCTION("iferror(SPLIT(D168,""/""),split(""0/0"",""/""))"),0.0)</f>
        <v>0</v>
      </c>
      <c r="F168" s="232">
        <f>IFERROR(__xludf.DUMMYFUNCTION("""COMPUTED_VALUE"""),0.0)</f>
        <v>0</v>
      </c>
      <c r="G168" s="247" t="b">
        <v>0</v>
      </c>
      <c r="H168" s="242" t="str">
        <f t="shared" si="1"/>
        <v/>
      </c>
      <c r="I168" s="246" t="s">
        <v>1045</v>
      </c>
      <c r="J168" s="255" t="str">
        <f t="shared" si="2"/>
        <v>Craft every type of item made out of jungle wood (See requirement notes below)</v>
      </c>
      <c r="K168" s="256" t="s">
        <v>1046</v>
      </c>
      <c r="L168" s="257"/>
      <c r="M168" s="260" t="s">
        <v>238</v>
      </c>
      <c r="N168" s="256" t="s">
        <v>1047</v>
      </c>
      <c r="O168" s="239" t="s">
        <v>1048</v>
      </c>
      <c r="P168" s="258" t="s">
        <v>751</v>
      </c>
      <c r="Q168" s="259" t="s">
        <v>1049</v>
      </c>
      <c r="R168" s="258" t="s">
        <v>194</v>
      </c>
      <c r="S168" s="259"/>
    </row>
    <row r="169">
      <c r="A169" s="230">
        <v>169.0</v>
      </c>
      <c r="B169" s="230" t="s">
        <v>188</v>
      </c>
      <c r="C169" s="231"/>
      <c r="D169" s="232"/>
      <c r="E169" s="232">
        <f>IFERROR(__xludf.DUMMYFUNCTION("iferror(SPLIT(D169,""/""),split(""0/0"",""/""))"),0.0)</f>
        <v>0</v>
      </c>
      <c r="F169" s="232">
        <f>IFERROR(__xludf.DUMMYFUNCTION("""COMPUTED_VALUE"""),0.0)</f>
        <v>0</v>
      </c>
      <c r="G169" s="247" t="b">
        <v>0</v>
      </c>
      <c r="H169" s="242" t="str">
        <f t="shared" si="1"/>
        <v/>
      </c>
      <c r="I169" s="246" t="s">
        <v>1050</v>
      </c>
      <c r="J169" s="255" t="str">
        <f t="shared" si="2"/>
        <v>Craft every type of item made out of bamboo wood (See requirement notes below)</v>
      </c>
      <c r="K169" s="256" t="s">
        <v>1051</v>
      </c>
      <c r="L169" s="257"/>
      <c r="M169" s="260" t="s">
        <v>238</v>
      </c>
      <c r="N169" s="256" t="s">
        <v>1052</v>
      </c>
      <c r="O169" s="239" t="s">
        <v>1053</v>
      </c>
      <c r="P169" s="258" t="s">
        <v>751</v>
      </c>
      <c r="Q169" s="259" t="s">
        <v>1054</v>
      </c>
      <c r="R169" s="258" t="s">
        <v>194</v>
      </c>
      <c r="S169" s="259"/>
    </row>
    <row r="170">
      <c r="A170" s="230">
        <v>170.0</v>
      </c>
      <c r="B170" s="230" t="s">
        <v>188</v>
      </c>
      <c r="C170" s="231"/>
      <c r="D170" s="232"/>
      <c r="E170" s="232">
        <f>IFERROR(__xludf.DUMMYFUNCTION("iferror(SPLIT(D170,""/""),split(""0/0"",""/""))"),0.0)</f>
        <v>0</v>
      </c>
      <c r="F170" s="232">
        <f>IFERROR(__xludf.DUMMYFUNCTION("""COMPUTED_VALUE"""),0.0)</f>
        <v>0</v>
      </c>
      <c r="G170" s="247" t="b">
        <v>0</v>
      </c>
      <c r="H170" s="242" t="str">
        <f t="shared" si="1"/>
        <v/>
      </c>
      <c r="I170" s="246" t="s">
        <v>1055</v>
      </c>
      <c r="J170" s="255" t="str">
        <f t="shared" si="2"/>
        <v>Craft every type of item made out of mangrove wood (See requirement notes below)</v>
      </c>
      <c r="K170" s="256" t="s">
        <v>1056</v>
      </c>
      <c r="L170" s="257"/>
      <c r="M170" s="260" t="s">
        <v>238</v>
      </c>
      <c r="N170" s="256" t="s">
        <v>1057</v>
      </c>
      <c r="O170" s="239" t="s">
        <v>1058</v>
      </c>
      <c r="P170" s="258" t="s">
        <v>751</v>
      </c>
      <c r="Q170" s="259" t="s">
        <v>1059</v>
      </c>
      <c r="R170" s="258" t="s">
        <v>194</v>
      </c>
      <c r="S170" s="259"/>
    </row>
    <row r="171">
      <c r="A171" s="230">
        <v>171.0</v>
      </c>
      <c r="B171" s="230" t="s">
        <v>188</v>
      </c>
      <c r="C171" s="231"/>
      <c r="D171" s="232"/>
      <c r="E171" s="232">
        <f>IFERROR(__xludf.DUMMYFUNCTION("iferror(SPLIT(D171,""/""),split(""0/0"",""/""))"),0.0)</f>
        <v>0</v>
      </c>
      <c r="F171" s="232">
        <f>IFERROR(__xludf.DUMMYFUNCTION("""COMPUTED_VALUE"""),0.0)</f>
        <v>0</v>
      </c>
      <c r="G171" s="247" t="b">
        <v>0</v>
      </c>
      <c r="H171" s="242" t="str">
        <f t="shared" si="1"/>
        <v/>
      </c>
      <c r="I171" s="246" t="s">
        <v>1060</v>
      </c>
      <c r="J171" s="255" t="str">
        <f t="shared" si="2"/>
        <v>Craft every type of item made out of acacia wood (See requirement notes below)</v>
      </c>
      <c r="K171" s="256" t="s">
        <v>1061</v>
      </c>
      <c r="L171" s="257"/>
      <c r="M171" s="260" t="s">
        <v>238</v>
      </c>
      <c r="N171" s="256" t="s">
        <v>1062</v>
      </c>
      <c r="O171" s="239" t="s">
        <v>1063</v>
      </c>
      <c r="P171" s="258" t="s">
        <v>751</v>
      </c>
      <c r="Q171" s="259" t="s">
        <v>1064</v>
      </c>
      <c r="R171" s="258" t="s">
        <v>194</v>
      </c>
      <c r="S171" s="259"/>
    </row>
    <row r="172">
      <c r="A172" s="230">
        <v>172.0</v>
      </c>
      <c r="B172" s="230" t="s">
        <v>188</v>
      </c>
      <c r="C172" s="231"/>
      <c r="D172" s="232"/>
      <c r="E172" s="232">
        <f>IFERROR(__xludf.DUMMYFUNCTION("iferror(SPLIT(D172,""/""),split(""0/0"",""/""))"),0.0)</f>
        <v>0</v>
      </c>
      <c r="F172" s="232">
        <f>IFERROR(__xludf.DUMMYFUNCTION("""COMPUTED_VALUE"""),0.0)</f>
        <v>0</v>
      </c>
      <c r="G172" s="247" t="b">
        <v>0</v>
      </c>
      <c r="H172" s="242" t="str">
        <f t="shared" si="1"/>
        <v/>
      </c>
      <c r="I172" s="246" t="s">
        <v>1065</v>
      </c>
      <c r="J172" s="255" t="str">
        <f t="shared" si="2"/>
        <v>Craft every type of item made out of dark oak wood (See requirement notes below)</v>
      </c>
      <c r="K172" s="256" t="s">
        <v>1066</v>
      </c>
      <c r="L172" s="257"/>
      <c r="M172" s="260" t="s">
        <v>238</v>
      </c>
      <c r="N172" s="256" t="s">
        <v>1067</v>
      </c>
      <c r="O172" s="239" t="s">
        <v>1068</v>
      </c>
      <c r="P172" s="258" t="s">
        <v>751</v>
      </c>
      <c r="Q172" s="259" t="s">
        <v>1069</v>
      </c>
      <c r="R172" s="258" t="s">
        <v>194</v>
      </c>
      <c r="S172" s="259"/>
    </row>
    <row r="173">
      <c r="A173" s="230">
        <v>173.0</v>
      </c>
      <c r="B173" s="230" t="s">
        <v>188</v>
      </c>
      <c r="C173" s="231"/>
      <c r="D173" s="232"/>
      <c r="E173" s="232">
        <f>IFERROR(__xludf.DUMMYFUNCTION("iferror(SPLIT(D173,""/""),split(""0/0"",""/""))"),0.0)</f>
        <v>0</v>
      </c>
      <c r="F173" s="232">
        <f>IFERROR(__xludf.DUMMYFUNCTION("""COMPUTED_VALUE"""),0.0)</f>
        <v>0</v>
      </c>
      <c r="G173" s="247" t="b">
        <v>0</v>
      </c>
      <c r="H173" s="242" t="str">
        <f t="shared" si="1"/>
        <v/>
      </c>
      <c r="I173" s="246" t="s">
        <v>1070</v>
      </c>
      <c r="J173" s="255" t="str">
        <f t="shared" si="2"/>
        <v>Craft every type of item made out of cherry wood (See requirement notes below)</v>
      </c>
      <c r="K173" s="256" t="s">
        <v>1071</v>
      </c>
      <c r="L173" s="257"/>
      <c r="M173" s="260" t="s">
        <v>238</v>
      </c>
      <c r="N173" s="256" t="s">
        <v>1072</v>
      </c>
      <c r="O173" s="239" t="s">
        <v>1073</v>
      </c>
      <c r="P173" s="258" t="s">
        <v>751</v>
      </c>
      <c r="Q173" s="259" t="s">
        <v>1074</v>
      </c>
      <c r="R173" s="258" t="s">
        <v>194</v>
      </c>
      <c r="S173" s="259"/>
    </row>
    <row r="174">
      <c r="A174" s="230">
        <v>174.0</v>
      </c>
      <c r="B174" s="230" t="s">
        <v>188</v>
      </c>
      <c r="C174" s="231"/>
      <c r="D174" s="232"/>
      <c r="E174" s="232">
        <f>IFERROR(__xludf.DUMMYFUNCTION("iferror(SPLIT(D174,""/""),split(""0/0"",""/""))"),0.0)</f>
        <v>0</v>
      </c>
      <c r="F174" s="232">
        <f>IFERROR(__xludf.DUMMYFUNCTION("""COMPUTED_VALUE"""),0.0)</f>
        <v>0</v>
      </c>
      <c r="G174" s="247" t="b">
        <v>0</v>
      </c>
      <c r="H174" s="242" t="str">
        <f t="shared" si="1"/>
        <v/>
      </c>
      <c r="I174" s="246" t="s">
        <v>1075</v>
      </c>
      <c r="J174" s="255" t="str">
        <f t="shared" si="2"/>
        <v>Collect every type of log and stem (Obtain every type of log and stem. See types below)</v>
      </c>
      <c r="K174" s="256"/>
      <c r="L174" s="257"/>
      <c r="M174" s="264" t="s">
        <v>1076</v>
      </c>
      <c r="N174" s="256" t="s">
        <v>1077</v>
      </c>
      <c r="O174" s="239" t="s">
        <v>1078</v>
      </c>
      <c r="P174" s="258" t="s">
        <v>751</v>
      </c>
      <c r="Q174" s="259" t="s">
        <v>1079</v>
      </c>
      <c r="R174" s="258" t="s">
        <v>194</v>
      </c>
      <c r="S174" s="259"/>
    </row>
    <row r="175">
      <c r="A175" s="230">
        <v>175.0</v>
      </c>
      <c r="B175" s="230" t="s">
        <v>188</v>
      </c>
      <c r="C175" s="231"/>
      <c r="D175" s="232"/>
      <c r="E175" s="232">
        <f>IFERROR(__xludf.DUMMYFUNCTION("iferror(SPLIT(D175,""/""),split(""0/0"",""/""))"),0.0)</f>
        <v>0</v>
      </c>
      <c r="F175" s="232">
        <f>IFERROR(__xludf.DUMMYFUNCTION("""COMPUTED_VALUE"""),0.0)</f>
        <v>0</v>
      </c>
      <c r="G175" s="247" t="b">
        <v>0</v>
      </c>
      <c r="H175" s="242" t="str">
        <f t="shared" si="1"/>
        <v/>
      </c>
      <c r="I175" s="246" t="s">
        <v>1080</v>
      </c>
      <c r="J175" s="255" t="str">
        <f t="shared" si="2"/>
        <v>Strip the bark off every type of log, stem and bamboo block (Strip every type of log and stem. See types below)</v>
      </c>
      <c r="K175" s="256"/>
      <c r="L175" s="257"/>
      <c r="M175" s="264" t="s">
        <v>1081</v>
      </c>
      <c r="N175" s="256" t="s">
        <v>1082</v>
      </c>
      <c r="O175" s="239" t="s">
        <v>1083</v>
      </c>
      <c r="P175" s="258" t="s">
        <v>751</v>
      </c>
      <c r="Q175" s="259" t="s">
        <v>1084</v>
      </c>
      <c r="R175" s="258" t="s">
        <v>194</v>
      </c>
      <c r="S175" s="259"/>
    </row>
    <row r="176">
      <c r="A176" s="230">
        <v>176.0</v>
      </c>
      <c r="B176" s="230" t="s">
        <v>188</v>
      </c>
      <c r="C176" s="231"/>
      <c r="D176" s="232"/>
      <c r="E176" s="232">
        <f>IFERROR(__xludf.DUMMYFUNCTION("iferror(SPLIT(D176,""/""),split(""0/0"",""/""))"),0.0)</f>
        <v>0</v>
      </c>
      <c r="F176" s="232">
        <f>IFERROR(__xludf.DUMMYFUNCTION("""COMPUTED_VALUE"""),0.0)</f>
        <v>0</v>
      </c>
      <c r="G176" s="247" t="b">
        <v>0</v>
      </c>
      <c r="H176" s="242" t="str">
        <f t="shared" si="1"/>
        <v/>
      </c>
      <c r="I176" s="249" t="s">
        <v>1085</v>
      </c>
      <c r="J176" s="255" t="str">
        <f t="shared" si="2"/>
        <v>Cut down a full stack of logs and stems of all types (Obtain 64 of every type of log and stem. See types below)</v>
      </c>
      <c r="K176" s="256"/>
      <c r="L176" s="257"/>
      <c r="M176" s="264" t="s">
        <v>1086</v>
      </c>
      <c r="N176" s="256" t="s">
        <v>1087</v>
      </c>
      <c r="O176" s="239" t="s">
        <v>1088</v>
      </c>
      <c r="P176" s="258" t="s">
        <v>751</v>
      </c>
      <c r="Q176" s="259" t="s">
        <v>1089</v>
      </c>
      <c r="R176" s="258" t="s">
        <v>194</v>
      </c>
      <c r="S176" s="259"/>
    </row>
    <row r="177">
      <c r="A177" s="230">
        <v>177.0</v>
      </c>
      <c r="B177" s="230" t="s">
        <v>188</v>
      </c>
      <c r="C177" s="231"/>
      <c r="D177" s="232"/>
      <c r="E177" s="232">
        <f>IFERROR(__xludf.DUMMYFUNCTION("iferror(SPLIT(D177,""/""),split(""0/0"",""/""))"),0.0)</f>
        <v>0</v>
      </c>
      <c r="F177" s="232">
        <f>IFERROR(__xludf.DUMMYFUNCTION("""COMPUTED_VALUE"""),0.0)</f>
        <v>0</v>
      </c>
      <c r="G177" s="247" t="b">
        <v>0</v>
      </c>
      <c r="H177" s="242" t="str">
        <f t="shared" si="1"/>
        <v/>
      </c>
      <c r="I177" s="243" t="s">
        <v>1090</v>
      </c>
      <c r="J177" s="255" t="str">
        <f t="shared" si="2"/>
        <v>It's coarse, and rough, and irritating, and it gets everywhere (Obtain sand)</v>
      </c>
      <c r="K177" s="256" t="s">
        <v>1091</v>
      </c>
      <c r="L177" s="257"/>
      <c r="M177" s="256" t="s">
        <v>1092</v>
      </c>
      <c r="N177" s="256" t="s">
        <v>1093</v>
      </c>
      <c r="O177" s="239" t="s">
        <v>1094</v>
      </c>
      <c r="P177" s="258" t="s">
        <v>751</v>
      </c>
      <c r="Q177" s="259" t="s">
        <v>1095</v>
      </c>
      <c r="R177" s="258" t="s">
        <v>194</v>
      </c>
      <c r="S177" s="259"/>
    </row>
    <row r="178">
      <c r="A178" s="230">
        <v>178.0</v>
      </c>
      <c r="B178" s="230" t="s">
        <v>188</v>
      </c>
      <c r="C178" s="231"/>
      <c r="D178" s="232"/>
      <c r="E178" s="232">
        <f>IFERROR(__xludf.DUMMYFUNCTION("iferror(SPLIT(D178,""/""),split(""0/0"",""/""))"),0.0)</f>
        <v>0</v>
      </c>
      <c r="F178" s="232">
        <f>IFERROR(__xludf.DUMMYFUNCTION("""COMPUTED_VALUE"""),0.0)</f>
        <v>0</v>
      </c>
      <c r="G178" s="247" t="b">
        <v>0</v>
      </c>
      <c r="H178" s="242" t="str">
        <f t="shared" si="1"/>
        <v/>
      </c>
      <c r="I178" s="243" t="s">
        <v>1096</v>
      </c>
      <c r="J178" s="255" t="str">
        <f t="shared" si="2"/>
        <v>Use a shovel to create dirt paths (Right-click a grass block using any shovel)</v>
      </c>
      <c r="K178" s="256"/>
      <c r="L178" s="257"/>
      <c r="M178" s="256" t="s">
        <v>1097</v>
      </c>
      <c r="N178" s="256" t="s">
        <v>1098</v>
      </c>
      <c r="O178" s="239" t="s">
        <v>1099</v>
      </c>
      <c r="P178" s="258" t="s">
        <v>751</v>
      </c>
      <c r="Q178" s="259" t="s">
        <v>1100</v>
      </c>
      <c r="R178" s="258" t="s">
        <v>194</v>
      </c>
      <c r="S178" s="259"/>
    </row>
    <row r="179">
      <c r="A179" s="230">
        <v>179.0</v>
      </c>
      <c r="B179" s="230" t="s">
        <v>283</v>
      </c>
      <c r="C179" s="231"/>
      <c r="D179" s="232"/>
      <c r="E179" s="232">
        <f>IFERROR(__xludf.DUMMYFUNCTION("iferror(SPLIT(D179,""/""),split(""0/0"",""/""))"),0.0)</f>
        <v>0</v>
      </c>
      <c r="F179" s="232">
        <f>IFERROR(__xludf.DUMMYFUNCTION("""COMPUTED_VALUE"""),0.0)</f>
        <v>0</v>
      </c>
      <c r="G179" s="247" t="b">
        <v>0</v>
      </c>
      <c r="H179" s="242" t="str">
        <f t="shared" si="1"/>
        <v/>
      </c>
      <c r="I179" s="246" t="s">
        <v>1101</v>
      </c>
      <c r="J179" s="255" t="str">
        <f t="shared" si="2"/>
        <v>Obtain every type of grass block in your inventory (Obtain grass block, podzol, mycelium, crimson nylium, and warped nylium)</v>
      </c>
      <c r="K179" s="256" t="s">
        <v>1102</v>
      </c>
      <c r="L179" s="257"/>
      <c r="M179" s="256" t="s">
        <v>1103</v>
      </c>
      <c r="N179" s="256" t="s">
        <v>1104</v>
      </c>
      <c r="O179" s="239" t="s">
        <v>1105</v>
      </c>
      <c r="P179" s="258" t="s">
        <v>751</v>
      </c>
      <c r="Q179" s="259" t="s">
        <v>1106</v>
      </c>
      <c r="R179" s="258" t="s">
        <v>194</v>
      </c>
      <c r="S179" s="259" t="s">
        <v>290</v>
      </c>
    </row>
    <row r="180">
      <c r="A180" s="230">
        <v>180.0</v>
      </c>
      <c r="B180" s="230" t="s">
        <v>283</v>
      </c>
      <c r="C180" s="231"/>
      <c r="D180" s="232"/>
      <c r="E180" s="232">
        <f>IFERROR(__xludf.DUMMYFUNCTION("iferror(SPLIT(D180,""/""),split(""0/0"",""/""))"),0.0)</f>
        <v>0</v>
      </c>
      <c r="F180" s="232">
        <f>IFERROR(__xludf.DUMMYFUNCTION("""COMPUTED_VALUE"""),0.0)</f>
        <v>0</v>
      </c>
      <c r="G180" s="247" t="b">
        <v>0</v>
      </c>
      <c r="H180" s="242" t="str">
        <f t="shared" si="1"/>
        <v/>
      </c>
      <c r="I180" s="246" t="s">
        <v>1107</v>
      </c>
      <c r="J180" s="255" t="str">
        <f t="shared" si="2"/>
        <v>Place a Grass Block high in the sky (Place a grass block at y-level 280 or higher in the Overworld)</v>
      </c>
      <c r="K180" s="262" t="s">
        <v>1108</v>
      </c>
      <c r="L180" s="263"/>
      <c r="M180" s="256" t="s">
        <v>1109</v>
      </c>
      <c r="N180" s="256" t="s">
        <v>1110</v>
      </c>
      <c r="O180" s="239" t="s">
        <v>1111</v>
      </c>
      <c r="P180" s="258" t="s">
        <v>751</v>
      </c>
      <c r="Q180" s="259" t="s">
        <v>1112</v>
      </c>
      <c r="R180" s="258" t="s">
        <v>194</v>
      </c>
      <c r="S180" s="259" t="s">
        <v>347</v>
      </c>
    </row>
    <row r="181">
      <c r="A181" s="230">
        <v>181.0</v>
      </c>
      <c r="B181" s="230" t="s">
        <v>188</v>
      </c>
      <c r="C181" s="231"/>
      <c r="D181" s="232"/>
      <c r="E181" s="232">
        <f>IFERROR(__xludf.DUMMYFUNCTION("iferror(SPLIT(D181,""/""),split(""0/0"",""/""))"),0.0)</f>
        <v>0</v>
      </c>
      <c r="F181" s="232">
        <f>IFERROR(__xludf.DUMMYFUNCTION("""COMPUTED_VALUE"""),0.0)</f>
        <v>0</v>
      </c>
      <c r="G181" s="247" t="b">
        <v>0</v>
      </c>
      <c r="H181" s="242" t="str">
        <f t="shared" si="1"/>
        <v/>
      </c>
      <c r="I181" s="243" t="s">
        <v>1113</v>
      </c>
      <c r="J181" s="255" t="str">
        <f t="shared" si="2"/>
        <v>Smelt sand in a furnace to get glass (Obtain a glass block)</v>
      </c>
      <c r="K181" s="256" t="s">
        <v>1114</v>
      </c>
      <c r="L181" s="257"/>
      <c r="M181" s="256" t="s">
        <v>1115</v>
      </c>
      <c r="N181" s="256" t="s">
        <v>1116</v>
      </c>
      <c r="O181" s="239" t="s">
        <v>1117</v>
      </c>
      <c r="P181" s="258" t="s">
        <v>751</v>
      </c>
      <c r="Q181" s="259" t="s">
        <v>1118</v>
      </c>
      <c r="R181" s="258" t="s">
        <v>194</v>
      </c>
      <c r="S181" s="259"/>
    </row>
    <row r="182">
      <c r="A182" s="230">
        <v>182.0</v>
      </c>
      <c r="B182" s="230" t="s">
        <v>188</v>
      </c>
      <c r="C182" s="231"/>
      <c r="D182" s="232"/>
      <c r="E182" s="232">
        <f>IFERROR(__xludf.DUMMYFUNCTION("iferror(SPLIT(D182,""/""),split(""0/0"",""/""))"),0.0)</f>
        <v>0</v>
      </c>
      <c r="F182" s="232">
        <f>IFERROR(__xludf.DUMMYFUNCTION("""COMPUTED_VALUE"""),0.0)</f>
        <v>0</v>
      </c>
      <c r="G182" s="247" t="b">
        <v>0</v>
      </c>
      <c r="H182" s="242" t="str">
        <f t="shared" si="1"/>
        <v/>
      </c>
      <c r="I182" s="243" t="s">
        <v>1119</v>
      </c>
      <c r="J182" s="255" t="str">
        <f t="shared" si="2"/>
        <v>Craft some glass panes</v>
      </c>
      <c r="K182" s="256" t="s">
        <v>1114</v>
      </c>
      <c r="L182" s="257"/>
      <c r="M182" s="256"/>
      <c r="N182" s="256" t="s">
        <v>1120</v>
      </c>
      <c r="O182" s="239" t="s">
        <v>1121</v>
      </c>
      <c r="P182" s="258" t="s">
        <v>751</v>
      </c>
      <c r="Q182" s="259" t="s">
        <v>1122</v>
      </c>
      <c r="R182" s="258" t="s">
        <v>194</v>
      </c>
      <c r="S182" s="259"/>
    </row>
    <row r="183">
      <c r="A183" s="230">
        <v>183.0</v>
      </c>
      <c r="B183" s="230" t="s">
        <v>188</v>
      </c>
      <c r="C183" s="231"/>
      <c r="D183" s="232"/>
      <c r="E183" s="232">
        <f>IFERROR(__xludf.DUMMYFUNCTION("iferror(SPLIT(D183,""/""),split(""0/0"",""/""))"),0.0)</f>
        <v>0</v>
      </c>
      <c r="F183" s="232">
        <f>IFERROR(__xludf.DUMMYFUNCTION("""COMPUTED_VALUE"""),0.0)</f>
        <v>0</v>
      </c>
      <c r="G183" s="247" t="b">
        <v>0</v>
      </c>
      <c r="H183" s="242" t="str">
        <f t="shared" si="1"/>
        <v/>
      </c>
      <c r="I183" s="246" t="s">
        <v>1123</v>
      </c>
      <c r="J183" s="255" t="str">
        <f t="shared" si="2"/>
        <v>Craft every color of stained glass</v>
      </c>
      <c r="K183" s="256" t="s">
        <v>1124</v>
      </c>
      <c r="L183" s="257"/>
      <c r="M183" s="256"/>
      <c r="N183" s="256" t="s">
        <v>1125</v>
      </c>
      <c r="O183" s="239" t="s">
        <v>1126</v>
      </c>
      <c r="P183" s="258" t="s">
        <v>751</v>
      </c>
      <c r="Q183" s="259" t="s">
        <v>1127</v>
      </c>
      <c r="R183" s="258" t="s">
        <v>194</v>
      </c>
      <c r="S183" s="259"/>
    </row>
    <row r="184">
      <c r="A184" s="230">
        <v>184.0</v>
      </c>
      <c r="B184" s="230" t="s">
        <v>188</v>
      </c>
      <c r="C184" s="231"/>
      <c r="D184" s="232"/>
      <c r="E184" s="232">
        <f>IFERROR(__xludf.DUMMYFUNCTION("iferror(SPLIT(D184,""/""),split(""0/0"",""/""))"),0.0)</f>
        <v>0</v>
      </c>
      <c r="F184" s="232">
        <f>IFERROR(__xludf.DUMMYFUNCTION("""COMPUTED_VALUE"""),0.0)</f>
        <v>0</v>
      </c>
      <c r="G184" s="247" t="b">
        <v>0</v>
      </c>
      <c r="H184" s="242" t="str">
        <f t="shared" si="1"/>
        <v/>
      </c>
      <c r="I184" s="246" t="s">
        <v>1128</v>
      </c>
      <c r="J184" s="255" t="str">
        <f t="shared" si="2"/>
        <v>Craft a stack of all 16 colors of stained glass panes</v>
      </c>
      <c r="K184" s="256" t="s">
        <v>1124</v>
      </c>
      <c r="L184" s="257"/>
      <c r="M184" s="256"/>
      <c r="N184" s="256" t="s">
        <v>1129</v>
      </c>
      <c r="O184" s="239" t="s">
        <v>1130</v>
      </c>
      <c r="P184" s="258" t="s">
        <v>751</v>
      </c>
      <c r="Q184" s="259" t="s">
        <v>1131</v>
      </c>
      <c r="R184" s="258" t="s">
        <v>194</v>
      </c>
      <c r="S184" s="259"/>
    </row>
    <row r="185">
      <c r="A185" s="230">
        <v>185.0</v>
      </c>
      <c r="B185" s="230" t="s">
        <v>283</v>
      </c>
      <c r="C185" s="231"/>
      <c r="D185" s="232"/>
      <c r="E185" s="232">
        <f>IFERROR(__xludf.DUMMYFUNCTION("iferror(SPLIT(D185,""/""),split(""0/0"",""/""))"),0.0)</f>
        <v>0</v>
      </c>
      <c r="F185" s="232">
        <f>IFERROR(__xludf.DUMMYFUNCTION("""COMPUTED_VALUE"""),0.0)</f>
        <v>0</v>
      </c>
      <c r="G185" s="247" t="b">
        <v>0</v>
      </c>
      <c r="H185" s="242" t="str">
        <f t="shared" si="1"/>
        <v/>
      </c>
      <c r="I185" s="243" t="s">
        <v>1132</v>
      </c>
      <c r="J185" s="255" t="str">
        <f t="shared" si="2"/>
        <v>Use a Water Bottle on some Dirt to turn it into Mud</v>
      </c>
      <c r="K185" s="256" t="s">
        <v>1133</v>
      </c>
      <c r="L185" s="257"/>
      <c r="M185" s="256"/>
      <c r="N185" s="256" t="s">
        <v>1134</v>
      </c>
      <c r="O185" s="239" t="s">
        <v>1135</v>
      </c>
      <c r="P185" s="258" t="s">
        <v>751</v>
      </c>
      <c r="Q185" s="259" t="s">
        <v>1136</v>
      </c>
      <c r="R185" s="258" t="s">
        <v>194</v>
      </c>
      <c r="S185" s="259" t="s">
        <v>290</v>
      </c>
    </row>
    <row r="186">
      <c r="A186" s="230">
        <v>186.0</v>
      </c>
      <c r="B186" s="230" t="s">
        <v>188</v>
      </c>
      <c r="C186" s="231"/>
      <c r="D186" s="232"/>
      <c r="E186" s="232">
        <f>IFERROR(__xludf.DUMMYFUNCTION("iferror(SPLIT(D186,""/""),split(""0/0"",""/""))"),0.0)</f>
        <v>0</v>
      </c>
      <c r="F186" s="232">
        <f>IFERROR(__xludf.DUMMYFUNCTION("""COMPUTED_VALUE"""),0.0)</f>
        <v>0</v>
      </c>
      <c r="G186" s="247" t="b">
        <v>0</v>
      </c>
      <c r="H186" s="242" t="str">
        <f t="shared" si="1"/>
        <v/>
      </c>
      <c r="I186" s="243" t="s">
        <v>1137</v>
      </c>
      <c r="J186" s="255" t="str">
        <f t="shared" si="2"/>
        <v>Craft or obtain all forms of Mud and Mud Brick (Obtain Mud, Packed Mud, Muddy Mangrove Roots, Mud Brick blocks, slabs, stairs and walls)</v>
      </c>
      <c r="K186" s="256" t="s">
        <v>1138</v>
      </c>
      <c r="L186" s="257"/>
      <c r="M186" s="256" t="s">
        <v>1139</v>
      </c>
      <c r="N186" s="256" t="s">
        <v>1140</v>
      </c>
      <c r="O186" s="239" t="s">
        <v>1141</v>
      </c>
      <c r="P186" s="258" t="s">
        <v>751</v>
      </c>
      <c r="Q186" s="259" t="s">
        <v>1142</v>
      </c>
      <c r="R186" s="258" t="s">
        <v>194</v>
      </c>
      <c r="S186" s="259"/>
    </row>
    <row r="187">
      <c r="A187" s="230">
        <v>187.0</v>
      </c>
      <c r="B187" s="230" t="s">
        <v>188</v>
      </c>
      <c r="C187" s="231"/>
      <c r="D187" s="232"/>
      <c r="E187" s="232">
        <f>IFERROR(__xludf.DUMMYFUNCTION("iferror(SPLIT(D187,""/""),split(""0/0"",""/""))"),0.0)</f>
        <v>0</v>
      </c>
      <c r="F187" s="232">
        <f>IFERROR(__xludf.DUMMYFUNCTION("""COMPUTED_VALUE"""),0.0)</f>
        <v>0</v>
      </c>
      <c r="G187" s="247" t="b">
        <v>0</v>
      </c>
      <c r="H187" s="242" t="str">
        <f t="shared" si="1"/>
        <v/>
      </c>
      <c r="I187" s="243" t="s">
        <v>1143</v>
      </c>
      <c r="J187" s="255" t="str">
        <f t="shared" si="2"/>
        <v>Craft concrete powder using sand, gravel and dye (Obtain any color of concrete powder)</v>
      </c>
      <c r="K187" s="256"/>
      <c r="L187" s="257"/>
      <c r="M187" s="256" t="s">
        <v>1144</v>
      </c>
      <c r="N187" s="256" t="s">
        <v>1145</v>
      </c>
      <c r="O187" s="239" t="s">
        <v>1146</v>
      </c>
      <c r="P187" s="258" t="s">
        <v>751</v>
      </c>
      <c r="Q187" s="259" t="s">
        <v>1147</v>
      </c>
      <c r="R187" s="258" t="s">
        <v>194</v>
      </c>
      <c r="S187" s="259"/>
    </row>
    <row r="188">
      <c r="A188" s="230">
        <v>188.0</v>
      </c>
      <c r="B188" s="230" t="s">
        <v>188</v>
      </c>
      <c r="C188" s="231"/>
      <c r="D188" s="232"/>
      <c r="E188" s="232">
        <f>IFERROR(__xludf.DUMMYFUNCTION("iferror(SPLIT(D188,""/""),split(""0/0"",""/""))"),0.0)</f>
        <v>0</v>
      </c>
      <c r="F188" s="232">
        <f>IFERROR(__xludf.DUMMYFUNCTION("""COMPUTED_VALUE"""),0.0)</f>
        <v>0</v>
      </c>
      <c r="G188" s="247" t="b">
        <v>0</v>
      </c>
      <c r="H188" s="242" t="str">
        <f t="shared" si="1"/>
        <v/>
      </c>
      <c r="I188" s="243" t="s">
        <v>1148</v>
      </c>
      <c r="J188" s="255" t="str">
        <f t="shared" si="2"/>
        <v>Create concrete from concrete powder by dropping it into water (Obtain any color of concrete)</v>
      </c>
      <c r="K188" s="256"/>
      <c r="L188" s="257"/>
      <c r="M188" s="256" t="s">
        <v>1149</v>
      </c>
      <c r="N188" s="256" t="s">
        <v>1150</v>
      </c>
      <c r="O188" s="239" t="s">
        <v>1151</v>
      </c>
      <c r="P188" s="258" t="s">
        <v>751</v>
      </c>
      <c r="Q188" s="259" t="s">
        <v>1152</v>
      </c>
      <c r="R188" s="258" t="s">
        <v>194</v>
      </c>
      <c r="S188" s="259"/>
    </row>
    <row r="189">
      <c r="A189" s="230">
        <v>189.0</v>
      </c>
      <c r="B189" s="230" t="s">
        <v>188</v>
      </c>
      <c r="C189" s="231"/>
      <c r="D189" s="232"/>
      <c r="E189" s="232">
        <f>IFERROR(__xludf.DUMMYFUNCTION("iferror(SPLIT(D189,""/""),split(""0/0"",""/""))"),0.0)</f>
        <v>0</v>
      </c>
      <c r="F189" s="232">
        <f>IFERROR(__xludf.DUMMYFUNCTION("""COMPUTED_VALUE"""),0.0)</f>
        <v>0</v>
      </c>
      <c r="G189" s="247" t="b">
        <v>0</v>
      </c>
      <c r="H189" s="242" t="str">
        <f t="shared" si="1"/>
        <v/>
      </c>
      <c r="I189" s="246" t="s">
        <v>1153</v>
      </c>
      <c r="J189" s="255" t="str">
        <f t="shared" si="2"/>
        <v>Craft every color of concrete</v>
      </c>
      <c r="K189" s="256" t="s">
        <v>1154</v>
      </c>
      <c r="L189" s="257"/>
      <c r="M189" s="256"/>
      <c r="N189" s="256" t="s">
        <v>1155</v>
      </c>
      <c r="O189" s="239" t="s">
        <v>1156</v>
      </c>
      <c r="P189" s="258" t="s">
        <v>751</v>
      </c>
      <c r="Q189" s="259" t="s">
        <v>1157</v>
      </c>
      <c r="R189" s="258" t="s">
        <v>194</v>
      </c>
      <c r="S189" s="259"/>
    </row>
    <row r="190">
      <c r="A190" s="230">
        <v>190.0</v>
      </c>
      <c r="B190" s="230" t="s">
        <v>188</v>
      </c>
      <c r="C190" s="231"/>
      <c r="D190" s="232"/>
      <c r="E190" s="232">
        <f>IFERROR(__xludf.DUMMYFUNCTION("iferror(SPLIT(D190,""/""),split(""0/0"",""/""))"),0.0)</f>
        <v>0</v>
      </c>
      <c r="F190" s="232">
        <f>IFERROR(__xludf.DUMMYFUNCTION("""COMPUTED_VALUE"""),0.0)</f>
        <v>0</v>
      </c>
      <c r="G190" s="247" t="b">
        <v>0</v>
      </c>
      <c r="H190" s="242" t="str">
        <f t="shared" si="1"/>
        <v/>
      </c>
      <c r="I190" s="243" t="s">
        <v>1158</v>
      </c>
      <c r="J190" s="255" t="str">
        <f t="shared" si="2"/>
        <v>Dig up some clay from a lake (Obtain clay)</v>
      </c>
      <c r="K190" s="256"/>
      <c r="L190" s="257"/>
      <c r="M190" s="256" t="s">
        <v>1159</v>
      </c>
      <c r="N190" s="256" t="s">
        <v>1160</v>
      </c>
      <c r="O190" s="239" t="s">
        <v>1161</v>
      </c>
      <c r="P190" s="258" t="s">
        <v>751</v>
      </c>
      <c r="Q190" s="259" t="s">
        <v>1162</v>
      </c>
      <c r="R190" s="258" t="s">
        <v>194</v>
      </c>
      <c r="S190" s="259"/>
    </row>
    <row r="191">
      <c r="A191" s="230">
        <v>191.0</v>
      </c>
      <c r="B191" s="230" t="s">
        <v>188</v>
      </c>
      <c r="C191" s="231"/>
      <c r="D191" s="232"/>
      <c r="E191" s="232">
        <f>IFERROR(__xludf.DUMMYFUNCTION("iferror(SPLIT(D191,""/""),split(""0/0"",""/""))"),0.0)</f>
        <v>0</v>
      </c>
      <c r="F191" s="232">
        <f>IFERROR(__xludf.DUMMYFUNCTION("""COMPUTED_VALUE"""),0.0)</f>
        <v>0</v>
      </c>
      <c r="G191" s="247" t="b">
        <v>0</v>
      </c>
      <c r="H191" s="242" t="str">
        <f t="shared" si="1"/>
        <v/>
      </c>
      <c r="I191" s="243" t="s">
        <v>1163</v>
      </c>
      <c r="J191" s="255" t="str">
        <f t="shared" si="2"/>
        <v>Fire up that clay! (Obtain a brick block)</v>
      </c>
      <c r="K191" s="256" t="s">
        <v>1164</v>
      </c>
      <c r="L191" s="257"/>
      <c r="M191" s="256" t="s">
        <v>1165</v>
      </c>
      <c r="N191" s="256" t="s">
        <v>1166</v>
      </c>
      <c r="O191" s="239" t="s">
        <v>1167</v>
      </c>
      <c r="P191" s="258" t="s">
        <v>751</v>
      </c>
      <c r="Q191" s="259" t="s">
        <v>1168</v>
      </c>
      <c r="R191" s="258" t="s">
        <v>194</v>
      </c>
      <c r="S191" s="259"/>
    </row>
    <row r="192">
      <c r="A192" s="230">
        <v>192.0</v>
      </c>
      <c r="B192" s="230" t="s">
        <v>188</v>
      </c>
      <c r="C192" s="231"/>
      <c r="D192" s="232"/>
      <c r="E192" s="232">
        <f>IFERROR(__xludf.DUMMYFUNCTION("iferror(SPLIT(D192,""/""),split(""0/0"",""/""))"),0.0)</f>
        <v>0</v>
      </c>
      <c r="F192" s="232">
        <f>IFERROR(__xludf.DUMMYFUNCTION("""COMPUTED_VALUE"""),0.0)</f>
        <v>0</v>
      </c>
      <c r="G192" s="247" t="b">
        <v>0</v>
      </c>
      <c r="H192" s="242" t="str">
        <f t="shared" si="1"/>
        <v/>
      </c>
      <c r="I192" s="243" t="s">
        <v>1169</v>
      </c>
      <c r="J192" s="255" t="str">
        <f t="shared" si="2"/>
        <v>Craft and place a flower pot</v>
      </c>
      <c r="K192" s="256"/>
      <c r="L192" s="257"/>
      <c r="M192" s="256"/>
      <c r="N192" s="256" t="s">
        <v>1170</v>
      </c>
      <c r="O192" s="239" t="s">
        <v>1171</v>
      </c>
      <c r="P192" s="258" t="s">
        <v>751</v>
      </c>
      <c r="Q192" s="259" t="s">
        <v>1172</v>
      </c>
      <c r="R192" s="258" t="s">
        <v>194</v>
      </c>
      <c r="S192" s="259"/>
    </row>
    <row r="193">
      <c r="A193" s="230">
        <v>193.0</v>
      </c>
      <c r="B193" s="230" t="s">
        <v>283</v>
      </c>
      <c r="C193" s="231"/>
      <c r="D193" s="232"/>
      <c r="E193" s="232">
        <f>IFERROR(__xludf.DUMMYFUNCTION("iferror(SPLIT(D193,""/""),split(""0/0"",""/""))"),0.0)</f>
        <v>0</v>
      </c>
      <c r="F193" s="232">
        <f>IFERROR(__xludf.DUMMYFUNCTION("""COMPUTED_VALUE"""),0.0)</f>
        <v>0</v>
      </c>
      <c r="G193" s="247" t="b">
        <v>0</v>
      </c>
      <c r="H193" s="242" t="str">
        <f t="shared" si="1"/>
        <v/>
      </c>
      <c r="I193" s="249" t="s">
        <v>1173</v>
      </c>
      <c r="J193" s="255" t="str">
        <f t="shared" si="2"/>
        <v>Place every type of plant in a flower pot (See requirement notes below)</v>
      </c>
      <c r="K193" s="256" t="s">
        <v>1174</v>
      </c>
      <c r="L193" s="257"/>
      <c r="M193" s="260" t="s">
        <v>238</v>
      </c>
      <c r="N193" s="256" t="s">
        <v>1175</v>
      </c>
      <c r="O193" s="239" t="s">
        <v>1176</v>
      </c>
      <c r="P193" s="258" t="s">
        <v>751</v>
      </c>
      <c r="Q193" s="259" t="s">
        <v>1177</v>
      </c>
      <c r="R193" s="258" t="s">
        <v>194</v>
      </c>
      <c r="S193" s="258" t="s">
        <v>1178</v>
      </c>
    </row>
    <row r="194">
      <c r="A194" s="230">
        <v>194.0</v>
      </c>
      <c r="B194" s="230" t="s">
        <v>188</v>
      </c>
      <c r="C194" s="231"/>
      <c r="D194" s="232"/>
      <c r="E194" s="232">
        <f>IFERROR(__xludf.DUMMYFUNCTION("iferror(SPLIT(D194,""/""),split(""0/0"",""/""))"),0.0)</f>
        <v>0</v>
      </c>
      <c r="F194" s="232">
        <f>IFERROR(__xludf.DUMMYFUNCTION("""COMPUTED_VALUE"""),0.0)</f>
        <v>0</v>
      </c>
      <c r="G194" s="247" t="b">
        <v>0</v>
      </c>
      <c r="H194" s="242" t="str">
        <f t="shared" si="1"/>
        <v/>
      </c>
      <c r="I194" s="246" t="s">
        <v>1179</v>
      </c>
      <c r="J194" s="255" t="str">
        <f t="shared" si="2"/>
        <v>Craft every color of terracotta (stained clay)</v>
      </c>
      <c r="K194" s="256"/>
      <c r="L194" s="257"/>
      <c r="M194" s="256"/>
      <c r="N194" s="256" t="s">
        <v>1180</v>
      </c>
      <c r="O194" s="239" t="s">
        <v>1181</v>
      </c>
      <c r="P194" s="258" t="s">
        <v>751</v>
      </c>
      <c r="Q194" s="259" t="s">
        <v>1182</v>
      </c>
      <c r="R194" s="258" t="s">
        <v>194</v>
      </c>
      <c r="S194" s="259"/>
    </row>
    <row r="195">
      <c r="A195" s="230">
        <v>195.0</v>
      </c>
      <c r="B195" s="230" t="s">
        <v>188</v>
      </c>
      <c r="C195" s="231"/>
      <c r="D195" s="232"/>
      <c r="E195" s="232">
        <f>IFERROR(__xludf.DUMMYFUNCTION("iferror(SPLIT(D195,""/""),split(""0/0"",""/""))"),0.0)</f>
        <v>0</v>
      </c>
      <c r="F195" s="232">
        <f>IFERROR(__xludf.DUMMYFUNCTION("""COMPUTED_VALUE"""),0.0)</f>
        <v>0</v>
      </c>
      <c r="G195" s="247" t="b">
        <v>0</v>
      </c>
      <c r="H195" s="242" t="str">
        <f t="shared" si="1"/>
        <v/>
      </c>
      <c r="I195" s="246" t="s">
        <v>1183</v>
      </c>
      <c r="J195" s="255" t="str">
        <f t="shared" si="2"/>
        <v>Craft every color of glazed terracotta</v>
      </c>
      <c r="K195" s="256"/>
      <c r="L195" s="257"/>
      <c r="M195" s="256"/>
      <c r="N195" s="256" t="s">
        <v>1184</v>
      </c>
      <c r="O195" s="239" t="s">
        <v>1185</v>
      </c>
      <c r="P195" s="258" t="s">
        <v>751</v>
      </c>
      <c r="Q195" s="259" t="s">
        <v>1186</v>
      </c>
      <c r="R195" s="258" t="s">
        <v>194</v>
      </c>
      <c r="S195" s="259"/>
    </row>
    <row r="196">
      <c r="A196" s="230">
        <v>196.0</v>
      </c>
      <c r="B196" s="230" t="s">
        <v>188</v>
      </c>
      <c r="C196" s="231"/>
      <c r="D196" s="232"/>
      <c r="E196" s="232">
        <f>IFERROR(__xludf.DUMMYFUNCTION("iferror(SPLIT(D196,""/""),split(""0/0"",""/""))"),0.0)</f>
        <v>0</v>
      </c>
      <c r="F196" s="232">
        <f>IFERROR(__xludf.DUMMYFUNCTION("""COMPUTED_VALUE"""),0.0)</f>
        <v>0</v>
      </c>
      <c r="G196" s="247" t="b">
        <v>0</v>
      </c>
      <c r="H196" s="242" t="str">
        <f t="shared" si="1"/>
        <v/>
      </c>
      <c r="I196" s="243" t="s">
        <v>1187</v>
      </c>
      <c r="J196" s="255" t="str">
        <f t="shared" si="2"/>
        <v>Collect all the different types of rocks (Obtain cobblestone, granite, andesite, diorite, tuff, calcite, dripstone block, cobbled grimstone and smooth basalt)</v>
      </c>
      <c r="K196" s="256" t="s">
        <v>1188</v>
      </c>
      <c r="L196" s="257"/>
      <c r="M196" s="256" t="s">
        <v>1189</v>
      </c>
      <c r="N196" s="256" t="s">
        <v>1190</v>
      </c>
      <c r="O196" s="239" t="s">
        <v>1191</v>
      </c>
      <c r="P196" s="258" t="s">
        <v>751</v>
      </c>
      <c r="Q196" s="259" t="s">
        <v>1192</v>
      </c>
      <c r="R196" s="258" t="s">
        <v>194</v>
      </c>
      <c r="S196" s="259"/>
    </row>
    <row r="197">
      <c r="A197" s="230">
        <v>197.0</v>
      </c>
      <c r="B197" s="230" t="s">
        <v>188</v>
      </c>
      <c r="C197" s="231"/>
      <c r="D197" s="232"/>
      <c r="E197" s="232">
        <f>IFERROR(__xludf.DUMMYFUNCTION("iferror(SPLIT(D197,""/""),split(""0/0"",""/""))"),0.0)</f>
        <v>0</v>
      </c>
      <c r="F197" s="232">
        <f>IFERROR(__xludf.DUMMYFUNCTION("""COMPUTED_VALUE"""),0.0)</f>
        <v>0</v>
      </c>
      <c r="G197" s="247" t="b">
        <v>0</v>
      </c>
      <c r="H197" s="242" t="str">
        <f t="shared" si="1"/>
        <v/>
      </c>
      <c r="I197" s="243" t="s">
        <v>1193</v>
      </c>
      <c r="J197" s="255" t="str">
        <f t="shared" si="2"/>
        <v>Craft every type of polished block (Obtain polished andesite, diorite, granite, deepslate, tuff, basalt and blackstone)</v>
      </c>
      <c r="K197" s="256"/>
      <c r="L197" s="257"/>
      <c r="M197" s="256" t="s">
        <v>1194</v>
      </c>
      <c r="N197" s="256" t="s">
        <v>1195</v>
      </c>
      <c r="O197" s="239" t="s">
        <v>1196</v>
      </c>
      <c r="P197" s="258" t="s">
        <v>751</v>
      </c>
      <c r="Q197" s="259" t="s">
        <v>1197</v>
      </c>
      <c r="R197" s="258" t="s">
        <v>194</v>
      </c>
      <c r="S197" s="259"/>
    </row>
    <row r="198">
      <c r="A198" s="230">
        <v>198.0</v>
      </c>
      <c r="B198" s="230" t="s">
        <v>188</v>
      </c>
      <c r="C198" s="231"/>
      <c r="D198" s="232"/>
      <c r="E198" s="232">
        <f>IFERROR(__xludf.DUMMYFUNCTION("iferror(SPLIT(D198,""/""),split(""0/0"",""/""))"),0.0)</f>
        <v>0</v>
      </c>
      <c r="F198" s="232">
        <f>IFERROR(__xludf.DUMMYFUNCTION("""COMPUTED_VALUE"""),0.0)</f>
        <v>0</v>
      </c>
      <c r="G198" s="247" t="b">
        <v>0</v>
      </c>
      <c r="H198" s="242" t="str">
        <f t="shared" si="1"/>
        <v/>
      </c>
      <c r="I198" s="243" t="s">
        <v>1198</v>
      </c>
      <c r="J198" s="255" t="str">
        <f t="shared" si="2"/>
        <v>Craft or obtain all forms of normal, cracked, mossy and chiseled stone bricks (Obtain stone brick and mossy stone brick blocks, slabs, stairs and walls, and cracked and chiseled stone bricks)</v>
      </c>
      <c r="K198" s="256" t="s">
        <v>1199</v>
      </c>
      <c r="L198" s="257"/>
      <c r="M198" s="256" t="s">
        <v>1200</v>
      </c>
      <c r="N198" s="256" t="s">
        <v>1201</v>
      </c>
      <c r="O198" s="239" t="s">
        <v>1202</v>
      </c>
      <c r="P198" s="258" t="s">
        <v>751</v>
      </c>
      <c r="Q198" s="259" t="s">
        <v>1203</v>
      </c>
      <c r="R198" s="258" t="s">
        <v>194</v>
      </c>
      <c r="S198" s="259"/>
    </row>
    <row r="199">
      <c r="A199" s="230">
        <v>199.0</v>
      </c>
      <c r="B199" s="230" t="s">
        <v>188</v>
      </c>
      <c r="C199" s="231"/>
      <c r="D199" s="232"/>
      <c r="E199" s="232">
        <f>IFERROR(__xludf.DUMMYFUNCTION("iferror(SPLIT(D199,""/""),split(""0/0"",""/""))"),0.0)</f>
        <v>0</v>
      </c>
      <c r="F199" s="232">
        <f>IFERROR(__xludf.DUMMYFUNCTION("""COMPUTED_VALUE"""),0.0)</f>
        <v>0</v>
      </c>
      <c r="G199" s="247" t="b">
        <v>0</v>
      </c>
      <c r="H199" s="242" t="str">
        <f t="shared" si="1"/>
        <v/>
      </c>
      <c r="I199" s="243" t="s">
        <v>1204</v>
      </c>
      <c r="J199" s="255" t="str">
        <f t="shared" si="2"/>
        <v>Craft or find some iron bars</v>
      </c>
      <c r="K199" s="256" t="s">
        <v>518</v>
      </c>
      <c r="L199" s="257"/>
      <c r="M199" s="256"/>
      <c r="N199" s="256" t="s">
        <v>1205</v>
      </c>
      <c r="O199" s="239" t="s">
        <v>1206</v>
      </c>
      <c r="P199" s="258" t="s">
        <v>751</v>
      </c>
      <c r="Q199" s="259" t="s">
        <v>1207</v>
      </c>
      <c r="R199" s="258" t="s">
        <v>194</v>
      </c>
      <c r="S199" s="259"/>
    </row>
    <row r="200">
      <c r="A200" s="230">
        <v>200.0</v>
      </c>
      <c r="B200" s="230" t="s">
        <v>188</v>
      </c>
      <c r="C200" s="231"/>
      <c r="D200" s="232"/>
      <c r="E200" s="232">
        <f>IFERROR(__xludf.DUMMYFUNCTION("iferror(SPLIT(D200,""/""),split(""0/0"",""/""))"),0.0)</f>
        <v>0</v>
      </c>
      <c r="F200" s="232">
        <f>IFERROR(__xludf.DUMMYFUNCTION("""COMPUTED_VALUE"""),0.0)</f>
        <v>0</v>
      </c>
      <c r="G200" s="247" t="b">
        <v>0</v>
      </c>
      <c r="H200" s="242" t="str">
        <f t="shared" si="1"/>
        <v/>
      </c>
      <c r="I200" s="243" t="s">
        <v>1208</v>
      </c>
      <c r="J200" s="255" t="str">
        <f t="shared" si="2"/>
        <v>Engrave sandstone with creeper and wither patterns (Obtain chiseled sandstone and chiseled red sandstone)</v>
      </c>
      <c r="K200" s="256"/>
      <c r="L200" s="257"/>
      <c r="M200" s="256" t="s">
        <v>1209</v>
      </c>
      <c r="N200" s="256" t="s">
        <v>1210</v>
      </c>
      <c r="O200" s="239" t="s">
        <v>1211</v>
      </c>
      <c r="P200" s="258" t="s">
        <v>751</v>
      </c>
      <c r="Q200" s="259" t="s">
        <v>1212</v>
      </c>
      <c r="R200" s="258" t="s">
        <v>194</v>
      </c>
      <c r="S200" s="259"/>
    </row>
    <row r="201">
      <c r="A201" s="230">
        <v>201.0</v>
      </c>
      <c r="B201" s="230" t="s">
        <v>188</v>
      </c>
      <c r="C201" s="231"/>
      <c r="D201" s="232"/>
      <c r="E201" s="232">
        <f>IFERROR(__xludf.DUMMYFUNCTION("iferror(SPLIT(D201,""/""),split(""0/0"",""/""))"),0.0)</f>
        <v>0</v>
      </c>
      <c r="F201" s="232">
        <f>IFERROR(__xludf.DUMMYFUNCTION("""COMPUTED_VALUE"""),0.0)</f>
        <v>0</v>
      </c>
      <c r="G201" s="247" t="b">
        <v>0</v>
      </c>
      <c r="H201" s="242" t="str">
        <f t="shared" si="1"/>
        <v/>
      </c>
      <c r="I201" s="246" t="s">
        <v>1213</v>
      </c>
      <c r="J201" s="255" t="str">
        <f t="shared" si="2"/>
        <v>Craft or collect a stack of all forms of Sandstone and Red Sandstone (See requirement notes below)</v>
      </c>
      <c r="K201" s="256" t="s">
        <v>1214</v>
      </c>
      <c r="L201" s="257"/>
      <c r="M201" s="260" t="s">
        <v>238</v>
      </c>
      <c r="N201" s="256" t="s">
        <v>1215</v>
      </c>
      <c r="O201" s="239" t="s">
        <v>1216</v>
      </c>
      <c r="P201" s="258" t="s">
        <v>751</v>
      </c>
      <c r="Q201" s="259" t="s">
        <v>1217</v>
      </c>
      <c r="R201" s="258" t="s">
        <v>194</v>
      </c>
      <c r="S201" s="259"/>
    </row>
    <row r="202">
      <c r="A202" s="230">
        <v>202.0</v>
      </c>
      <c r="B202" s="230" t="s">
        <v>188</v>
      </c>
      <c r="C202" s="231"/>
      <c r="D202" s="232"/>
      <c r="E202" s="232">
        <f>IFERROR(__xludf.DUMMYFUNCTION("iferror(SPLIT(D202,""/""),split(""0/0"",""/""))"),0.0)</f>
        <v>0</v>
      </c>
      <c r="F202" s="232">
        <f>IFERROR(__xludf.DUMMYFUNCTION("""COMPUTED_VALUE"""),0.0)</f>
        <v>0</v>
      </c>
      <c r="G202" s="247" t="b">
        <v>0</v>
      </c>
      <c r="H202" s="242" t="str">
        <f t="shared" si="1"/>
        <v/>
      </c>
      <c r="I202" s="243" t="s">
        <v>1218</v>
      </c>
      <c r="J202" s="255" t="str">
        <f t="shared" si="2"/>
        <v>Craft or collect all forms of Tuff, Polished Tuff, and Tuff Bricks (See requirement notes below)</v>
      </c>
      <c r="K202" s="256"/>
      <c r="L202" s="257"/>
      <c r="M202" s="260" t="s">
        <v>238</v>
      </c>
      <c r="N202" s="256" t="s">
        <v>1219</v>
      </c>
      <c r="O202" s="239" t="s">
        <v>1220</v>
      </c>
      <c r="P202" s="258" t="s">
        <v>751</v>
      </c>
      <c r="Q202" s="259" t="s">
        <v>1221</v>
      </c>
      <c r="R202" s="258" t="s">
        <v>194</v>
      </c>
      <c r="S202" s="259"/>
    </row>
    <row r="203">
      <c r="A203" s="230">
        <v>203.0</v>
      </c>
      <c r="B203" s="230" t="s">
        <v>188</v>
      </c>
      <c r="C203" s="231"/>
      <c r="D203" s="232"/>
      <c r="E203" s="232">
        <f>IFERROR(__xludf.DUMMYFUNCTION("iferror(SPLIT(D203,""/""),split(""0/0"",""/""))"),0.0)</f>
        <v>0</v>
      </c>
      <c r="F203" s="232">
        <f>IFERROR(__xludf.DUMMYFUNCTION("""COMPUTED_VALUE"""),0.0)</f>
        <v>0</v>
      </c>
      <c r="G203" s="247" t="b">
        <v>0</v>
      </c>
      <c r="H203" s="242" t="str">
        <f t="shared" si="1"/>
        <v/>
      </c>
      <c r="I203" s="243" t="s">
        <v>1222</v>
      </c>
      <c r="J203" s="255" t="str">
        <f t="shared" si="2"/>
        <v>Craft all forms of Deepslate, Polished Deepslate, Deepslate Bricks and Deepslate Tiles (See requirement notes below)</v>
      </c>
      <c r="K203" s="256" t="s">
        <v>1223</v>
      </c>
      <c r="L203" s="257"/>
      <c r="M203" s="260" t="s">
        <v>238</v>
      </c>
      <c r="N203" s="256" t="s">
        <v>1224</v>
      </c>
      <c r="O203" s="239" t="s">
        <v>1225</v>
      </c>
      <c r="P203" s="258" t="s">
        <v>751</v>
      </c>
      <c r="Q203" s="259" t="s">
        <v>1226</v>
      </c>
      <c r="R203" s="258" t="s">
        <v>194</v>
      </c>
      <c r="S203" s="259"/>
    </row>
    <row r="204">
      <c r="A204" s="230">
        <v>204.0</v>
      </c>
      <c r="B204" s="230" t="s">
        <v>188</v>
      </c>
      <c r="C204" s="231"/>
      <c r="D204" s="232"/>
      <c r="E204" s="232">
        <f>IFERROR(__xludf.DUMMYFUNCTION("iferror(SPLIT(D204,""/""),split(""0/0"",""/""))"),0.0)</f>
        <v>0</v>
      </c>
      <c r="F204" s="232">
        <f>IFERROR(__xludf.DUMMYFUNCTION("""COMPUTED_VALUE"""),0.0)</f>
        <v>0</v>
      </c>
      <c r="G204" s="247" t="b">
        <v>0</v>
      </c>
      <c r="H204" s="242" t="str">
        <f t="shared" si="1"/>
        <v/>
      </c>
      <c r="I204" s="243" t="s">
        <v>1227</v>
      </c>
      <c r="J204" s="255" t="str">
        <f t="shared" si="2"/>
        <v>Craft or collect all forms of nether brick and red nether brick (See requirement notes below)</v>
      </c>
      <c r="K204" s="256" t="s">
        <v>1228</v>
      </c>
      <c r="L204" s="257"/>
      <c r="M204" s="260" t="s">
        <v>238</v>
      </c>
      <c r="N204" s="256" t="s">
        <v>1229</v>
      </c>
      <c r="O204" s="239" t="s">
        <v>1230</v>
      </c>
      <c r="P204" s="258" t="s">
        <v>751</v>
      </c>
      <c r="Q204" s="259" t="s">
        <v>1231</v>
      </c>
      <c r="R204" s="258" t="s">
        <v>194</v>
      </c>
      <c r="S204" s="259"/>
    </row>
    <row r="205">
      <c r="A205" s="230">
        <v>205.0</v>
      </c>
      <c r="B205" s="230" t="s">
        <v>188</v>
      </c>
      <c r="C205" s="231"/>
      <c r="D205" s="232"/>
      <c r="E205" s="232">
        <f>IFERROR(__xludf.DUMMYFUNCTION("iferror(SPLIT(D205,""/""),split(""0/0"",""/""))"),0.0)</f>
        <v>0</v>
      </c>
      <c r="F205" s="232">
        <f>IFERROR(__xludf.DUMMYFUNCTION("""COMPUTED_VALUE"""),0.0)</f>
        <v>0</v>
      </c>
      <c r="G205" s="247" t="b">
        <v>0</v>
      </c>
      <c r="H205" s="242" t="str">
        <f t="shared" si="1"/>
        <v/>
      </c>
      <c r="I205" s="243" t="s">
        <v>1232</v>
      </c>
      <c r="J205" s="255" t="str">
        <f t="shared" si="2"/>
        <v>Craft all forms of quartz blocks (Obtain quartz and smooth quartz blocks, slabs and stairs, quartz pillars and bricks and chiseled quartz blocks)</v>
      </c>
      <c r="K205" s="256" t="s">
        <v>1233</v>
      </c>
      <c r="L205" s="257"/>
      <c r="M205" s="256" t="s">
        <v>1234</v>
      </c>
      <c r="N205" s="256" t="s">
        <v>1235</v>
      </c>
      <c r="O205" s="239" t="s">
        <v>1236</v>
      </c>
      <c r="P205" s="258" t="s">
        <v>751</v>
      </c>
      <c r="Q205" s="259" t="s">
        <v>1237</v>
      </c>
      <c r="R205" s="258" t="s">
        <v>194</v>
      </c>
      <c r="S205" s="259"/>
    </row>
    <row r="206">
      <c r="A206" s="230">
        <v>206.0</v>
      </c>
      <c r="B206" s="230" t="s">
        <v>188</v>
      </c>
      <c r="C206" s="231"/>
      <c r="D206" s="232"/>
      <c r="E206" s="232">
        <f>IFERROR(__xludf.DUMMYFUNCTION("iferror(SPLIT(D206,""/""),split(""0/0"",""/""))"),0.0)</f>
        <v>0</v>
      </c>
      <c r="F206" s="232">
        <f>IFERROR(__xludf.DUMMYFUNCTION("""COMPUTED_VALUE"""),0.0)</f>
        <v>0</v>
      </c>
      <c r="G206" s="247" t="b">
        <v>0</v>
      </c>
      <c r="H206" s="242" t="str">
        <f t="shared" si="1"/>
        <v/>
      </c>
      <c r="I206" s="243" t="s">
        <v>1238</v>
      </c>
      <c r="J206" s="255" t="str">
        <f t="shared" si="2"/>
        <v>Craft or collect all forms of prismarine blocks (Obtain prismarine, dark prismarine and prismarine brick blocks, slabs, stairs, and prismarine walls)</v>
      </c>
      <c r="K206" s="262" t="s">
        <v>1239</v>
      </c>
      <c r="L206" s="263"/>
      <c r="M206" s="256" t="s">
        <v>1240</v>
      </c>
      <c r="N206" s="256" t="s">
        <v>1241</v>
      </c>
      <c r="O206" s="239" t="s">
        <v>1242</v>
      </c>
      <c r="P206" s="258" t="s">
        <v>751</v>
      </c>
      <c r="Q206" s="259" t="s">
        <v>1243</v>
      </c>
      <c r="R206" s="258" t="s">
        <v>194</v>
      </c>
      <c r="S206" s="258" t="s">
        <v>423</v>
      </c>
    </row>
    <row r="207">
      <c r="A207" s="230">
        <v>207.0</v>
      </c>
      <c r="B207" s="230" t="s">
        <v>188</v>
      </c>
      <c r="C207" s="231"/>
      <c r="D207" s="232"/>
      <c r="E207" s="232">
        <f>IFERROR(__xludf.DUMMYFUNCTION("iferror(SPLIT(D207,""/""),split(""0/0"",""/""))"),0.0)</f>
        <v>0</v>
      </c>
      <c r="F207" s="232">
        <f>IFERROR(__xludf.DUMMYFUNCTION("""COMPUTED_VALUE"""),0.0)</f>
        <v>0</v>
      </c>
      <c r="G207" s="247" t="b">
        <v>0</v>
      </c>
      <c r="H207" s="242" t="str">
        <f t="shared" si="1"/>
        <v/>
      </c>
      <c r="I207" s="243" t="s">
        <v>1244</v>
      </c>
      <c r="J207" s="255" t="str">
        <f t="shared" si="2"/>
        <v>Craft a chain using an iron ingot and iron nuggets</v>
      </c>
      <c r="K207" s="256" t="s">
        <v>1245</v>
      </c>
      <c r="L207" s="257"/>
      <c r="M207" s="256"/>
      <c r="N207" s="256" t="s">
        <v>1246</v>
      </c>
      <c r="O207" s="239" t="s">
        <v>1247</v>
      </c>
      <c r="P207" s="258" t="s">
        <v>751</v>
      </c>
      <c r="Q207" s="259" t="s">
        <v>1248</v>
      </c>
      <c r="R207" s="258" t="s">
        <v>194</v>
      </c>
      <c r="S207" s="259"/>
    </row>
    <row r="208">
      <c r="A208" s="230">
        <v>208.0</v>
      </c>
      <c r="B208" s="230" t="s">
        <v>188</v>
      </c>
      <c r="C208" s="231"/>
      <c r="D208" s="232"/>
      <c r="E208" s="232">
        <f>IFERROR(__xludf.DUMMYFUNCTION("iferror(SPLIT(D208,""/""),split(""0/0"",""/""))"),0.0)</f>
        <v>0</v>
      </c>
      <c r="F208" s="232">
        <f>IFERROR(__xludf.DUMMYFUNCTION("""COMPUTED_VALUE"""),0.0)</f>
        <v>0</v>
      </c>
      <c r="G208" s="247" t="b">
        <v>0</v>
      </c>
      <c r="H208" s="242" t="str">
        <f t="shared" si="1"/>
        <v/>
      </c>
      <c r="I208" s="243" t="s">
        <v>1249</v>
      </c>
      <c r="J208" s="255" t="str">
        <f t="shared" si="2"/>
        <v>Craft all forms of Blackstone, Polished Blackstone and Polished Blackstone Bricks (See requirement notes below)</v>
      </c>
      <c r="K208" s="256" t="s">
        <v>1250</v>
      </c>
      <c r="L208" s="257"/>
      <c r="M208" s="260" t="s">
        <v>238</v>
      </c>
      <c r="N208" s="256" t="s">
        <v>1251</v>
      </c>
      <c r="O208" s="239" t="s">
        <v>1252</v>
      </c>
      <c r="P208" s="258" t="s">
        <v>751</v>
      </c>
      <c r="Q208" s="259" t="s">
        <v>1253</v>
      </c>
      <c r="R208" s="258" t="s">
        <v>194</v>
      </c>
      <c r="S208" s="259"/>
    </row>
    <row r="209">
      <c r="A209" s="230">
        <v>209.0</v>
      </c>
      <c r="B209" s="230" t="s">
        <v>188</v>
      </c>
      <c r="C209" s="231"/>
      <c r="D209" s="232"/>
      <c r="E209" s="232">
        <f>IFERROR(__xludf.DUMMYFUNCTION("iferror(SPLIT(D209,""/""),split(""0/0"",""/""))"),0.0)</f>
        <v>0</v>
      </c>
      <c r="F209" s="232">
        <f>IFERROR(__xludf.DUMMYFUNCTION("""COMPUTED_VALUE"""),0.0)</f>
        <v>0</v>
      </c>
      <c r="G209" s="233" t="b">
        <v>0</v>
      </c>
      <c r="H209" s="242" t="str">
        <f t="shared" si="1"/>
        <v/>
      </c>
      <c r="I209" s="251" t="s">
        <v>1254</v>
      </c>
      <c r="J209" s="255" t="str">
        <f t="shared" si="2"/>
        <v>Use your furnace to smelt cobblestone back into normal stone (Obtain a block of stone)</v>
      </c>
      <c r="K209" s="256"/>
      <c r="L209" s="257"/>
      <c r="M209" s="256" t="s">
        <v>1255</v>
      </c>
      <c r="N209" s="256" t="s">
        <v>1256</v>
      </c>
      <c r="O209" s="239" t="s">
        <v>427</v>
      </c>
      <c r="P209" s="258" t="s">
        <v>751</v>
      </c>
      <c r="Q209" s="259" t="s">
        <v>1257</v>
      </c>
      <c r="R209" s="258" t="s">
        <v>194</v>
      </c>
      <c r="S209" s="259"/>
    </row>
    <row r="210">
      <c r="A210" s="230">
        <v>210.0</v>
      </c>
      <c r="B210" s="230" t="s">
        <v>188</v>
      </c>
      <c r="C210" s="231"/>
      <c r="D210" s="232"/>
      <c r="E210" s="232">
        <f>IFERROR(__xludf.DUMMYFUNCTION("iferror(SPLIT(D210,""/""),split(""0/0"",""/""))"),0.0)</f>
        <v>0</v>
      </c>
      <c r="F210" s="232">
        <f>IFERROR(__xludf.DUMMYFUNCTION("""COMPUTED_VALUE"""),0.0)</f>
        <v>0</v>
      </c>
      <c r="G210" s="247" t="b">
        <v>0</v>
      </c>
      <c r="H210" s="242" t="str">
        <f t="shared" si="1"/>
        <v/>
      </c>
      <c r="I210" s="243" t="s">
        <v>1258</v>
      </c>
      <c r="J210" s="255" t="str">
        <f t="shared" si="2"/>
        <v>Smelt normal stone further into smooth stone</v>
      </c>
      <c r="K210" s="256"/>
      <c r="L210" s="257"/>
      <c r="M210" s="256"/>
      <c r="N210" s="256" t="s">
        <v>1259</v>
      </c>
      <c r="O210" s="239" t="s">
        <v>1260</v>
      </c>
      <c r="P210" s="258" t="s">
        <v>751</v>
      </c>
      <c r="Q210" s="259" t="s">
        <v>1261</v>
      </c>
      <c r="R210" s="258" t="s">
        <v>194</v>
      </c>
      <c r="S210" s="259"/>
    </row>
    <row r="211">
      <c r="A211" s="230">
        <v>211.0</v>
      </c>
      <c r="B211" s="230" t="s">
        <v>188</v>
      </c>
      <c r="C211" s="231"/>
      <c r="D211" s="232"/>
      <c r="E211" s="232">
        <f>IFERROR(__xludf.DUMMYFUNCTION("iferror(SPLIT(D211,""/""),split(""0/0"",""/""))"),0.0)</f>
        <v>0</v>
      </c>
      <c r="F211" s="232">
        <f>IFERROR(__xludf.DUMMYFUNCTION("""COMPUTED_VALUE"""),0.0)</f>
        <v>0</v>
      </c>
      <c r="G211" s="247" t="b">
        <v>0</v>
      </c>
      <c r="H211" s="242" t="str">
        <f t="shared" si="1"/>
        <v/>
      </c>
      <c r="I211" s="246" t="s">
        <v>1262</v>
      </c>
      <c r="J211" s="255" t="str">
        <f t="shared" si="2"/>
        <v>Upgrade your furnace to a blast furnace using iron and smooth stone for smelting ores quicker</v>
      </c>
      <c r="K211" s="256" t="s">
        <v>544</v>
      </c>
      <c r="L211" s="257"/>
      <c r="M211" s="256"/>
      <c r="N211" s="256" t="s">
        <v>1263</v>
      </c>
      <c r="O211" s="239" t="s">
        <v>1264</v>
      </c>
      <c r="P211" s="258" t="s">
        <v>751</v>
      </c>
      <c r="Q211" s="259" t="s">
        <v>1265</v>
      </c>
      <c r="R211" s="258" t="s">
        <v>194</v>
      </c>
      <c r="S211" s="259"/>
    </row>
    <row r="212">
      <c r="A212" s="230">
        <v>212.0</v>
      </c>
      <c r="B212" s="230" t="s">
        <v>188</v>
      </c>
      <c r="C212" s="231"/>
      <c r="D212" s="232"/>
      <c r="E212" s="232">
        <f>IFERROR(__xludf.DUMMYFUNCTION("iferror(SPLIT(D212,""/""),split(""0/0"",""/""))"),0.0)</f>
        <v>0</v>
      </c>
      <c r="F212" s="232">
        <f>IFERROR(__xludf.DUMMYFUNCTION("""COMPUTED_VALUE"""),0.0)</f>
        <v>0</v>
      </c>
      <c r="G212" s="247" t="b">
        <v>0</v>
      </c>
      <c r="H212" s="242" t="str">
        <f t="shared" si="1"/>
        <v/>
      </c>
      <c r="I212" s="243" t="s">
        <v>1266</v>
      </c>
      <c r="J212" s="255" t="str">
        <f t="shared" si="2"/>
        <v>Craft and place an armor stand (Place an armor stand)</v>
      </c>
      <c r="K212" s="256"/>
      <c r="L212" s="257"/>
      <c r="M212" s="256" t="s">
        <v>1267</v>
      </c>
      <c r="N212" s="256" t="s">
        <v>1268</v>
      </c>
      <c r="O212" s="239" t="s">
        <v>1269</v>
      </c>
      <c r="P212" s="258" t="s">
        <v>751</v>
      </c>
      <c r="Q212" s="259" t="s">
        <v>1270</v>
      </c>
      <c r="R212" s="258" t="s">
        <v>194</v>
      </c>
      <c r="S212" s="259"/>
    </row>
    <row r="213">
      <c r="A213" s="230">
        <v>213.0</v>
      </c>
      <c r="B213" s="230" t="s">
        <v>257</v>
      </c>
      <c r="C213" s="231"/>
      <c r="D213" s="232"/>
      <c r="E213" s="232">
        <f>IFERROR(__xludf.DUMMYFUNCTION("iferror(SPLIT(D213,""/""),split(""0/0"",""/""))"),0.0)</f>
        <v>0</v>
      </c>
      <c r="F213" s="232">
        <f>IFERROR(__xludf.DUMMYFUNCTION("""COMPUTED_VALUE"""),0.0)</f>
        <v>0</v>
      </c>
      <c r="G213" s="247" t="b">
        <v>0</v>
      </c>
      <c r="H213" s="242" t="str">
        <f t="shared" si="1"/>
        <v/>
      </c>
      <c r="I213" s="246" t="s">
        <v>1271</v>
      </c>
      <c r="J213" s="255" t="str">
        <f t="shared" si="2"/>
        <v>Get killed from hitting an Armor Stand (Get killed by thorns damage from an Armor Stand that is equipped with Thorns-enchanted armor)</v>
      </c>
      <c r="K213" s="256"/>
      <c r="L213" s="257"/>
      <c r="M213" s="256" t="s">
        <v>1272</v>
      </c>
      <c r="N213" s="256" t="s">
        <v>1273</v>
      </c>
      <c r="O213" s="239" t="s">
        <v>1274</v>
      </c>
      <c r="P213" s="258" t="s">
        <v>751</v>
      </c>
      <c r="Q213" s="259" t="s">
        <v>1275</v>
      </c>
      <c r="R213" s="258" t="s">
        <v>194</v>
      </c>
      <c r="S213" s="259" t="s">
        <v>1276</v>
      </c>
    </row>
    <row r="214">
      <c r="A214" s="230">
        <v>214.0</v>
      </c>
      <c r="B214" s="230" t="s">
        <v>283</v>
      </c>
      <c r="C214" s="231"/>
      <c r="D214" s="232"/>
      <c r="E214" s="232">
        <f>IFERROR(__xludf.DUMMYFUNCTION("iferror(SPLIT(D214,""/""),split(""0/0"",""/""))"),0.0)</f>
        <v>0</v>
      </c>
      <c r="F214" s="232">
        <f>IFERROR(__xludf.DUMMYFUNCTION("""COMPUTED_VALUE"""),0.0)</f>
        <v>0</v>
      </c>
      <c r="G214" s="247" t="b">
        <v>0</v>
      </c>
      <c r="H214" s="242" t="str">
        <f t="shared" si="1"/>
        <v/>
      </c>
      <c r="I214" s="249" t="s">
        <v>1277</v>
      </c>
      <c r="J214" s="255" t="str">
        <f t="shared" si="2"/>
        <v>Place all six sets of armor on six different armor stands (Place a full suit of each of the six armors on an armor stand)</v>
      </c>
      <c r="K214" s="256"/>
      <c r="L214" s="257"/>
      <c r="M214" s="256" t="s">
        <v>1278</v>
      </c>
      <c r="N214" s="256" t="s">
        <v>1279</v>
      </c>
      <c r="O214" s="239" t="s">
        <v>1280</v>
      </c>
      <c r="P214" s="258" t="s">
        <v>751</v>
      </c>
      <c r="Q214" s="259" t="s">
        <v>1281</v>
      </c>
      <c r="R214" s="258" t="s">
        <v>194</v>
      </c>
      <c r="S214" s="259" t="s">
        <v>290</v>
      </c>
    </row>
    <row r="215">
      <c r="A215" s="230">
        <v>215.0</v>
      </c>
      <c r="B215" s="230" t="s">
        <v>188</v>
      </c>
      <c r="C215" s="231"/>
      <c r="D215" s="232"/>
      <c r="E215" s="232">
        <f>IFERROR(__xludf.DUMMYFUNCTION("iferror(SPLIT(D215,""/""),split(""0/0"",""/""))"),0.0)</f>
        <v>0</v>
      </c>
      <c r="F215" s="232">
        <f>IFERROR(__xludf.DUMMYFUNCTION("""COMPUTED_VALUE"""),0.0)</f>
        <v>0</v>
      </c>
      <c r="G215" s="247" t="b">
        <v>0</v>
      </c>
      <c r="H215" s="242" t="str">
        <f t="shared" si="1"/>
        <v/>
      </c>
      <c r="I215" s="243" t="s">
        <v>1282</v>
      </c>
      <c r="J215" s="255" t="str">
        <f t="shared" si="2"/>
        <v>Craft a grindstone using a stone slab, planks and sticks for repairing tools</v>
      </c>
      <c r="K215" s="256"/>
      <c r="L215" s="257"/>
      <c r="M215" s="256"/>
      <c r="N215" s="256" t="s">
        <v>1283</v>
      </c>
      <c r="O215" s="239" t="s">
        <v>1284</v>
      </c>
      <c r="P215" s="258" t="s">
        <v>751</v>
      </c>
      <c r="Q215" s="259" t="s">
        <v>1285</v>
      </c>
      <c r="R215" s="258" t="s">
        <v>194</v>
      </c>
      <c r="S215" s="259"/>
    </row>
    <row r="216">
      <c r="A216" s="230">
        <v>216.0</v>
      </c>
      <c r="B216" s="230" t="s">
        <v>188</v>
      </c>
      <c r="C216" s="231"/>
      <c r="D216" s="232"/>
      <c r="E216" s="232">
        <f>IFERROR(__xludf.DUMMYFUNCTION("iferror(SPLIT(D216,""/""),split(""0/0"",""/""))"),0.0)</f>
        <v>0</v>
      </c>
      <c r="F216" s="232">
        <f>IFERROR(__xludf.DUMMYFUNCTION("""COMPUTED_VALUE"""),0.0)</f>
        <v>0</v>
      </c>
      <c r="G216" s="247" t="b">
        <v>0</v>
      </c>
      <c r="H216" s="242" t="str">
        <f t="shared" si="1"/>
        <v/>
      </c>
      <c r="I216" s="243" t="s">
        <v>1286</v>
      </c>
      <c r="J216" s="255" t="str">
        <f t="shared" si="2"/>
        <v>Craft a stonecutter using stone and an iron ingot</v>
      </c>
      <c r="K216" s="256"/>
      <c r="L216" s="257"/>
      <c r="M216" s="256"/>
      <c r="N216" s="256" t="s">
        <v>1287</v>
      </c>
      <c r="O216" s="239" t="s">
        <v>1288</v>
      </c>
      <c r="P216" s="258" t="s">
        <v>751</v>
      </c>
      <c r="Q216" s="259" t="s">
        <v>1289</v>
      </c>
      <c r="R216" s="258" t="s">
        <v>194</v>
      </c>
      <c r="S216" s="259"/>
    </row>
    <row r="217">
      <c r="A217" s="230">
        <v>217.0</v>
      </c>
      <c r="B217" s="230" t="s">
        <v>188</v>
      </c>
      <c r="C217" s="231"/>
      <c r="D217" s="232"/>
      <c r="E217" s="232">
        <f>IFERROR(__xludf.DUMMYFUNCTION("iferror(SPLIT(D217,""/""),split(""0/0"",""/""))"),0.0)</f>
        <v>0</v>
      </c>
      <c r="F217" s="232">
        <f>IFERROR(__xludf.DUMMYFUNCTION("""COMPUTED_VALUE"""),0.0)</f>
        <v>0</v>
      </c>
      <c r="G217" s="247" t="b">
        <v>0</v>
      </c>
      <c r="H217" s="242" t="str">
        <f t="shared" si="1"/>
        <v/>
      </c>
      <c r="I217" s="243" t="s">
        <v>1290</v>
      </c>
      <c r="J217" s="255" t="str">
        <f t="shared" si="2"/>
        <v>Craft a smithing table</v>
      </c>
      <c r="K217" s="256"/>
      <c r="L217" s="257"/>
      <c r="M217" s="256"/>
      <c r="N217" s="256" t="s">
        <v>1291</v>
      </c>
      <c r="O217" s="239" t="s">
        <v>1292</v>
      </c>
      <c r="P217" s="258" t="s">
        <v>751</v>
      </c>
      <c r="Q217" s="259" t="s">
        <v>1293</v>
      </c>
      <c r="R217" s="258" t="s">
        <v>194</v>
      </c>
      <c r="S217" s="259"/>
    </row>
    <row r="218">
      <c r="A218" s="230">
        <v>218.0</v>
      </c>
      <c r="B218" s="230" t="s">
        <v>188</v>
      </c>
      <c r="C218" s="231"/>
      <c r="D218" s="232"/>
      <c r="E218" s="232">
        <f>IFERROR(__xludf.DUMMYFUNCTION("iferror(SPLIT(D218,""/""),split(""0/0"",""/""))"),0.0)</f>
        <v>0</v>
      </c>
      <c r="F218" s="232">
        <f>IFERROR(__xludf.DUMMYFUNCTION("""COMPUTED_VALUE"""),0.0)</f>
        <v>0</v>
      </c>
      <c r="G218" s="247" t="b">
        <v>0</v>
      </c>
      <c r="H218" s="242" t="str">
        <f t="shared" si="1"/>
        <v/>
      </c>
      <c r="I218" s="243" t="s">
        <v>1294</v>
      </c>
      <c r="J218" s="255" t="str">
        <f t="shared" si="2"/>
        <v>Fill a cauldron using a bucket</v>
      </c>
      <c r="K218" s="256" t="s">
        <v>518</v>
      </c>
      <c r="L218" s="257"/>
      <c r="M218" s="256"/>
      <c r="N218" s="256" t="s">
        <v>1295</v>
      </c>
      <c r="O218" s="239" t="s">
        <v>1296</v>
      </c>
      <c r="P218" s="258" t="s">
        <v>751</v>
      </c>
      <c r="Q218" s="259" t="s">
        <v>1297</v>
      </c>
      <c r="R218" s="258" t="s">
        <v>194</v>
      </c>
      <c r="S218" s="259"/>
    </row>
    <row r="219">
      <c r="A219" s="230">
        <v>219.0</v>
      </c>
      <c r="B219" s="230" t="s">
        <v>283</v>
      </c>
      <c r="C219" s="231"/>
      <c r="D219" s="232"/>
      <c r="E219" s="232">
        <f>IFERROR(__xludf.DUMMYFUNCTION("iferror(SPLIT(D219,""/""),split(""0/0"",""/""))"),0.0)</f>
        <v>0</v>
      </c>
      <c r="F219" s="232">
        <f>IFERROR(__xludf.DUMMYFUNCTION("""COMPUTED_VALUE"""),0.0)</f>
        <v>0</v>
      </c>
      <c r="G219" s="247" t="b">
        <v>0</v>
      </c>
      <c r="H219" s="242" t="str">
        <f t="shared" si="1"/>
        <v/>
      </c>
      <c r="I219" s="243" t="s">
        <v>1298</v>
      </c>
      <c r="J219" s="255" t="str">
        <f t="shared" si="2"/>
        <v>Sit in a cauldron filled with lava (Enter a lava cauldron)</v>
      </c>
      <c r="K219" s="256"/>
      <c r="L219" s="257"/>
      <c r="M219" s="256" t="s">
        <v>1299</v>
      </c>
      <c r="N219" s="256" t="s">
        <v>1300</v>
      </c>
      <c r="O219" s="239" t="s">
        <v>730</v>
      </c>
      <c r="P219" s="258" t="s">
        <v>751</v>
      </c>
      <c r="Q219" s="259" t="s">
        <v>1301</v>
      </c>
      <c r="R219" s="258" t="s">
        <v>194</v>
      </c>
      <c r="S219" s="259" t="s">
        <v>290</v>
      </c>
    </row>
    <row r="220">
      <c r="A220" s="230">
        <v>220.0</v>
      </c>
      <c r="B220" s="230" t="s">
        <v>283</v>
      </c>
      <c r="C220" s="231"/>
      <c r="D220" s="232"/>
      <c r="E220" s="232">
        <f>IFERROR(__xludf.DUMMYFUNCTION("iferror(SPLIT(D220,""/""),split(""0/0"",""/""))"),0.0)</f>
        <v>0</v>
      </c>
      <c r="F220" s="232">
        <f>IFERROR(__xludf.DUMMYFUNCTION("""COMPUTED_VALUE"""),0.0)</f>
        <v>0</v>
      </c>
      <c r="G220" s="247" t="b">
        <v>0</v>
      </c>
      <c r="H220" s="242" t="str">
        <f t="shared" si="1"/>
        <v/>
      </c>
      <c r="I220" s="246" t="s">
        <v>1302</v>
      </c>
      <c r="J220" s="255" t="str">
        <f t="shared" si="2"/>
        <v>Use a cauldron to clean leather armor, a banner and a shulker box</v>
      </c>
      <c r="K220" s="256"/>
      <c r="L220" s="257"/>
      <c r="M220" s="256"/>
      <c r="N220" s="256" t="s">
        <v>1303</v>
      </c>
      <c r="O220" s="239" t="s">
        <v>551</v>
      </c>
      <c r="P220" s="258" t="s">
        <v>751</v>
      </c>
      <c r="Q220" s="259" t="s">
        <v>1304</v>
      </c>
      <c r="R220" s="258" t="s">
        <v>194</v>
      </c>
      <c r="S220" s="259" t="s">
        <v>290</v>
      </c>
    </row>
    <row r="221">
      <c r="A221" s="230">
        <v>221.0</v>
      </c>
      <c r="B221" s="230" t="s">
        <v>188</v>
      </c>
      <c r="C221" s="231"/>
      <c r="D221" s="232"/>
      <c r="E221" s="232">
        <f>IFERROR(__xludf.DUMMYFUNCTION("iferror(SPLIT(D221,""/""),split(""0/0"",""/""))"),0.0)</f>
        <v>0</v>
      </c>
      <c r="F221" s="232">
        <f>IFERROR(__xludf.DUMMYFUNCTION("""COMPUTED_VALUE"""),0.0)</f>
        <v>0</v>
      </c>
      <c r="G221" s="247" t="b">
        <v>0</v>
      </c>
      <c r="H221" s="242" t="str">
        <f t="shared" si="1"/>
        <v/>
      </c>
      <c r="I221" s="235" t="s">
        <v>1305</v>
      </c>
      <c r="J221" s="265" t="str">
        <f t="shared" si="2"/>
        <v>Hoe Hoe Hoe (Craft a wooden, stone, iron, gold or diamond hoe)</v>
      </c>
      <c r="K221" s="266"/>
      <c r="L221" s="267"/>
      <c r="M221" s="266" t="s">
        <v>1306</v>
      </c>
      <c r="N221" s="266" t="s">
        <v>1307</v>
      </c>
      <c r="O221" s="239" t="s">
        <v>1308</v>
      </c>
      <c r="P221" s="268" t="s">
        <v>1305</v>
      </c>
      <c r="Q221" s="269" t="s">
        <v>1309</v>
      </c>
      <c r="R221" s="268" t="s">
        <v>194</v>
      </c>
      <c r="S221" s="269"/>
    </row>
    <row r="222">
      <c r="A222" s="230">
        <v>222.0</v>
      </c>
      <c r="B222" s="230" t="s">
        <v>188</v>
      </c>
      <c r="C222" s="231"/>
      <c r="D222" s="232"/>
      <c r="E222" s="232">
        <f>IFERROR(__xludf.DUMMYFUNCTION("iferror(SPLIT(D222,""/""),split(""0/0"",""/""))"),0.0)</f>
        <v>0</v>
      </c>
      <c r="F222" s="232">
        <f>IFERROR(__xludf.DUMMYFUNCTION("""COMPUTED_VALUE"""),0.0)</f>
        <v>0</v>
      </c>
      <c r="G222" s="247" t="b">
        <v>0</v>
      </c>
      <c r="H222" s="242" t="str">
        <f t="shared" si="1"/>
        <v/>
      </c>
      <c r="I222" s="243" t="s">
        <v>1310</v>
      </c>
      <c r="J222" s="265" t="str">
        <f t="shared" si="2"/>
        <v>Plant a sapling (Place any type of sapling)</v>
      </c>
      <c r="K222" s="266" t="s">
        <v>1311</v>
      </c>
      <c r="L222" s="267"/>
      <c r="M222" s="266" t="s">
        <v>1312</v>
      </c>
      <c r="N222" s="266" t="s">
        <v>1313</v>
      </c>
      <c r="O222" s="239" t="s">
        <v>1033</v>
      </c>
      <c r="P222" s="268" t="s">
        <v>1305</v>
      </c>
      <c r="Q222" s="269" t="s">
        <v>1314</v>
      </c>
      <c r="R222" s="268" t="s">
        <v>194</v>
      </c>
      <c r="S222" s="269"/>
    </row>
    <row r="223">
      <c r="A223" s="230">
        <v>223.0</v>
      </c>
      <c r="B223" s="230" t="s">
        <v>188</v>
      </c>
      <c r="C223" s="231"/>
      <c r="D223" s="232"/>
      <c r="E223" s="232">
        <f>IFERROR(__xludf.DUMMYFUNCTION("iferror(SPLIT(D223,""/""),split(""0/0"",""/""))"),0.0)</f>
        <v>0</v>
      </c>
      <c r="F223" s="232">
        <f>IFERROR(__xludf.DUMMYFUNCTION("""COMPUTED_VALUE"""),0.0)</f>
        <v>0</v>
      </c>
      <c r="G223" s="247" t="b">
        <v>0</v>
      </c>
      <c r="H223" s="242" t="str">
        <f t="shared" si="1"/>
        <v/>
      </c>
      <c r="I223" s="243" t="s">
        <v>1315</v>
      </c>
      <c r="J223" s="265" t="str">
        <f t="shared" si="2"/>
        <v>Crunch into an apple (Eat an apple)</v>
      </c>
      <c r="K223" s="266" t="s">
        <v>1316</v>
      </c>
      <c r="L223" s="267"/>
      <c r="M223" s="266" t="s">
        <v>1317</v>
      </c>
      <c r="N223" s="266" t="s">
        <v>1318</v>
      </c>
      <c r="O223" s="239" t="s">
        <v>1319</v>
      </c>
      <c r="P223" s="268" t="s">
        <v>1305</v>
      </c>
      <c r="Q223" s="269" t="s">
        <v>1320</v>
      </c>
      <c r="R223" s="268" t="s">
        <v>194</v>
      </c>
      <c r="S223" s="269"/>
    </row>
    <row r="224">
      <c r="A224" s="230">
        <v>224.0</v>
      </c>
      <c r="B224" s="230" t="s">
        <v>188</v>
      </c>
      <c r="C224" s="231"/>
      <c r="D224" s="232"/>
      <c r="E224" s="232">
        <f>IFERROR(__xludf.DUMMYFUNCTION("iferror(SPLIT(D224,""/""),split(""0/0"",""/""))"),0.0)</f>
        <v>0</v>
      </c>
      <c r="F224" s="232">
        <f>IFERROR(__xludf.DUMMYFUNCTION("""COMPUTED_VALUE"""),0.0)</f>
        <v>0</v>
      </c>
      <c r="G224" s="247" t="b">
        <v>0</v>
      </c>
      <c r="H224" s="242" t="str">
        <f t="shared" si="1"/>
        <v/>
      </c>
      <c r="I224" s="243" t="s">
        <v>1321</v>
      </c>
      <c r="J224" s="265" t="str">
        <f t="shared" si="2"/>
        <v>Use shears to obtain a leaf block (Obtain any leaf block)</v>
      </c>
      <c r="K224" s="266"/>
      <c r="L224" s="267"/>
      <c r="M224" s="266" t="s">
        <v>1322</v>
      </c>
      <c r="N224" s="266" t="s">
        <v>1323</v>
      </c>
      <c r="O224" s="239" t="s">
        <v>1324</v>
      </c>
      <c r="P224" s="268" t="s">
        <v>1305</v>
      </c>
      <c r="Q224" s="269" t="s">
        <v>1325</v>
      </c>
      <c r="R224" s="268" t="s">
        <v>194</v>
      </c>
      <c r="S224" s="269"/>
    </row>
    <row r="225">
      <c r="A225" s="230">
        <v>225.0</v>
      </c>
      <c r="B225" s="230" t="s">
        <v>188</v>
      </c>
      <c r="C225" s="231"/>
      <c r="D225" s="232"/>
      <c r="E225" s="232">
        <f>IFERROR(__xludf.DUMMYFUNCTION("iferror(SPLIT(D225,""/""),split(""0/0"",""/""))"),0.0)</f>
        <v>0</v>
      </c>
      <c r="F225" s="232">
        <f>IFERROR(__xludf.DUMMYFUNCTION("""COMPUTED_VALUE"""),0.0)</f>
        <v>0</v>
      </c>
      <c r="G225" s="247" t="b">
        <v>0</v>
      </c>
      <c r="H225" s="242" t="str">
        <f t="shared" si="1"/>
        <v/>
      </c>
      <c r="I225" s="243" t="s">
        <v>1326</v>
      </c>
      <c r="J225" s="265" t="str">
        <f t="shared" si="2"/>
        <v>Use shears to pick up short grass or ferns (Obtain either grass or ferns)</v>
      </c>
      <c r="K225" s="266"/>
      <c r="L225" s="267"/>
      <c r="M225" s="266" t="s">
        <v>1327</v>
      </c>
      <c r="N225" s="266" t="s">
        <v>1328</v>
      </c>
      <c r="O225" s="239" t="s">
        <v>1329</v>
      </c>
      <c r="P225" s="268" t="s">
        <v>1305</v>
      </c>
      <c r="Q225" s="269" t="s">
        <v>1330</v>
      </c>
      <c r="R225" s="268" t="s">
        <v>194</v>
      </c>
      <c r="S225" s="269"/>
    </row>
    <row r="226">
      <c r="A226" s="230">
        <v>226.0</v>
      </c>
      <c r="B226" s="230" t="s">
        <v>188</v>
      </c>
      <c r="C226" s="231"/>
      <c r="D226" s="232"/>
      <c r="E226" s="232">
        <f>IFERROR(__xludf.DUMMYFUNCTION("iferror(SPLIT(D226,""/""),split(""0/0"",""/""))"),0.0)</f>
        <v>0</v>
      </c>
      <c r="F226" s="232">
        <f>IFERROR(__xludf.DUMMYFUNCTION("""COMPUTED_VALUE"""),0.0)</f>
        <v>0</v>
      </c>
      <c r="G226" s="247" t="b">
        <v>0</v>
      </c>
      <c r="H226" s="242" t="str">
        <f t="shared" si="1"/>
        <v/>
      </c>
      <c r="I226" s="243" t="s">
        <v>1331</v>
      </c>
      <c r="J226" s="265" t="str">
        <f t="shared" si="2"/>
        <v>Get a deadbush cause you're a noob (Obtain a dead bush)</v>
      </c>
      <c r="K226" s="266"/>
      <c r="L226" s="267"/>
      <c r="M226" s="266" t="s">
        <v>1332</v>
      </c>
      <c r="N226" s="266" t="s">
        <v>1333</v>
      </c>
      <c r="O226" s="239" t="s">
        <v>1334</v>
      </c>
      <c r="P226" s="268" t="s">
        <v>1305</v>
      </c>
      <c r="Q226" s="269" t="s">
        <v>1335</v>
      </c>
      <c r="R226" s="268" t="s">
        <v>194</v>
      </c>
      <c r="S226" s="269"/>
    </row>
    <row r="227">
      <c r="A227" s="230">
        <v>227.0</v>
      </c>
      <c r="B227" s="230" t="s">
        <v>283</v>
      </c>
      <c r="C227" s="231"/>
      <c r="D227" s="232"/>
      <c r="E227" s="232">
        <f>IFERROR(__xludf.DUMMYFUNCTION("iferror(SPLIT(D227,""/""),split(""0/0"",""/""))"),0.0)</f>
        <v>0</v>
      </c>
      <c r="F227" s="232">
        <f>IFERROR(__xludf.DUMMYFUNCTION("""COMPUTED_VALUE"""),0.0)</f>
        <v>0</v>
      </c>
      <c r="G227" s="247" t="b">
        <v>0</v>
      </c>
      <c r="H227" s="242" t="str">
        <f t="shared" si="1"/>
        <v/>
      </c>
      <c r="I227" s="246" t="s">
        <v>1336</v>
      </c>
      <c r="J227" s="265" t="str">
        <f t="shared" si="2"/>
        <v>Plant down all types of saplings (See requirement notes below)</v>
      </c>
      <c r="K227" s="266"/>
      <c r="L227" s="267"/>
      <c r="M227" s="270" t="s">
        <v>238</v>
      </c>
      <c r="N227" s="266" t="s">
        <v>1337</v>
      </c>
      <c r="O227" s="239" t="s">
        <v>1048</v>
      </c>
      <c r="P227" s="268" t="s">
        <v>1305</v>
      </c>
      <c r="Q227" s="269" t="s">
        <v>1338</v>
      </c>
      <c r="R227" s="268" t="s">
        <v>194</v>
      </c>
      <c r="S227" s="268" t="s">
        <v>1178</v>
      </c>
    </row>
    <row r="228">
      <c r="A228" s="230">
        <v>228.0</v>
      </c>
      <c r="B228" s="230" t="s">
        <v>257</v>
      </c>
      <c r="C228" s="231"/>
      <c r="D228" s="232"/>
      <c r="E228" s="232">
        <f>IFERROR(__xludf.DUMMYFUNCTION("iferror(SPLIT(D228,""/""),split(""0/0"",""/""))"),0.0)</f>
        <v>0</v>
      </c>
      <c r="F228" s="232">
        <f>IFERROR(__xludf.DUMMYFUNCTION("""COMPUTED_VALUE"""),0.0)</f>
        <v>0</v>
      </c>
      <c r="G228" s="247" t="b">
        <v>0</v>
      </c>
      <c r="H228" s="242" t="str">
        <f t="shared" si="1"/>
        <v/>
      </c>
      <c r="I228" s="246" t="s">
        <v>1339</v>
      </c>
      <c r="J228" s="265" t="str">
        <f t="shared" si="2"/>
        <v>Plant a Mangrove Propagule in a Grove biome</v>
      </c>
      <c r="K228" s="266" t="s">
        <v>1340</v>
      </c>
      <c r="L228" s="267"/>
      <c r="M228" s="266"/>
      <c r="N228" s="266" t="s">
        <v>1341</v>
      </c>
      <c r="O228" s="239" t="s">
        <v>1058</v>
      </c>
      <c r="P228" s="268" t="s">
        <v>1305</v>
      </c>
      <c r="Q228" s="269" t="s">
        <v>1342</v>
      </c>
      <c r="R228" s="268" t="s">
        <v>194</v>
      </c>
      <c r="S228" s="269" t="s">
        <v>1343</v>
      </c>
    </row>
    <row r="229">
      <c r="A229" s="230">
        <v>229.0</v>
      </c>
      <c r="B229" s="230" t="s">
        <v>188</v>
      </c>
      <c r="C229" s="231"/>
      <c r="D229" s="232"/>
      <c r="E229" s="232">
        <f>IFERROR(__xludf.DUMMYFUNCTION("iferror(SPLIT(D229,""/""),split(""0/0"",""/""))"),0.0)</f>
        <v>0</v>
      </c>
      <c r="F229" s="232">
        <f>IFERROR(__xludf.DUMMYFUNCTION("""COMPUTED_VALUE"""),0.0)</f>
        <v>0</v>
      </c>
      <c r="G229" s="247" t="b">
        <v>0</v>
      </c>
      <c r="H229" s="242" t="str">
        <f t="shared" si="1"/>
        <v/>
      </c>
      <c r="I229" s="243" t="s">
        <v>1344</v>
      </c>
      <c r="J229" s="265" t="str">
        <f t="shared" si="2"/>
        <v>Craft and eat a normal golden apple</v>
      </c>
      <c r="K229" s="266" t="s">
        <v>1345</v>
      </c>
      <c r="L229" s="267"/>
      <c r="M229" s="266"/>
      <c r="N229" s="266" t="s">
        <v>1346</v>
      </c>
      <c r="O229" s="239" t="s">
        <v>1347</v>
      </c>
      <c r="P229" s="268" t="s">
        <v>1305</v>
      </c>
      <c r="Q229" s="269" t="s">
        <v>1348</v>
      </c>
      <c r="R229" s="268" t="s">
        <v>194</v>
      </c>
      <c r="S229" s="269"/>
    </row>
    <row r="230">
      <c r="A230" s="230">
        <v>230.0</v>
      </c>
      <c r="B230" s="230" t="s">
        <v>257</v>
      </c>
      <c r="C230" s="231"/>
      <c r="D230" s="232"/>
      <c r="E230" s="232">
        <f>IFERROR(__xludf.DUMMYFUNCTION("iferror(SPLIT(D230,""/""),split(""0/0"",""/""))"),0.0)</f>
        <v>0</v>
      </c>
      <c r="F230" s="232">
        <f>IFERROR(__xludf.DUMMYFUNCTION("""COMPUTED_VALUE"""),0.0)</f>
        <v>0</v>
      </c>
      <c r="G230" s="247" t="b">
        <v>0</v>
      </c>
      <c r="H230" s="242" t="str">
        <f t="shared" si="1"/>
        <v/>
      </c>
      <c r="I230" s="249" t="s">
        <v>1349</v>
      </c>
      <c r="J230" s="265" t="str">
        <f t="shared" si="2"/>
        <v>Eat an Apple every day for 30 in-game days (See requirement notes below)</v>
      </c>
      <c r="K230" s="266" t="s">
        <v>1350</v>
      </c>
      <c r="L230" s="267"/>
      <c r="M230" s="270" t="s">
        <v>238</v>
      </c>
      <c r="N230" s="266" t="s">
        <v>1351</v>
      </c>
      <c r="O230" s="239" t="s">
        <v>1319</v>
      </c>
      <c r="P230" s="268" t="s">
        <v>1305</v>
      </c>
      <c r="Q230" s="269" t="s">
        <v>1352</v>
      </c>
      <c r="R230" s="268" t="s">
        <v>194</v>
      </c>
      <c r="S230" s="268" t="s">
        <v>1353</v>
      </c>
    </row>
    <row r="231">
      <c r="A231" s="230">
        <v>231.0</v>
      </c>
      <c r="B231" s="230" t="s">
        <v>188</v>
      </c>
      <c r="C231" s="231"/>
      <c r="D231" s="232"/>
      <c r="E231" s="232">
        <f>IFERROR(__xludf.DUMMYFUNCTION("iferror(SPLIT(D231,""/""),split(""0/0"",""/""))"),0.0)</f>
        <v>0</v>
      </c>
      <c r="F231" s="232">
        <f>IFERROR(__xludf.DUMMYFUNCTION("""COMPUTED_VALUE"""),0.0)</f>
        <v>0</v>
      </c>
      <c r="G231" s="247" t="b">
        <v>0</v>
      </c>
      <c r="H231" s="242" t="str">
        <f t="shared" si="1"/>
        <v/>
      </c>
      <c r="I231" s="243" t="s">
        <v>1354</v>
      </c>
      <c r="J231" s="265" t="str">
        <f t="shared" si="2"/>
        <v>Pick and eat some Sweet Berries</v>
      </c>
      <c r="K231" s="266" t="s">
        <v>1355</v>
      </c>
      <c r="L231" s="267"/>
      <c r="M231" s="266"/>
      <c r="N231" s="266" t="s">
        <v>1356</v>
      </c>
      <c r="O231" s="239" t="s">
        <v>1357</v>
      </c>
      <c r="P231" s="268" t="s">
        <v>1305</v>
      </c>
      <c r="Q231" s="269" t="s">
        <v>1358</v>
      </c>
      <c r="R231" s="268" t="s">
        <v>194</v>
      </c>
      <c r="S231" s="269"/>
    </row>
    <row r="232">
      <c r="A232" s="230">
        <v>232.0</v>
      </c>
      <c r="B232" s="230" t="s">
        <v>206</v>
      </c>
      <c r="C232" s="231"/>
      <c r="D232" s="232"/>
      <c r="E232" s="232">
        <f>IFERROR(__xludf.DUMMYFUNCTION("iferror(SPLIT(D232,""/""),split(""0/0"",""/""))"),0.0)</f>
        <v>0</v>
      </c>
      <c r="F232" s="232">
        <f>IFERROR(__xludf.DUMMYFUNCTION("""COMPUTED_VALUE"""),0.0)</f>
        <v>0</v>
      </c>
      <c r="G232" s="247" t="b">
        <v>0</v>
      </c>
      <c r="H232" s="242" t="str">
        <f t="shared" si="1"/>
        <v/>
      </c>
      <c r="I232" s="243" t="s">
        <v>1359</v>
      </c>
      <c r="J232" s="265" t="str">
        <f t="shared" si="2"/>
        <v>Get stuck in a Sweet Berry Bush. Oh, icky yucky goo! (Enter a sweet berry bush block)</v>
      </c>
      <c r="K232" s="266"/>
      <c r="L232" s="267"/>
      <c r="M232" s="266" t="s">
        <v>1360</v>
      </c>
      <c r="N232" s="266" t="s">
        <v>1361</v>
      </c>
      <c r="O232" s="239" t="s">
        <v>1362</v>
      </c>
      <c r="P232" s="268" t="s">
        <v>1305</v>
      </c>
      <c r="Q232" s="269" t="s">
        <v>1363</v>
      </c>
      <c r="R232" s="268" t="s">
        <v>194</v>
      </c>
      <c r="S232" s="269"/>
    </row>
    <row r="233">
      <c r="A233" s="230">
        <v>233.0</v>
      </c>
      <c r="B233" s="230" t="s">
        <v>188</v>
      </c>
      <c r="C233" s="231"/>
      <c r="D233" s="232"/>
      <c r="E233" s="232">
        <f>IFERROR(__xludf.DUMMYFUNCTION("iferror(SPLIT(D233,""/""),split(""0/0"",""/""))"),0.0)</f>
        <v>0</v>
      </c>
      <c r="F233" s="232">
        <f>IFERROR(__xludf.DUMMYFUNCTION("""COMPUTED_VALUE"""),0.0)</f>
        <v>0</v>
      </c>
      <c r="G233" s="247" t="b">
        <v>0</v>
      </c>
      <c r="H233" s="242" t="str">
        <f t="shared" si="1"/>
        <v/>
      </c>
      <c r="I233" s="243" t="s">
        <v>1364</v>
      </c>
      <c r="J233" s="271" t="str">
        <f t="shared" si="2"/>
        <v>Gather both types of mushroom (Obtain a red and brown mushroom)</v>
      </c>
      <c r="K233" s="272" t="s">
        <v>1365</v>
      </c>
      <c r="L233" s="273"/>
      <c r="M233" s="272" t="s">
        <v>1366</v>
      </c>
      <c r="N233" s="272" t="s">
        <v>1367</v>
      </c>
      <c r="O233" s="239" t="s">
        <v>1368</v>
      </c>
      <c r="P233" s="268" t="s">
        <v>1305</v>
      </c>
      <c r="Q233" s="269" t="s">
        <v>1369</v>
      </c>
      <c r="R233" s="268" t="s">
        <v>194</v>
      </c>
      <c r="S233" s="269"/>
    </row>
    <row r="234">
      <c r="A234" s="230">
        <v>234.0</v>
      </c>
      <c r="B234" s="230" t="s">
        <v>188</v>
      </c>
      <c r="C234" s="231"/>
      <c r="D234" s="232"/>
      <c r="E234" s="232">
        <f>IFERROR(__xludf.DUMMYFUNCTION("iferror(SPLIT(D234,""/""),split(""0/0"",""/""))"),0.0)</f>
        <v>0</v>
      </c>
      <c r="F234" s="232">
        <f>IFERROR(__xludf.DUMMYFUNCTION("""COMPUTED_VALUE"""),0.0)</f>
        <v>0</v>
      </c>
      <c r="G234" s="247" t="b">
        <v>0</v>
      </c>
      <c r="H234" s="242" t="str">
        <f t="shared" si="1"/>
        <v/>
      </c>
      <c r="I234" s="243" t="s">
        <v>1370</v>
      </c>
      <c r="J234" s="271" t="str">
        <f t="shared" si="2"/>
        <v>Slurp some mushroom stew (Eat a mushroom stew)</v>
      </c>
      <c r="K234" s="272" t="s">
        <v>1365</v>
      </c>
      <c r="L234" s="273"/>
      <c r="M234" s="272" t="s">
        <v>1371</v>
      </c>
      <c r="N234" s="272" t="s">
        <v>1372</v>
      </c>
      <c r="O234" s="239" t="s">
        <v>1373</v>
      </c>
      <c r="P234" s="268" t="s">
        <v>1305</v>
      </c>
      <c r="Q234" s="269" t="s">
        <v>1374</v>
      </c>
      <c r="R234" s="268" t="s">
        <v>194</v>
      </c>
      <c r="S234" s="269"/>
    </row>
    <row r="235">
      <c r="A235" s="230">
        <v>235.0</v>
      </c>
      <c r="B235" s="230" t="s">
        <v>188</v>
      </c>
      <c r="C235" s="231"/>
      <c r="D235" s="232"/>
      <c r="E235" s="232">
        <f>IFERROR(__xludf.DUMMYFUNCTION("iferror(SPLIT(D235,""/""),split(""0/0"",""/""))"),0.0)</f>
        <v>0</v>
      </c>
      <c r="F235" s="232">
        <f>IFERROR(__xludf.DUMMYFUNCTION("""COMPUTED_VALUE"""),0.0)</f>
        <v>0</v>
      </c>
      <c r="G235" s="247" t="b">
        <v>0</v>
      </c>
      <c r="H235" s="242" t="str">
        <f t="shared" si="1"/>
        <v/>
      </c>
      <c r="I235" s="243" t="s">
        <v>1375</v>
      </c>
      <c r="J235" s="271" t="str">
        <f t="shared" si="2"/>
        <v>Grow a giant mushroom and then harvest it with silk touch (Obtain a red or brown or stem mushroom block)</v>
      </c>
      <c r="K235" s="274" t="s">
        <v>1376</v>
      </c>
      <c r="L235" s="275"/>
      <c r="M235" s="272" t="s">
        <v>1377</v>
      </c>
      <c r="N235" s="272" t="s">
        <v>1378</v>
      </c>
      <c r="O235" s="239" t="s">
        <v>1379</v>
      </c>
      <c r="P235" s="268" t="s">
        <v>1305</v>
      </c>
      <c r="Q235" s="269" t="s">
        <v>1380</v>
      </c>
      <c r="R235" s="268" t="s">
        <v>194</v>
      </c>
      <c r="S235" s="269"/>
    </row>
    <row r="236">
      <c r="A236" s="230">
        <v>236.0</v>
      </c>
      <c r="B236" s="230" t="s">
        <v>188</v>
      </c>
      <c r="C236" s="231"/>
      <c r="D236" s="232"/>
      <c r="E236" s="232">
        <f>IFERROR(__xludf.DUMMYFUNCTION("iferror(SPLIT(D236,""/""),split(""0/0"",""/""))"),0.0)</f>
        <v>0</v>
      </c>
      <c r="F236" s="232">
        <f>IFERROR(__xludf.DUMMYFUNCTION("""COMPUTED_VALUE"""),0.0)</f>
        <v>0</v>
      </c>
      <c r="G236" s="247" t="b">
        <v>0</v>
      </c>
      <c r="H236" s="242" t="str">
        <f t="shared" si="1"/>
        <v/>
      </c>
      <c r="I236" s="243" t="s">
        <v>1381</v>
      </c>
      <c r="J236" s="271" t="str">
        <f t="shared" si="2"/>
        <v>Slurp some suspicious stew and pray you don't suddenly see giant flying eyeballs in the sky (Eat a suspicious stew)</v>
      </c>
      <c r="K236" s="266"/>
      <c r="L236" s="267"/>
      <c r="M236" s="272" t="s">
        <v>1382</v>
      </c>
      <c r="N236" s="272" t="s">
        <v>1383</v>
      </c>
      <c r="O236" s="239" t="s">
        <v>1384</v>
      </c>
      <c r="P236" s="268" t="s">
        <v>1305</v>
      </c>
      <c r="Q236" s="269" t="s">
        <v>1385</v>
      </c>
      <c r="R236" s="268" t="s">
        <v>194</v>
      </c>
      <c r="S236" s="269"/>
    </row>
    <row r="237">
      <c r="A237" s="230">
        <v>237.0</v>
      </c>
      <c r="B237" s="230" t="s">
        <v>257</v>
      </c>
      <c r="C237" s="231"/>
      <c r="D237" s="232"/>
      <c r="E237" s="232">
        <f>IFERROR(__xludf.DUMMYFUNCTION("iferror(SPLIT(D237,""/""),split(""0/0"",""/""))"),0.0)</f>
        <v>0</v>
      </c>
      <c r="F237" s="232">
        <f>IFERROR(__xludf.DUMMYFUNCTION("""COMPUTED_VALUE"""),0.0)</f>
        <v>0</v>
      </c>
      <c r="G237" s="247" t="b">
        <v>0</v>
      </c>
      <c r="H237" s="242" t="str">
        <f t="shared" si="1"/>
        <v/>
      </c>
      <c r="I237" s="246" t="s">
        <v>1386</v>
      </c>
      <c r="J237" s="271" t="str">
        <f t="shared" si="2"/>
        <v>Slurp every type of suspicious stew (See requirement notes below)</v>
      </c>
      <c r="K237" s="272" t="s">
        <v>1387</v>
      </c>
      <c r="L237" s="273"/>
      <c r="M237" s="270" t="s">
        <v>238</v>
      </c>
      <c r="N237" s="272" t="s">
        <v>1388</v>
      </c>
      <c r="O237" s="239" t="s">
        <v>1389</v>
      </c>
      <c r="P237" s="268" t="s">
        <v>1305</v>
      </c>
      <c r="Q237" s="269" t="s">
        <v>1390</v>
      </c>
      <c r="R237" s="268" t="s">
        <v>194</v>
      </c>
      <c r="S237" s="269" t="s">
        <v>262</v>
      </c>
    </row>
    <row r="238">
      <c r="A238" s="230">
        <v>238.0</v>
      </c>
      <c r="B238" s="230" t="s">
        <v>188</v>
      </c>
      <c r="C238" s="231"/>
      <c r="D238" s="232"/>
      <c r="E238" s="232">
        <f>IFERROR(__xludf.DUMMYFUNCTION("iferror(SPLIT(D238,""/""),split(""0/0"",""/""))"),0.0)</f>
        <v>0</v>
      </c>
      <c r="F238" s="232">
        <f>IFERROR(__xludf.DUMMYFUNCTION("""COMPUTED_VALUE"""),0.0)</f>
        <v>0</v>
      </c>
      <c r="G238" s="247" t="b">
        <v>0</v>
      </c>
      <c r="H238" s="242" t="str">
        <f t="shared" si="1"/>
        <v/>
      </c>
      <c r="I238" s="243" t="s">
        <v>1391</v>
      </c>
      <c r="J238" s="271" t="str">
        <f t="shared" si="2"/>
        <v>Harvest some sugar cane from a river or an ocean (Obtain sugar cane)</v>
      </c>
      <c r="K238" s="272" t="s">
        <v>1392</v>
      </c>
      <c r="L238" s="273"/>
      <c r="M238" s="272" t="s">
        <v>1393</v>
      </c>
      <c r="N238" s="272" t="s">
        <v>1394</v>
      </c>
      <c r="O238" s="239" t="s">
        <v>1395</v>
      </c>
      <c r="P238" s="268" t="s">
        <v>1305</v>
      </c>
      <c r="Q238" s="269" t="s">
        <v>1396</v>
      </c>
      <c r="R238" s="268" t="s">
        <v>194</v>
      </c>
      <c r="S238" s="269"/>
    </row>
    <row r="239">
      <c r="A239" s="230">
        <v>239.0</v>
      </c>
      <c r="B239" s="230" t="s">
        <v>188</v>
      </c>
      <c r="C239" s="231"/>
      <c r="D239" s="232"/>
      <c r="E239" s="232">
        <f>IFERROR(__xludf.DUMMYFUNCTION("iferror(SPLIT(D239,""/""),split(""0/0"",""/""))"),0.0)</f>
        <v>0</v>
      </c>
      <c r="F239" s="232">
        <f>IFERROR(__xludf.DUMMYFUNCTION("""COMPUTED_VALUE"""),0.0)</f>
        <v>0</v>
      </c>
      <c r="G239" s="247" t="b">
        <v>0</v>
      </c>
      <c r="H239" s="242" t="str">
        <f t="shared" si="1"/>
        <v/>
      </c>
      <c r="I239" s="243" t="s">
        <v>1397</v>
      </c>
      <c r="J239" s="271" t="str">
        <f t="shared" si="2"/>
        <v>Obtain some ink from hunting a squid</v>
      </c>
      <c r="K239" s="272" t="s">
        <v>1398</v>
      </c>
      <c r="L239" s="273"/>
      <c r="M239" s="266"/>
      <c r="N239" s="272" t="s">
        <v>1399</v>
      </c>
      <c r="O239" s="239" t="s">
        <v>1400</v>
      </c>
      <c r="P239" s="268" t="s">
        <v>1305</v>
      </c>
      <c r="Q239" s="269" t="s">
        <v>1401</v>
      </c>
      <c r="R239" s="268" t="s">
        <v>194</v>
      </c>
      <c r="S239" s="269"/>
    </row>
    <row r="240">
      <c r="A240" s="230">
        <v>240.0</v>
      </c>
      <c r="B240" s="230" t="s">
        <v>188</v>
      </c>
      <c r="C240" s="231"/>
      <c r="D240" s="232"/>
      <c r="E240" s="232">
        <f>IFERROR(__xludf.DUMMYFUNCTION("iferror(SPLIT(D240,""/""),split(""0/0"",""/""))"),0.0)</f>
        <v>0</v>
      </c>
      <c r="F240" s="232">
        <f>IFERROR(__xludf.DUMMYFUNCTION("""COMPUTED_VALUE"""),0.0)</f>
        <v>0</v>
      </c>
      <c r="G240" s="247" t="b">
        <v>0</v>
      </c>
      <c r="H240" s="242" t="str">
        <f t="shared" si="1"/>
        <v/>
      </c>
      <c r="I240" s="246" t="s">
        <v>1402</v>
      </c>
      <c r="J240" s="271" t="str">
        <f t="shared" si="2"/>
        <v>Hunt enough Squids to collect a stack of Ink Sacs</v>
      </c>
      <c r="K240" s="272" t="s">
        <v>1403</v>
      </c>
      <c r="L240" s="273"/>
      <c r="M240" s="266"/>
      <c r="N240" s="272" t="s">
        <v>1404</v>
      </c>
      <c r="O240" s="239" t="s">
        <v>1405</v>
      </c>
      <c r="P240" s="268" t="s">
        <v>1305</v>
      </c>
      <c r="Q240" s="269" t="s">
        <v>1406</v>
      </c>
      <c r="R240" s="268" t="s">
        <v>194</v>
      </c>
      <c r="S240" s="269"/>
    </row>
    <row r="241">
      <c r="A241" s="230">
        <v>241.0</v>
      </c>
      <c r="B241" s="230" t="s">
        <v>188</v>
      </c>
      <c r="C241" s="231"/>
      <c r="D241" s="232"/>
      <c r="E241" s="232">
        <f>IFERROR(__xludf.DUMMYFUNCTION("iferror(SPLIT(D241,""/""),split(""0/0"",""/""))"),0.0)</f>
        <v>0</v>
      </c>
      <c r="F241" s="232">
        <f>IFERROR(__xludf.DUMMYFUNCTION("""COMPUTED_VALUE"""),0.0)</f>
        <v>0</v>
      </c>
      <c r="G241" s="247" t="b">
        <v>0</v>
      </c>
      <c r="H241" s="242" t="str">
        <f t="shared" si="1"/>
        <v/>
      </c>
      <c r="I241" s="243" t="s">
        <v>1407</v>
      </c>
      <c r="J241" s="271" t="str">
        <f t="shared" si="2"/>
        <v>Use a book, ink and a feather to craft a book and quill</v>
      </c>
      <c r="K241" s="266"/>
      <c r="L241" s="267"/>
      <c r="M241" s="266"/>
      <c r="N241" s="272" t="s">
        <v>1408</v>
      </c>
      <c r="O241" s="239" t="s">
        <v>1409</v>
      </c>
      <c r="P241" s="268" t="s">
        <v>1305</v>
      </c>
      <c r="Q241" s="269" t="s">
        <v>1410</v>
      </c>
      <c r="R241" s="268" t="s">
        <v>194</v>
      </c>
      <c r="S241" s="269"/>
    </row>
    <row r="242">
      <c r="A242" s="230">
        <v>242.0</v>
      </c>
      <c r="B242" s="230" t="s">
        <v>188</v>
      </c>
      <c r="C242" s="231"/>
      <c r="D242" s="232"/>
      <c r="E242" s="232">
        <f>IFERROR(__xludf.DUMMYFUNCTION("iferror(SPLIT(D242,""/""),split(""0/0"",""/""))"),0.0)</f>
        <v>0</v>
      </c>
      <c r="F242" s="232">
        <f>IFERROR(__xludf.DUMMYFUNCTION("""COMPUTED_VALUE"""),0.0)</f>
        <v>0</v>
      </c>
      <c r="G242" s="247" t="b">
        <v>0</v>
      </c>
      <c r="H242" s="242" t="str">
        <f t="shared" si="1"/>
        <v/>
      </c>
      <c r="I242" s="243" t="s">
        <v>1411</v>
      </c>
      <c r="J242" s="271" t="str">
        <f t="shared" si="2"/>
        <v>Finish writing in your book or get a book from another player (Obtain a written book)</v>
      </c>
      <c r="K242" s="272" t="s">
        <v>1412</v>
      </c>
      <c r="L242" s="273"/>
      <c r="M242" s="272" t="s">
        <v>1413</v>
      </c>
      <c r="N242" s="272" t="s">
        <v>1414</v>
      </c>
      <c r="O242" s="239" t="s">
        <v>1415</v>
      </c>
      <c r="P242" s="268" t="s">
        <v>1305</v>
      </c>
      <c r="Q242" s="269" t="s">
        <v>1416</v>
      </c>
      <c r="R242" s="268" t="s">
        <v>194</v>
      </c>
      <c r="S242" s="269"/>
    </row>
    <row r="243">
      <c r="A243" s="230">
        <v>243.0</v>
      </c>
      <c r="B243" s="230" t="s">
        <v>188</v>
      </c>
      <c r="C243" s="231"/>
      <c r="D243" s="232"/>
      <c r="E243" s="232">
        <f>IFERROR(__xludf.DUMMYFUNCTION("iferror(SPLIT(D243,""/""),split(""0/0"",""/""))"),0.0)</f>
        <v>0</v>
      </c>
      <c r="F243" s="232">
        <f>IFERROR(__xludf.DUMMYFUNCTION("""COMPUTED_VALUE"""),0.0)</f>
        <v>0</v>
      </c>
      <c r="G243" s="247" t="b">
        <v>0</v>
      </c>
      <c r="H243" s="242" t="str">
        <f t="shared" si="1"/>
        <v/>
      </c>
      <c r="I243" s="243" t="s">
        <v>1417</v>
      </c>
      <c r="J243" s="271" t="str">
        <f t="shared" si="2"/>
        <v>Collect some kelp from an ocean</v>
      </c>
      <c r="K243" s="272" t="s">
        <v>1418</v>
      </c>
      <c r="L243" s="273"/>
      <c r="M243" s="266"/>
      <c r="N243" s="272" t="s">
        <v>1419</v>
      </c>
      <c r="O243" s="239" t="s">
        <v>1420</v>
      </c>
      <c r="P243" s="268" t="s">
        <v>1305</v>
      </c>
      <c r="Q243" s="269" t="s">
        <v>1421</v>
      </c>
      <c r="R243" s="268" t="s">
        <v>194</v>
      </c>
      <c r="S243" s="269"/>
    </row>
    <row r="244">
      <c r="A244" s="230">
        <v>244.0</v>
      </c>
      <c r="B244" s="230" t="s">
        <v>188</v>
      </c>
      <c r="C244" s="231"/>
      <c r="D244" s="232"/>
      <c r="E244" s="232">
        <f>IFERROR(__xludf.DUMMYFUNCTION("iferror(SPLIT(D244,""/""),split(""0/0"",""/""))"),0.0)</f>
        <v>0</v>
      </c>
      <c r="F244" s="232">
        <f>IFERROR(__xludf.DUMMYFUNCTION("""COMPUTED_VALUE"""),0.0)</f>
        <v>0</v>
      </c>
      <c r="G244" s="247" t="b">
        <v>0</v>
      </c>
      <c r="H244" s="242" t="str">
        <f t="shared" si="1"/>
        <v/>
      </c>
      <c r="I244" s="243" t="s">
        <v>1422</v>
      </c>
      <c r="J244" s="271" t="str">
        <f t="shared" si="2"/>
        <v>Craft a dried kelp block for use as a great fuel source</v>
      </c>
      <c r="K244" s="272" t="s">
        <v>1423</v>
      </c>
      <c r="L244" s="273"/>
      <c r="M244" s="266"/>
      <c r="N244" s="272" t="s">
        <v>1424</v>
      </c>
      <c r="O244" s="239" t="s">
        <v>1425</v>
      </c>
      <c r="P244" s="268" t="s">
        <v>1305</v>
      </c>
      <c r="Q244" s="269" t="s">
        <v>1426</v>
      </c>
      <c r="R244" s="268" t="s">
        <v>194</v>
      </c>
      <c r="S244" s="269"/>
    </row>
    <row r="245">
      <c r="A245" s="230">
        <v>245.0</v>
      </c>
      <c r="B245" s="230" t="s">
        <v>188</v>
      </c>
      <c r="C245" s="231"/>
      <c r="D245" s="232"/>
      <c r="E245" s="232">
        <f>IFERROR(__xludf.DUMMYFUNCTION("iferror(SPLIT(D245,""/""),split(""0/0"",""/""))"),0.0)</f>
        <v>0</v>
      </c>
      <c r="F245" s="232">
        <f>IFERROR(__xludf.DUMMYFUNCTION("""COMPUTED_VALUE"""),0.0)</f>
        <v>0</v>
      </c>
      <c r="G245" s="247" t="b">
        <v>0</v>
      </c>
      <c r="H245" s="242" t="str">
        <f t="shared" si="1"/>
        <v/>
      </c>
      <c r="I245" s="246" t="s">
        <v>1427</v>
      </c>
      <c r="J245" s="271" t="str">
        <f t="shared" si="2"/>
        <v>Craft a full stack of dried kelp blocks</v>
      </c>
      <c r="K245" s="272" t="s">
        <v>1428</v>
      </c>
      <c r="L245" s="273"/>
      <c r="M245" s="266"/>
      <c r="N245" s="272" t="s">
        <v>1429</v>
      </c>
      <c r="O245" s="239" t="s">
        <v>1425</v>
      </c>
      <c r="P245" s="268" t="s">
        <v>1305</v>
      </c>
      <c r="Q245" s="269" t="s">
        <v>1430</v>
      </c>
      <c r="R245" s="268" t="s">
        <v>194</v>
      </c>
      <c r="S245" s="269"/>
    </row>
    <row r="246">
      <c r="A246" s="230">
        <v>246.0</v>
      </c>
      <c r="B246" s="230" t="s">
        <v>257</v>
      </c>
      <c r="C246" s="231"/>
      <c r="D246" s="232"/>
      <c r="E246" s="232">
        <f>IFERROR(__xludf.DUMMYFUNCTION("iferror(SPLIT(D246,""/""),split(""0/0"",""/""))"),0.0)</f>
        <v>0</v>
      </c>
      <c r="F246" s="232">
        <f>IFERROR(__xludf.DUMMYFUNCTION("""COMPUTED_VALUE"""),0.0)</f>
        <v>0</v>
      </c>
      <c r="G246" s="247" t="b">
        <v>0</v>
      </c>
      <c r="H246" s="242" t="str">
        <f t="shared" si="1"/>
        <v/>
      </c>
      <c r="I246" s="249" t="s">
        <v>1431</v>
      </c>
      <c r="J246" s="271" t="str">
        <f t="shared" si="2"/>
        <v>Eat nothing but dried kelp for three in-game days (Eat dried kelp once; in the following three in-game days, eat nothing but dried kelp.)</v>
      </c>
      <c r="K246" s="272" t="s">
        <v>1432</v>
      </c>
      <c r="L246" s="273"/>
      <c r="M246" s="272" t="s">
        <v>1433</v>
      </c>
      <c r="N246" s="272" t="s">
        <v>1434</v>
      </c>
      <c r="O246" s="239" t="s">
        <v>1435</v>
      </c>
      <c r="P246" s="268" t="s">
        <v>1305</v>
      </c>
      <c r="Q246" s="269" t="s">
        <v>1436</v>
      </c>
      <c r="R246" s="268" t="s">
        <v>194</v>
      </c>
      <c r="S246" s="269" t="s">
        <v>1437</v>
      </c>
    </row>
    <row r="247">
      <c r="A247" s="230">
        <v>247.0</v>
      </c>
      <c r="B247" s="230" t="s">
        <v>188</v>
      </c>
      <c r="C247" s="231"/>
      <c r="D247" s="232"/>
      <c r="E247" s="232">
        <f>IFERROR(__xludf.DUMMYFUNCTION("iferror(SPLIT(D247,""/""),split(""0/0"",""/""))"),0.0)</f>
        <v>0</v>
      </c>
      <c r="F247" s="232">
        <f>IFERROR(__xludf.DUMMYFUNCTION("""COMPUTED_VALUE"""),0.0)</f>
        <v>0</v>
      </c>
      <c r="G247" s="247" t="b">
        <v>0</v>
      </c>
      <c r="H247" s="242" t="str">
        <f t="shared" si="1"/>
        <v/>
      </c>
      <c r="I247" s="243" t="s">
        <v>1438</v>
      </c>
      <c r="J247" s="271" t="str">
        <f t="shared" si="2"/>
        <v>Break down a cactus in a desert (Obtain a cactus)</v>
      </c>
      <c r="K247" s="272" t="s">
        <v>1439</v>
      </c>
      <c r="L247" s="273"/>
      <c r="M247" s="272" t="s">
        <v>1440</v>
      </c>
      <c r="N247" s="272" t="s">
        <v>1441</v>
      </c>
      <c r="O247" s="239" t="s">
        <v>1442</v>
      </c>
      <c r="P247" s="268" t="s">
        <v>1305</v>
      </c>
      <c r="Q247" s="269" t="s">
        <v>1443</v>
      </c>
      <c r="R247" s="268" t="s">
        <v>194</v>
      </c>
      <c r="S247" s="269"/>
    </row>
    <row r="248">
      <c r="A248" s="230">
        <v>248.0</v>
      </c>
      <c r="B248" s="230" t="s">
        <v>188</v>
      </c>
      <c r="C248" s="231"/>
      <c r="D248" s="232"/>
      <c r="E248" s="232">
        <f>IFERROR(__xludf.DUMMYFUNCTION("iferror(SPLIT(D248,""/""),split(""0/0"",""/""))"),0.0)</f>
        <v>0</v>
      </c>
      <c r="F248" s="232">
        <f>IFERROR(__xludf.DUMMYFUNCTION("""COMPUTED_VALUE"""),0.0)</f>
        <v>0</v>
      </c>
      <c r="G248" s="247" t="b">
        <v>0</v>
      </c>
      <c r="H248" s="242" t="str">
        <f t="shared" si="1"/>
        <v/>
      </c>
      <c r="I248" s="243" t="s">
        <v>1444</v>
      </c>
      <c r="J248" s="271" t="str">
        <f t="shared" si="2"/>
        <v>Run into a cactus (Take damage from touching a cactus)</v>
      </c>
      <c r="K248" s="272" t="s">
        <v>1445</v>
      </c>
      <c r="L248" s="273"/>
      <c r="M248" s="272" t="s">
        <v>1446</v>
      </c>
      <c r="N248" s="272" t="s">
        <v>1447</v>
      </c>
      <c r="O248" s="239" t="s">
        <v>1448</v>
      </c>
      <c r="P248" s="268" t="s">
        <v>1305</v>
      </c>
      <c r="Q248" s="269" t="s">
        <v>1449</v>
      </c>
      <c r="R248" s="268" t="s">
        <v>194</v>
      </c>
      <c r="S248" s="269"/>
    </row>
    <row r="249">
      <c r="A249" s="230">
        <v>249.0</v>
      </c>
      <c r="B249" s="230" t="s">
        <v>206</v>
      </c>
      <c r="C249" s="231"/>
      <c r="D249" s="232"/>
      <c r="E249" s="232">
        <f>IFERROR(__xludf.DUMMYFUNCTION("iferror(SPLIT(D249,""/""),split(""0/0"",""/""))"),0.0)</f>
        <v>0</v>
      </c>
      <c r="F249" s="232">
        <f>IFERROR(__xludf.DUMMYFUNCTION("""COMPUTED_VALUE"""),0.0)</f>
        <v>0</v>
      </c>
      <c r="G249" s="247" t="b">
        <v>0</v>
      </c>
      <c r="H249" s="242" t="str">
        <f t="shared" si="1"/>
        <v/>
      </c>
      <c r="I249" s="243" t="s">
        <v>1450</v>
      </c>
      <c r="J249" s="271" t="str">
        <f t="shared" si="2"/>
        <v>Plant a seed and watch it grow (Place wheat, melon, pumpkin, beetroot, nether wart or torchflower seeds, or a pitcher pod)</v>
      </c>
      <c r="K249" s="266"/>
      <c r="L249" s="267"/>
      <c r="M249" s="272" t="s">
        <v>1451</v>
      </c>
      <c r="N249" s="272" t="s">
        <v>1452</v>
      </c>
      <c r="O249" s="239" t="s">
        <v>1453</v>
      </c>
      <c r="P249" s="268" t="s">
        <v>1305</v>
      </c>
      <c r="Q249" s="269" t="s">
        <v>1454</v>
      </c>
      <c r="R249" s="268" t="s">
        <v>194</v>
      </c>
      <c r="S249" s="269"/>
    </row>
    <row r="250">
      <c r="A250" s="230">
        <v>250.0</v>
      </c>
      <c r="B250" s="230" t="s">
        <v>188</v>
      </c>
      <c r="C250" s="231"/>
      <c r="D250" s="232"/>
      <c r="E250" s="232">
        <f>IFERROR(__xludf.DUMMYFUNCTION("iferror(SPLIT(D250,""/""),split(""0/0"",""/""))"),0.0)</f>
        <v>0</v>
      </c>
      <c r="F250" s="232">
        <f>IFERROR(__xludf.DUMMYFUNCTION("""COMPUTED_VALUE"""),0.0)</f>
        <v>0</v>
      </c>
      <c r="G250" s="247" t="b">
        <v>0</v>
      </c>
      <c r="H250" s="242" t="str">
        <f t="shared" si="1"/>
        <v/>
      </c>
      <c r="I250" s="243" t="s">
        <v>1455</v>
      </c>
      <c r="J250" s="271" t="str">
        <f t="shared" si="2"/>
        <v>Beetroot soup gives you souperpowers! (Eat a beetroot soup)</v>
      </c>
      <c r="K250" s="272" t="s">
        <v>1456</v>
      </c>
      <c r="L250" s="273"/>
      <c r="M250" s="272" t="s">
        <v>1457</v>
      </c>
      <c r="N250" s="272" t="s">
        <v>1458</v>
      </c>
      <c r="O250" s="239" t="s">
        <v>1459</v>
      </c>
      <c r="P250" s="268" t="s">
        <v>1305</v>
      </c>
      <c r="Q250" s="269" t="s">
        <v>1460</v>
      </c>
      <c r="R250" s="268" t="s">
        <v>194</v>
      </c>
      <c r="S250" s="269"/>
    </row>
    <row r="251">
      <c r="A251" s="230">
        <v>251.0</v>
      </c>
      <c r="B251" s="230" t="s">
        <v>188</v>
      </c>
      <c r="C251" s="231"/>
      <c r="D251" s="232"/>
      <c r="E251" s="232">
        <f>IFERROR(__xludf.DUMMYFUNCTION("iferror(SPLIT(D251,""/""),split(""0/0"",""/""))"),0.0)</f>
        <v>0</v>
      </c>
      <c r="F251" s="232">
        <f>IFERROR(__xludf.DUMMYFUNCTION("""COMPUTED_VALUE"""),0.0)</f>
        <v>0</v>
      </c>
      <c r="G251" s="247" t="b">
        <v>0</v>
      </c>
      <c r="H251" s="242" t="str">
        <f t="shared" si="1"/>
        <v/>
      </c>
      <c r="I251" s="243" t="s">
        <v>1461</v>
      </c>
      <c r="J251" s="271" t="str">
        <f t="shared" si="2"/>
        <v>Grow wheat and use it to bake bread (Eat bread)</v>
      </c>
      <c r="K251" s="272" t="s">
        <v>1462</v>
      </c>
      <c r="L251" s="273"/>
      <c r="M251" s="272" t="s">
        <v>1463</v>
      </c>
      <c r="N251" s="272" t="s">
        <v>1464</v>
      </c>
      <c r="O251" s="239" t="s">
        <v>1465</v>
      </c>
      <c r="P251" s="268" t="s">
        <v>1305</v>
      </c>
      <c r="Q251" s="269" t="s">
        <v>1466</v>
      </c>
      <c r="R251" s="268" t="s">
        <v>194</v>
      </c>
      <c r="S251" s="269"/>
    </row>
    <row r="252">
      <c r="A252" s="230">
        <v>252.0</v>
      </c>
      <c r="B252" s="230" t="s">
        <v>188</v>
      </c>
      <c r="C252" s="231"/>
      <c r="D252" s="232"/>
      <c r="E252" s="232">
        <f>IFERROR(__xludf.DUMMYFUNCTION("iferror(SPLIT(D252,""/""),split(""0/0"",""/""))"),0.0)</f>
        <v>0</v>
      </c>
      <c r="F252" s="232">
        <f>IFERROR(__xludf.DUMMYFUNCTION("""COMPUTED_VALUE"""),0.0)</f>
        <v>0</v>
      </c>
      <c r="G252" s="247" t="b">
        <v>0</v>
      </c>
      <c r="H252" s="242" t="str">
        <f t="shared" si="1"/>
        <v/>
      </c>
      <c r="I252" s="243" t="s">
        <v>1467</v>
      </c>
      <c r="J252" s="271" t="str">
        <f t="shared" si="2"/>
        <v>Wheat, sugar, milk and eggs! (Craft cake)</v>
      </c>
      <c r="K252" s="266"/>
      <c r="L252" s="267"/>
      <c r="M252" s="272" t="s">
        <v>1468</v>
      </c>
      <c r="N252" s="272" t="s">
        <v>1469</v>
      </c>
      <c r="O252" s="239" t="s">
        <v>949</v>
      </c>
      <c r="P252" s="268" t="s">
        <v>1305</v>
      </c>
      <c r="Q252" s="269" t="s">
        <v>1470</v>
      </c>
      <c r="R252" s="268" t="s">
        <v>194</v>
      </c>
      <c r="S252" s="269"/>
    </row>
    <row r="253">
      <c r="A253" s="230">
        <v>253.0</v>
      </c>
      <c r="B253" s="230" t="s">
        <v>188</v>
      </c>
      <c r="C253" s="231"/>
      <c r="D253" s="232"/>
      <c r="E253" s="232">
        <f>IFERROR(__xludf.DUMMYFUNCTION("iferror(SPLIT(D253,""/""),split(""0/0"",""/""))"),0.0)</f>
        <v>0</v>
      </c>
      <c r="F253" s="232">
        <f>IFERROR(__xludf.DUMMYFUNCTION("""COMPUTED_VALUE"""),0.0)</f>
        <v>0</v>
      </c>
      <c r="G253" s="247" t="b">
        <v>0</v>
      </c>
      <c r="H253" s="242" t="str">
        <f t="shared" si="1"/>
        <v/>
      </c>
      <c r="I253" s="246" t="s">
        <v>1471</v>
      </c>
      <c r="J253" s="271" t="str">
        <f t="shared" si="2"/>
        <v>Craft a full stack of hay blocks</v>
      </c>
      <c r="K253" s="272" t="s">
        <v>1472</v>
      </c>
      <c r="L253" s="273"/>
      <c r="M253" s="266"/>
      <c r="N253" s="272" t="s">
        <v>1473</v>
      </c>
      <c r="O253" s="239" t="s">
        <v>1308</v>
      </c>
      <c r="P253" s="268" t="s">
        <v>1305</v>
      </c>
      <c r="Q253" s="269" t="s">
        <v>1474</v>
      </c>
      <c r="R253" s="268" t="s">
        <v>194</v>
      </c>
      <c r="S253" s="269"/>
    </row>
    <row r="254">
      <c r="A254" s="230">
        <v>254.0</v>
      </c>
      <c r="B254" s="230" t="s">
        <v>257</v>
      </c>
      <c r="C254" s="231"/>
      <c r="D254" s="232"/>
      <c r="E254" s="232">
        <f>IFERROR(__xludf.DUMMYFUNCTION("iferror(SPLIT(D254,""/""),split(""0/0"",""/""))"),0.0)</f>
        <v>0</v>
      </c>
      <c r="F254" s="232">
        <f>IFERROR(__xludf.DUMMYFUNCTION("""COMPUTED_VALUE"""),0.0)</f>
        <v>0</v>
      </c>
      <c r="G254" s="247" t="b">
        <v>0</v>
      </c>
      <c r="H254" s="242" t="str">
        <f t="shared" si="1"/>
        <v/>
      </c>
      <c r="I254" s="246" t="s">
        <v>1475</v>
      </c>
      <c r="J254" s="271" t="str">
        <f t="shared" si="2"/>
        <v>Eat 100 slices of cake</v>
      </c>
      <c r="K254" s="272" t="s">
        <v>1476</v>
      </c>
      <c r="L254" s="273"/>
      <c r="M254" s="266"/>
      <c r="N254" s="272" t="s">
        <v>1477</v>
      </c>
      <c r="O254" s="239" t="s">
        <v>1478</v>
      </c>
      <c r="P254" s="268" t="s">
        <v>1305</v>
      </c>
      <c r="Q254" s="269" t="s">
        <v>1479</v>
      </c>
      <c r="R254" s="268" t="s">
        <v>194</v>
      </c>
      <c r="S254" s="269" t="s">
        <v>1437</v>
      </c>
    </row>
    <row r="255">
      <c r="A255" s="230">
        <v>255.0</v>
      </c>
      <c r="B255" s="230" t="s">
        <v>188</v>
      </c>
      <c r="C255" s="231"/>
      <c r="D255" s="232"/>
      <c r="E255" s="232">
        <f>IFERROR(__xludf.DUMMYFUNCTION("iferror(SPLIT(D255,""/""),split(""0/0"",""/""))"),0.0)</f>
        <v>0</v>
      </c>
      <c r="F255" s="232">
        <f>IFERROR(__xludf.DUMMYFUNCTION("""COMPUTED_VALUE"""),0.0)</f>
        <v>0</v>
      </c>
      <c r="G255" s="247" t="b">
        <v>0</v>
      </c>
      <c r="H255" s="242" t="str">
        <f t="shared" si="1"/>
        <v/>
      </c>
      <c r="I255" s="243" t="s">
        <v>1480</v>
      </c>
      <c r="J255" s="271" t="str">
        <f t="shared" si="2"/>
        <v>Obtain some cocoa beans from a jungle</v>
      </c>
      <c r="K255" s="272" t="s">
        <v>1481</v>
      </c>
      <c r="L255" s="273"/>
      <c r="M255" s="266"/>
      <c r="N255" s="272" t="s">
        <v>1482</v>
      </c>
      <c r="O255" s="239" t="s">
        <v>1483</v>
      </c>
      <c r="P255" s="268" t="s">
        <v>1305</v>
      </c>
      <c r="Q255" s="269" t="s">
        <v>1484</v>
      </c>
      <c r="R255" s="268" t="s">
        <v>194</v>
      </c>
      <c r="S255" s="269"/>
    </row>
    <row r="256">
      <c r="A256" s="230">
        <v>256.0</v>
      </c>
      <c r="B256" s="230" t="s">
        <v>188</v>
      </c>
      <c r="C256" s="231"/>
      <c r="D256" s="232"/>
      <c r="E256" s="232">
        <f>IFERROR(__xludf.DUMMYFUNCTION("iferror(SPLIT(D256,""/""),split(""0/0"",""/""))"),0.0)</f>
        <v>0</v>
      </c>
      <c r="F256" s="232">
        <f>IFERROR(__xludf.DUMMYFUNCTION("""COMPUTED_VALUE"""),0.0)</f>
        <v>0</v>
      </c>
      <c r="G256" s="247" t="b">
        <v>0</v>
      </c>
      <c r="H256" s="242" t="str">
        <f t="shared" si="1"/>
        <v/>
      </c>
      <c r="I256" s="243" t="s">
        <v>1485</v>
      </c>
      <c r="J256" s="271" t="str">
        <f t="shared" si="2"/>
        <v>Bake some cookies... and then scoff them all yourself (Eat a cookie)</v>
      </c>
      <c r="K256" s="266"/>
      <c r="L256" s="267"/>
      <c r="M256" s="272" t="s">
        <v>1486</v>
      </c>
      <c r="N256" s="272" t="s">
        <v>1487</v>
      </c>
      <c r="O256" s="239" t="s">
        <v>1488</v>
      </c>
      <c r="P256" s="268" t="s">
        <v>1305</v>
      </c>
      <c r="Q256" s="269" t="s">
        <v>1489</v>
      </c>
      <c r="R256" s="268" t="s">
        <v>194</v>
      </c>
      <c r="S256" s="269"/>
    </row>
    <row r="257">
      <c r="A257" s="230">
        <v>257.0</v>
      </c>
      <c r="B257" s="230" t="s">
        <v>283</v>
      </c>
      <c r="C257" s="231"/>
      <c r="D257" s="232"/>
      <c r="E257" s="232">
        <f>IFERROR(__xludf.DUMMYFUNCTION("iferror(SPLIT(D257,""/""),split(""0/0"",""/""))"),0.0)</f>
        <v>0</v>
      </c>
      <c r="F257" s="232">
        <f>IFERROR(__xludf.DUMMYFUNCTION("""COMPUTED_VALUE"""),0.0)</f>
        <v>0</v>
      </c>
      <c r="G257" s="247" t="b">
        <v>0</v>
      </c>
      <c r="H257" s="242" t="str">
        <f t="shared" si="1"/>
        <v/>
      </c>
      <c r="I257" s="246" t="s">
        <v>1490</v>
      </c>
      <c r="J257" s="271" t="str">
        <f t="shared" si="2"/>
        <v>Plant some cocoa in the nice steamy Nether (Place cocoa beans in the Nether)</v>
      </c>
      <c r="K257" s="266"/>
      <c r="L257" s="267"/>
      <c r="M257" s="272" t="s">
        <v>1491</v>
      </c>
      <c r="N257" s="272" t="s">
        <v>1492</v>
      </c>
      <c r="O257" s="239" t="s">
        <v>1493</v>
      </c>
      <c r="P257" s="268" t="s">
        <v>1305</v>
      </c>
      <c r="Q257" s="269" t="s">
        <v>1494</v>
      </c>
      <c r="R257" s="268" t="s">
        <v>194</v>
      </c>
      <c r="S257" s="269" t="s">
        <v>290</v>
      </c>
    </row>
    <row r="258">
      <c r="A258" s="230">
        <v>258.0</v>
      </c>
      <c r="B258" s="230" t="s">
        <v>188</v>
      </c>
      <c r="C258" s="231"/>
      <c r="D258" s="232"/>
      <c r="E258" s="232">
        <f>IFERROR(__xludf.DUMMYFUNCTION("iferror(SPLIT(D258,""/""),split(""0/0"",""/""))"),0.0)</f>
        <v>0</v>
      </c>
      <c r="F258" s="232">
        <f>IFERROR(__xludf.DUMMYFUNCTION("""COMPUTED_VALUE"""),0.0)</f>
        <v>0</v>
      </c>
      <c r="G258" s="247" t="b">
        <v>0</v>
      </c>
      <c r="H258" s="242" t="str">
        <f t="shared" si="1"/>
        <v/>
      </c>
      <c r="I258" s="243" t="s">
        <v>1495</v>
      </c>
      <c r="J258" s="271" t="str">
        <f t="shared" si="2"/>
        <v>Harvest some spooky pumpkins</v>
      </c>
      <c r="K258" s="272" t="s">
        <v>1496</v>
      </c>
      <c r="L258" s="273"/>
      <c r="M258" s="266"/>
      <c r="N258" s="272" t="s">
        <v>1497</v>
      </c>
      <c r="O258" s="239" t="s">
        <v>1498</v>
      </c>
      <c r="P258" s="268" t="s">
        <v>1305</v>
      </c>
      <c r="Q258" s="269" t="s">
        <v>1499</v>
      </c>
      <c r="R258" s="268" t="s">
        <v>194</v>
      </c>
      <c r="S258" s="269"/>
    </row>
    <row r="259">
      <c r="A259" s="230">
        <v>259.0</v>
      </c>
      <c r="B259" s="230" t="s">
        <v>188</v>
      </c>
      <c r="C259" s="231"/>
      <c r="D259" s="232"/>
      <c r="E259" s="232">
        <f>IFERROR(__xludf.DUMMYFUNCTION("iferror(SPLIT(D259,""/""),split(""0/0"",""/""))"),0.0)</f>
        <v>0</v>
      </c>
      <c r="F259" s="232">
        <f>IFERROR(__xludf.DUMMYFUNCTION("""COMPUTED_VALUE"""),0.0)</f>
        <v>0</v>
      </c>
      <c r="G259" s="247" t="b">
        <v>0</v>
      </c>
      <c r="H259" s="242" t="str">
        <f t="shared" si="1"/>
        <v/>
      </c>
      <c r="I259" s="243" t="s">
        <v>1500</v>
      </c>
      <c r="J259" s="271" t="str">
        <f t="shared" si="2"/>
        <v>Bake a pumpkin pie (Obtain a pumpkin pie)</v>
      </c>
      <c r="K259" s="272" t="s">
        <v>1501</v>
      </c>
      <c r="L259" s="273"/>
      <c r="M259" s="272" t="s">
        <v>1502</v>
      </c>
      <c r="N259" s="272" t="s">
        <v>1503</v>
      </c>
      <c r="O259" s="239" t="s">
        <v>1504</v>
      </c>
      <c r="P259" s="268" t="s">
        <v>1305</v>
      </c>
      <c r="Q259" s="269" t="s">
        <v>1505</v>
      </c>
      <c r="R259" s="268" t="s">
        <v>194</v>
      </c>
      <c r="S259" s="269"/>
    </row>
    <row r="260">
      <c r="A260" s="230">
        <v>260.0</v>
      </c>
      <c r="B260" s="230" t="s">
        <v>188</v>
      </c>
      <c r="C260" s="231"/>
      <c r="D260" s="232"/>
      <c r="E260" s="232">
        <f>IFERROR(__xludf.DUMMYFUNCTION("iferror(SPLIT(D260,""/""),split(""0/0"",""/""))"),0.0)</f>
        <v>0</v>
      </c>
      <c r="F260" s="232">
        <f>IFERROR(__xludf.DUMMYFUNCTION("""COMPUTED_VALUE"""),0.0)</f>
        <v>0</v>
      </c>
      <c r="G260" s="247" t="b">
        <v>0</v>
      </c>
      <c r="H260" s="242" t="str">
        <f t="shared" si="1"/>
        <v/>
      </c>
      <c r="I260" s="243" t="s">
        <v>1506</v>
      </c>
      <c r="J260" s="271" t="str">
        <f t="shared" si="2"/>
        <v>Do you want to build a snow golem?</v>
      </c>
      <c r="K260" s="272" t="s">
        <v>1507</v>
      </c>
      <c r="L260" s="273"/>
      <c r="M260" s="266"/>
      <c r="N260" s="272" t="s">
        <v>1508</v>
      </c>
      <c r="O260" s="239" t="s">
        <v>1509</v>
      </c>
      <c r="P260" s="268" t="s">
        <v>1305</v>
      </c>
      <c r="Q260" s="269" t="s">
        <v>1510</v>
      </c>
      <c r="R260" s="268" t="s">
        <v>194</v>
      </c>
      <c r="S260" s="269"/>
    </row>
    <row r="261">
      <c r="A261" s="230">
        <v>261.0</v>
      </c>
      <c r="B261" s="230" t="s">
        <v>188</v>
      </c>
      <c r="C261" s="231"/>
      <c r="D261" s="232"/>
      <c r="E261" s="232">
        <f>IFERROR(__xludf.DUMMYFUNCTION("iferror(SPLIT(D261,""/""),split(""0/0"",""/""))"),0.0)</f>
        <v>0</v>
      </c>
      <c r="F261" s="232">
        <f>IFERROR(__xludf.DUMMYFUNCTION("""COMPUTED_VALUE"""),0.0)</f>
        <v>0</v>
      </c>
      <c r="G261" s="247" t="b">
        <v>0</v>
      </c>
      <c r="H261" s="242" t="str">
        <f t="shared" si="1"/>
        <v/>
      </c>
      <c r="I261" s="243" t="s">
        <v>1511</v>
      </c>
      <c r="J261" s="271" t="str">
        <f t="shared" si="2"/>
        <v>Shear the Pumpkin off of a Snow Golem to unveil their true face</v>
      </c>
      <c r="K261" s="266"/>
      <c r="L261" s="267"/>
      <c r="M261" s="266"/>
      <c r="N261" s="272" t="s">
        <v>1512</v>
      </c>
      <c r="O261" s="239" t="s">
        <v>592</v>
      </c>
      <c r="P261" s="268" t="s">
        <v>1305</v>
      </c>
      <c r="Q261" s="269" t="s">
        <v>1513</v>
      </c>
      <c r="R261" s="268" t="s">
        <v>194</v>
      </c>
      <c r="S261" s="269"/>
    </row>
    <row r="262">
      <c r="A262" s="230">
        <v>262.0</v>
      </c>
      <c r="B262" s="230" t="s">
        <v>188</v>
      </c>
      <c r="C262" s="231"/>
      <c r="D262" s="232"/>
      <c r="E262" s="232">
        <f>IFERROR(__xludf.DUMMYFUNCTION("iferror(SPLIT(D262,""/""),split(""0/0"",""/""))"),0.0)</f>
        <v>0</v>
      </c>
      <c r="F262" s="232">
        <f>IFERROR(__xludf.DUMMYFUNCTION("""COMPUTED_VALUE"""),0.0)</f>
        <v>0</v>
      </c>
      <c r="G262" s="233" t="b">
        <v>0</v>
      </c>
      <c r="H262" s="242" t="str">
        <f t="shared" si="1"/>
        <v/>
      </c>
      <c r="I262" s="276" t="s">
        <v>1514</v>
      </c>
      <c r="J262" s="271" t="str">
        <f t="shared" si="2"/>
        <v>Carve a full stack of pumpkins (Obtain 64 Carved Pumpkins)</v>
      </c>
      <c r="K262" s="272" t="s">
        <v>1515</v>
      </c>
      <c r="L262" s="273"/>
      <c r="M262" s="272" t="s">
        <v>1516</v>
      </c>
      <c r="N262" s="272" t="s">
        <v>1517</v>
      </c>
      <c r="O262" s="239" t="s">
        <v>1518</v>
      </c>
      <c r="P262" s="268" t="s">
        <v>1305</v>
      </c>
      <c r="Q262" s="269" t="s">
        <v>1519</v>
      </c>
      <c r="R262" s="268" t="s">
        <v>194</v>
      </c>
      <c r="S262" s="269"/>
    </row>
    <row r="263">
      <c r="A263" s="230">
        <v>263.0</v>
      </c>
      <c r="B263" s="230" t="s">
        <v>188</v>
      </c>
      <c r="C263" s="231"/>
      <c r="D263" s="232"/>
      <c r="E263" s="232">
        <f>IFERROR(__xludf.DUMMYFUNCTION("iferror(SPLIT(D263,""/""),split(""0/0"",""/""))"),0.0)</f>
        <v>0</v>
      </c>
      <c r="F263" s="232">
        <f>IFERROR(__xludf.DUMMYFUNCTION("""COMPUTED_VALUE"""),0.0)</f>
        <v>0</v>
      </c>
      <c r="G263" s="247" t="b">
        <v>0</v>
      </c>
      <c r="H263" s="242" t="str">
        <f t="shared" si="1"/>
        <v/>
      </c>
      <c r="I263" s="243" t="s">
        <v>1520</v>
      </c>
      <c r="J263" s="271" t="str">
        <f t="shared" si="2"/>
        <v>Eat a melon. Be careful not to drop it over a cliff</v>
      </c>
      <c r="K263" s="272" t="s">
        <v>1521</v>
      </c>
      <c r="L263" s="273"/>
      <c r="M263" s="266"/>
      <c r="N263" s="272" t="s">
        <v>1522</v>
      </c>
      <c r="O263" s="239" t="s">
        <v>1523</v>
      </c>
      <c r="P263" s="268" t="s">
        <v>1305</v>
      </c>
      <c r="Q263" s="269" t="s">
        <v>1524</v>
      </c>
      <c r="R263" s="268" t="s">
        <v>194</v>
      </c>
      <c r="S263" s="269"/>
    </row>
    <row r="264">
      <c r="A264" s="230">
        <v>264.0</v>
      </c>
      <c r="B264" s="230" t="s">
        <v>188</v>
      </c>
      <c r="C264" s="231"/>
      <c r="D264" s="232"/>
      <c r="E264" s="232">
        <f>IFERROR(__xludf.DUMMYFUNCTION("iferror(SPLIT(D264,""/""),split(""0/0"",""/""))"),0.0)</f>
        <v>0</v>
      </c>
      <c r="F264" s="232">
        <f>IFERROR(__xludf.DUMMYFUNCTION("""COMPUTED_VALUE"""),0.0)</f>
        <v>0</v>
      </c>
      <c r="G264" s="247" t="b">
        <v>0</v>
      </c>
      <c r="H264" s="242" t="str">
        <f t="shared" si="1"/>
        <v/>
      </c>
      <c r="I264" s="243" t="s">
        <v>1525</v>
      </c>
      <c r="J264" s="271" t="str">
        <f t="shared" si="2"/>
        <v>Craft 9 melon slices back into one block that, when broken, will probably not give you all 9 slices back (Craft a melon block)</v>
      </c>
      <c r="K264" s="266"/>
      <c r="L264" s="267"/>
      <c r="M264" s="272" t="s">
        <v>1526</v>
      </c>
      <c r="N264" s="272" t="s">
        <v>1527</v>
      </c>
      <c r="O264" s="239" t="s">
        <v>1528</v>
      </c>
      <c r="P264" s="268" t="s">
        <v>1305</v>
      </c>
      <c r="Q264" s="269" t="s">
        <v>1529</v>
      </c>
      <c r="R264" s="268" t="s">
        <v>194</v>
      </c>
      <c r="S264" s="269"/>
    </row>
    <row r="265">
      <c r="A265" s="230">
        <v>265.0</v>
      </c>
      <c r="B265" s="230" t="s">
        <v>188</v>
      </c>
      <c r="C265" s="231"/>
      <c r="D265" s="232"/>
      <c r="E265" s="232">
        <f>IFERROR(__xludf.DUMMYFUNCTION("iferror(SPLIT(D265,""/""),split(""0/0"",""/""))"),0.0)</f>
        <v>0</v>
      </c>
      <c r="F265" s="232">
        <f>IFERROR(__xludf.DUMMYFUNCTION("""COMPUTED_VALUE"""),0.0)</f>
        <v>0</v>
      </c>
      <c r="G265" s="247" t="b">
        <v>0</v>
      </c>
      <c r="H265" s="242" t="str">
        <f t="shared" si="1"/>
        <v/>
      </c>
      <c r="I265" s="246" t="s">
        <v>1530</v>
      </c>
      <c r="J265" s="271" t="str">
        <f t="shared" si="2"/>
        <v>Craft a full stack of melon blocks</v>
      </c>
      <c r="K265" s="272" t="s">
        <v>1531</v>
      </c>
      <c r="L265" s="273"/>
      <c r="M265" s="266"/>
      <c r="N265" s="272" t="s">
        <v>1532</v>
      </c>
      <c r="O265" s="239" t="s">
        <v>1528</v>
      </c>
      <c r="P265" s="268" t="s">
        <v>1305</v>
      </c>
      <c r="Q265" s="269" t="s">
        <v>1533</v>
      </c>
      <c r="R265" s="268" t="s">
        <v>194</v>
      </c>
      <c r="S265" s="269"/>
    </row>
    <row r="266">
      <c r="A266" s="230">
        <v>266.0</v>
      </c>
      <c r="B266" s="230" t="s">
        <v>188</v>
      </c>
      <c r="C266" s="231"/>
      <c r="D266" s="232"/>
      <c r="E266" s="232">
        <f>IFERROR(__xludf.DUMMYFUNCTION("iferror(SPLIT(D266,""/""),split(""0/0"",""/""))"),0.0)</f>
        <v>0</v>
      </c>
      <c r="F266" s="232">
        <f>IFERROR(__xludf.DUMMYFUNCTION("""COMPUTED_VALUE"""),0.0)</f>
        <v>0</v>
      </c>
      <c r="G266" s="247" t="b">
        <v>0</v>
      </c>
      <c r="H266" s="242" t="str">
        <f t="shared" si="1"/>
        <v/>
      </c>
      <c r="I266" s="243" t="s">
        <v>1534</v>
      </c>
      <c r="J266" s="271" t="str">
        <f t="shared" si="2"/>
        <v>Squash and eat a potato (Eat a potato or baked potato)</v>
      </c>
      <c r="K266" s="272" t="s">
        <v>1535</v>
      </c>
      <c r="L266" s="273"/>
      <c r="M266" s="272" t="s">
        <v>1536</v>
      </c>
      <c r="N266" s="272" t="s">
        <v>1537</v>
      </c>
      <c r="O266" s="239" t="s">
        <v>1538</v>
      </c>
      <c r="P266" s="268" t="s">
        <v>1305</v>
      </c>
      <c r="Q266" s="269" t="s">
        <v>1539</v>
      </c>
      <c r="R266" s="268" t="s">
        <v>194</v>
      </c>
      <c r="S266" s="269"/>
    </row>
    <row r="267">
      <c r="A267" s="230">
        <v>267.0</v>
      </c>
      <c r="B267" s="230" t="s">
        <v>188</v>
      </c>
      <c r="C267" s="231"/>
      <c r="D267" s="232"/>
      <c r="E267" s="232">
        <f>IFERROR(__xludf.DUMMYFUNCTION("iferror(SPLIT(D267,""/""),split(""0/0"",""/""))"),0.0)</f>
        <v>0</v>
      </c>
      <c r="F267" s="232">
        <f>IFERROR(__xludf.DUMMYFUNCTION("""COMPUTED_VALUE"""),0.0)</f>
        <v>0</v>
      </c>
      <c r="G267" s="247" t="b">
        <v>0</v>
      </c>
      <c r="H267" s="242" t="str">
        <f t="shared" si="1"/>
        <v/>
      </c>
      <c r="I267" s="243" t="s">
        <v>1540</v>
      </c>
      <c r="J267" s="271" t="str">
        <f t="shared" si="2"/>
        <v>Eat a poisonous potato</v>
      </c>
      <c r="K267" s="266"/>
      <c r="L267" s="267"/>
      <c r="M267" s="266"/>
      <c r="N267" s="272" t="s">
        <v>1541</v>
      </c>
      <c r="O267" s="239" t="s">
        <v>1542</v>
      </c>
      <c r="P267" s="268" t="s">
        <v>1305</v>
      </c>
      <c r="Q267" s="269" t="s">
        <v>1543</v>
      </c>
      <c r="R267" s="268" t="s">
        <v>194</v>
      </c>
      <c r="S267" s="269"/>
    </row>
    <row r="268">
      <c r="A268" s="230">
        <v>268.0</v>
      </c>
      <c r="B268" s="230" t="s">
        <v>188</v>
      </c>
      <c r="C268" s="231"/>
      <c r="D268" s="232"/>
      <c r="E268" s="232">
        <f>IFERROR(__xludf.DUMMYFUNCTION("iferror(SPLIT(D268,""/""),split(""0/0"",""/""))"),0.0)</f>
        <v>0</v>
      </c>
      <c r="F268" s="232">
        <f>IFERROR(__xludf.DUMMYFUNCTION("""COMPUTED_VALUE"""),0.0)</f>
        <v>0</v>
      </c>
      <c r="G268" s="233" t="b">
        <v>0</v>
      </c>
      <c r="H268" s="242" t="str">
        <f t="shared" si="1"/>
        <v/>
      </c>
      <c r="I268" s="243" t="s">
        <v>1544</v>
      </c>
      <c r="J268" s="271" t="str">
        <f t="shared" si="2"/>
        <v>Eat a golden carrot</v>
      </c>
      <c r="K268" s="272" t="s">
        <v>1545</v>
      </c>
      <c r="L268" s="273"/>
      <c r="M268" s="266"/>
      <c r="N268" s="272" t="s">
        <v>1546</v>
      </c>
      <c r="O268" s="239" t="s">
        <v>1547</v>
      </c>
      <c r="P268" s="268" t="s">
        <v>1305</v>
      </c>
      <c r="Q268" s="269" t="s">
        <v>1548</v>
      </c>
      <c r="R268" s="268" t="s">
        <v>194</v>
      </c>
      <c r="S268" s="269"/>
    </row>
    <row r="269">
      <c r="A269" s="230">
        <v>269.0</v>
      </c>
      <c r="B269" s="230" t="s">
        <v>283</v>
      </c>
      <c r="C269" s="231"/>
      <c r="D269" s="232"/>
      <c r="E269" s="232">
        <f>IFERROR(__xludf.DUMMYFUNCTION("iferror(SPLIT(D269,""/""),split(""0/0"",""/""))"),0.0)</f>
        <v>0</v>
      </c>
      <c r="F269" s="232">
        <f>IFERROR(__xludf.DUMMYFUNCTION("""COMPUTED_VALUE"""),0.0)</f>
        <v>0</v>
      </c>
      <c r="G269" s="247" t="b">
        <v>0</v>
      </c>
      <c r="H269" s="242" t="str">
        <f t="shared" si="1"/>
        <v/>
      </c>
      <c r="I269" s="243" t="s">
        <v>1549</v>
      </c>
      <c r="J269" s="271" t="str">
        <f t="shared" si="2"/>
        <v>Craft a composter using wooden slabs then place it (Place a composter)</v>
      </c>
      <c r="K269" s="266"/>
      <c r="L269" s="267"/>
      <c r="M269" s="272" t="s">
        <v>1550</v>
      </c>
      <c r="N269" s="272" t="s">
        <v>1551</v>
      </c>
      <c r="O269" s="239" t="s">
        <v>1552</v>
      </c>
      <c r="P269" s="268" t="s">
        <v>1305</v>
      </c>
      <c r="Q269" s="269" t="s">
        <v>1553</v>
      </c>
      <c r="R269" s="268" t="s">
        <v>194</v>
      </c>
      <c r="S269" s="269" t="s">
        <v>290</v>
      </c>
    </row>
    <row r="270">
      <c r="A270" s="230">
        <v>270.0</v>
      </c>
      <c r="B270" s="230" t="s">
        <v>283</v>
      </c>
      <c r="C270" s="231"/>
      <c r="D270" s="232"/>
      <c r="E270" s="232">
        <f>IFERROR(__xludf.DUMMYFUNCTION("iferror(SPLIT(D270,""/""),split(""0/0"",""/""))"),0.0)</f>
        <v>0</v>
      </c>
      <c r="F270" s="232">
        <f>IFERROR(__xludf.DUMMYFUNCTION("""COMPUTED_VALUE"""),0.0)</f>
        <v>0</v>
      </c>
      <c r="G270" s="247" t="b">
        <v>0</v>
      </c>
      <c r="H270" s="242" t="str">
        <f t="shared" si="1"/>
        <v/>
      </c>
      <c r="I270" s="243" t="s">
        <v>1554</v>
      </c>
      <c r="J270" s="271" t="str">
        <f t="shared" si="2"/>
        <v>Fill up a composter</v>
      </c>
      <c r="K270" s="272" t="s">
        <v>1555</v>
      </c>
      <c r="L270" s="273"/>
      <c r="M270" s="266"/>
      <c r="N270" s="272" t="s">
        <v>1556</v>
      </c>
      <c r="O270" s="239" t="s">
        <v>1105</v>
      </c>
      <c r="P270" s="268" t="s">
        <v>1305</v>
      </c>
      <c r="Q270" s="269" t="s">
        <v>1557</v>
      </c>
      <c r="R270" s="268" t="s">
        <v>194</v>
      </c>
      <c r="S270" s="269" t="s">
        <v>290</v>
      </c>
    </row>
    <row r="271">
      <c r="A271" s="230">
        <v>271.0</v>
      </c>
      <c r="B271" s="230" t="s">
        <v>206</v>
      </c>
      <c r="C271" s="231"/>
      <c r="D271" s="232"/>
      <c r="E271" s="232">
        <f>IFERROR(__xludf.DUMMYFUNCTION("iferror(SPLIT(D271,""/""),split(""0/0"",""/""))"),0.0)</f>
        <v>0</v>
      </c>
      <c r="F271" s="232">
        <f>IFERROR(__xludf.DUMMYFUNCTION("""COMPUTED_VALUE"""),0.0)</f>
        <v>0</v>
      </c>
      <c r="G271" s="247" t="b">
        <v>0</v>
      </c>
      <c r="H271" s="242" t="str">
        <f t="shared" si="1"/>
        <v/>
      </c>
      <c r="I271" s="243" t="s">
        <v>1558</v>
      </c>
      <c r="J271" s="271" t="str">
        <f t="shared" si="2"/>
        <v>Use bone meal to grow a sapling into a tree (This advancement is awarded when the sapling actually turns into a tree)</v>
      </c>
      <c r="K271" s="272" t="s">
        <v>1555</v>
      </c>
      <c r="L271" s="273"/>
      <c r="M271" s="272" t="s">
        <v>1559</v>
      </c>
      <c r="N271" s="272" t="s">
        <v>1560</v>
      </c>
      <c r="O271" s="239" t="s">
        <v>1063</v>
      </c>
      <c r="P271" s="268" t="s">
        <v>1305</v>
      </c>
      <c r="Q271" s="269" t="s">
        <v>1561</v>
      </c>
      <c r="R271" s="268" t="s">
        <v>194</v>
      </c>
      <c r="S271" s="269"/>
    </row>
    <row r="272">
      <c r="A272" s="230">
        <v>272.0</v>
      </c>
      <c r="B272" s="230" t="s">
        <v>257</v>
      </c>
      <c r="C272" s="231"/>
      <c r="D272" s="232"/>
      <c r="E272" s="232">
        <f>IFERROR(__xludf.DUMMYFUNCTION("iferror(SPLIT(D272,""/""),split(""0/0"",""/""))"),0.0)</f>
        <v>0</v>
      </c>
      <c r="F272" s="232">
        <f>IFERROR(__xludf.DUMMYFUNCTION("""COMPUTED_VALUE"""),0.0)</f>
        <v>0</v>
      </c>
      <c r="G272" s="247" t="b">
        <v>0</v>
      </c>
      <c r="H272" s="242" t="str">
        <f t="shared" si="1"/>
        <v/>
      </c>
      <c r="I272" s="249" t="s">
        <v>1562</v>
      </c>
      <c r="J272" s="271" t="str">
        <f t="shared" si="2"/>
        <v>Use bone meal on everything that can be grown (See requirement notes below)</v>
      </c>
      <c r="K272" s="272" t="s">
        <v>1563</v>
      </c>
      <c r="L272" s="273"/>
      <c r="M272" s="270" t="s">
        <v>238</v>
      </c>
      <c r="N272" s="272" t="s">
        <v>1564</v>
      </c>
      <c r="O272" s="239" t="s">
        <v>1565</v>
      </c>
      <c r="P272" s="268" t="s">
        <v>1305</v>
      </c>
      <c r="Q272" s="269" t="s">
        <v>1566</v>
      </c>
      <c r="R272" s="268" t="s">
        <v>194</v>
      </c>
      <c r="S272" s="268" t="s">
        <v>1178</v>
      </c>
    </row>
    <row r="273">
      <c r="A273" s="230">
        <v>273.0</v>
      </c>
      <c r="B273" s="230" t="s">
        <v>257</v>
      </c>
      <c r="C273" s="231"/>
      <c r="D273" s="232"/>
      <c r="E273" s="232">
        <f>IFERROR(__xludf.DUMMYFUNCTION("iferror(SPLIT(D273,""/""),split(""0/0"",""/""))"),0.0)</f>
        <v>0</v>
      </c>
      <c r="F273" s="232">
        <f>IFERROR(__xludf.DUMMYFUNCTION("""COMPUTED_VALUE"""),0.0)</f>
        <v>0</v>
      </c>
      <c r="G273" s="247" t="b">
        <v>0</v>
      </c>
      <c r="H273" s="242" t="str">
        <f t="shared" si="1"/>
        <v/>
      </c>
      <c r="I273" s="249" t="s">
        <v>1567</v>
      </c>
      <c r="J273" s="277" t="str">
        <f t="shared" si="2"/>
        <v>Compost every type of compostable item in a Composter (See requirement notes below)</v>
      </c>
      <c r="K273" s="272" t="s">
        <v>1568</v>
      </c>
      <c r="L273" s="273"/>
      <c r="M273" s="270" t="s">
        <v>238</v>
      </c>
      <c r="N273" s="278" t="s">
        <v>1569</v>
      </c>
      <c r="O273" s="239" t="s">
        <v>1324</v>
      </c>
      <c r="P273" s="268" t="s">
        <v>1305</v>
      </c>
      <c r="Q273" s="269" t="s">
        <v>1570</v>
      </c>
      <c r="R273" s="268" t="s">
        <v>194</v>
      </c>
      <c r="S273" s="268" t="s">
        <v>1178</v>
      </c>
    </row>
    <row r="274">
      <c r="A274" s="230">
        <v>274.0</v>
      </c>
      <c r="B274" s="230" t="s">
        <v>283</v>
      </c>
      <c r="C274" s="231"/>
      <c r="D274" s="232"/>
      <c r="E274" s="232">
        <f>IFERROR(__xludf.DUMMYFUNCTION("iferror(SPLIT(D274,""/""),split(""0/0"",""/""))"),0.0)</f>
        <v>0</v>
      </c>
      <c r="F274" s="232">
        <f>IFERROR(__xludf.DUMMYFUNCTION("""COMPUTED_VALUE"""),0.0)</f>
        <v>0</v>
      </c>
      <c r="G274" s="247" t="b">
        <v>0</v>
      </c>
      <c r="H274" s="242" t="str">
        <f t="shared" si="1"/>
        <v/>
      </c>
      <c r="I274" s="246" t="s">
        <v>1571</v>
      </c>
      <c r="J274" s="271" t="str">
        <f t="shared" si="2"/>
        <v>Plant every single type of crop on farmland (Plant wheat seeds, beetroot seeds, melon seeds, pumpkin seeds, carrots, potatoes, torchflower seeds and pitcher pod)</v>
      </c>
      <c r="K274" s="266"/>
      <c r="L274" s="267"/>
      <c r="M274" s="272" t="s">
        <v>1572</v>
      </c>
      <c r="N274" s="272" t="s">
        <v>1573</v>
      </c>
      <c r="O274" s="239" t="s">
        <v>1574</v>
      </c>
      <c r="P274" s="268" t="s">
        <v>1305</v>
      </c>
      <c r="Q274" s="269" t="s">
        <v>1575</v>
      </c>
      <c r="R274" s="268" t="s">
        <v>194</v>
      </c>
      <c r="S274" s="268" t="s">
        <v>1178</v>
      </c>
    </row>
    <row r="275">
      <c r="A275" s="230">
        <v>275.0</v>
      </c>
      <c r="B275" s="230" t="s">
        <v>188</v>
      </c>
      <c r="C275" s="231"/>
      <c r="D275" s="232"/>
      <c r="E275" s="232">
        <f>IFERROR(__xludf.DUMMYFUNCTION("iferror(SPLIT(D275,""/""),split(""0/0"",""/""))"),0.0)</f>
        <v>0</v>
      </c>
      <c r="F275" s="232">
        <f>IFERROR(__xludf.DUMMYFUNCTION("""COMPUTED_VALUE"""),0.0)</f>
        <v>0</v>
      </c>
      <c r="G275" s="247" t="b">
        <v>0</v>
      </c>
      <c r="H275" s="242" t="str">
        <f t="shared" si="1"/>
        <v/>
      </c>
      <c r="I275" s="249" t="s">
        <v>1576</v>
      </c>
      <c r="J275" s="271" t="str">
        <f t="shared" si="2"/>
        <v>Completely use up a diamond hoe, and then reevaluate your life choices (Break a diamond hoe)</v>
      </c>
      <c r="K275" s="266"/>
      <c r="L275" s="267"/>
      <c r="M275" s="272" t="s">
        <v>1577</v>
      </c>
      <c r="N275" s="272" t="s">
        <v>1578</v>
      </c>
      <c r="O275" s="239" t="s">
        <v>1579</v>
      </c>
      <c r="P275" s="268" t="s">
        <v>1305</v>
      </c>
      <c r="Q275" s="269" t="s">
        <v>1580</v>
      </c>
      <c r="R275" s="268" t="s">
        <v>194</v>
      </c>
      <c r="S275" s="269"/>
    </row>
    <row r="276">
      <c r="A276" s="230">
        <v>276.0</v>
      </c>
      <c r="B276" s="230" t="s">
        <v>206</v>
      </c>
      <c r="C276" s="231"/>
      <c r="D276" s="232"/>
      <c r="E276" s="232">
        <f>IFERROR(__xludf.DUMMYFUNCTION("iferror(SPLIT(D276,""/""),split(""0/0"",""/""))"),0.0)</f>
        <v>0</v>
      </c>
      <c r="F276" s="232">
        <f>IFERROR(__xludf.DUMMYFUNCTION("""COMPUTED_VALUE"""),0.0)</f>
        <v>0</v>
      </c>
      <c r="G276" s="247" t="b">
        <v>0</v>
      </c>
      <c r="H276" s="242" t="str">
        <f t="shared" si="1"/>
        <v/>
      </c>
      <c r="I276" s="243" t="s">
        <v>1581</v>
      </c>
      <c r="J276" s="271" t="str">
        <f t="shared" si="2"/>
        <v>Fill both your hunger bar and saturation level (Both your hunger level and saturation level must be 20)</v>
      </c>
      <c r="K276" s="266"/>
      <c r="L276" s="267"/>
      <c r="M276" s="272" t="s">
        <v>1582</v>
      </c>
      <c r="N276" s="272" t="s">
        <v>1583</v>
      </c>
      <c r="O276" s="239" t="s">
        <v>1584</v>
      </c>
      <c r="P276" s="268" t="s">
        <v>1305</v>
      </c>
      <c r="Q276" s="269" t="s">
        <v>1585</v>
      </c>
      <c r="R276" s="268" t="s">
        <v>194</v>
      </c>
      <c r="S276" s="269"/>
    </row>
    <row r="277">
      <c r="A277" s="230">
        <v>277.0</v>
      </c>
      <c r="B277" s="230" t="s">
        <v>188</v>
      </c>
      <c r="C277" s="231"/>
      <c r="D277" s="232"/>
      <c r="E277" s="232">
        <f>IFERROR(__xludf.DUMMYFUNCTION("iferror(SPLIT(D277,""/""),split(""0/0"",""/""))"),0.0)</f>
        <v>0</v>
      </c>
      <c r="F277" s="232">
        <f>IFERROR(__xludf.DUMMYFUNCTION("""COMPUTED_VALUE"""),0.0)</f>
        <v>0</v>
      </c>
      <c r="G277" s="247" t="b">
        <v>0</v>
      </c>
      <c r="H277" s="242" t="str">
        <f t="shared" si="1"/>
        <v/>
      </c>
      <c r="I277" s="246" t="s">
        <v>1586</v>
      </c>
      <c r="J277" s="271" t="str">
        <f t="shared" si="2"/>
        <v>Eat every type of fruit, vegetables, and any sort of plant matter (See requirement notes below)</v>
      </c>
      <c r="K277" s="266"/>
      <c r="L277" s="267"/>
      <c r="M277" s="270" t="s">
        <v>238</v>
      </c>
      <c r="N277" s="272" t="s">
        <v>1587</v>
      </c>
      <c r="O277" s="239" t="s">
        <v>1588</v>
      </c>
      <c r="P277" s="268" t="s">
        <v>1305</v>
      </c>
      <c r="Q277" s="269" t="s">
        <v>1589</v>
      </c>
      <c r="R277" s="268" t="s">
        <v>194</v>
      </c>
      <c r="S277" s="269"/>
    </row>
    <row r="278">
      <c r="A278" s="230">
        <v>278.0</v>
      </c>
      <c r="B278" s="230" t="s">
        <v>188</v>
      </c>
      <c r="C278" s="231"/>
      <c r="D278" s="232"/>
      <c r="E278" s="232">
        <f>IFERROR(__xludf.DUMMYFUNCTION("iferror(SPLIT(D278,""/""),split(""0/0"",""/""))"),0.0)</f>
        <v>0</v>
      </c>
      <c r="F278" s="232">
        <f>IFERROR(__xludf.DUMMYFUNCTION("""COMPUTED_VALUE"""),0.0)</f>
        <v>0</v>
      </c>
      <c r="G278" s="247" t="b">
        <v>0</v>
      </c>
      <c r="H278" s="242" t="str">
        <f t="shared" si="1"/>
        <v/>
      </c>
      <c r="I278" s="246" t="s">
        <v>1590</v>
      </c>
      <c r="J278" s="271" t="str">
        <f t="shared" si="2"/>
        <v>Eat every type of meat, even if uncooked or rotten (See requirement notes below)</v>
      </c>
      <c r="K278" s="266"/>
      <c r="L278" s="267"/>
      <c r="M278" s="270" t="s">
        <v>238</v>
      </c>
      <c r="N278" s="272" t="s">
        <v>1591</v>
      </c>
      <c r="O278" s="239" t="s">
        <v>1592</v>
      </c>
      <c r="P278" s="268" t="s">
        <v>1305</v>
      </c>
      <c r="Q278" s="269" t="s">
        <v>1593</v>
      </c>
      <c r="R278" s="268" t="s">
        <v>194</v>
      </c>
      <c r="S278" s="269"/>
    </row>
    <row r="279">
      <c r="A279" s="230">
        <v>279.0</v>
      </c>
      <c r="B279" s="230" t="s">
        <v>257</v>
      </c>
      <c r="C279" s="231"/>
      <c r="D279" s="232"/>
      <c r="E279" s="232">
        <f>IFERROR(__xludf.DUMMYFUNCTION("iferror(SPLIT(D279,""/""),split(""0/0"",""/""))"),0.0)</f>
        <v>0</v>
      </c>
      <c r="F279" s="232">
        <f>IFERROR(__xludf.DUMMYFUNCTION("""COMPUTED_VALUE"""),0.0)</f>
        <v>0</v>
      </c>
      <c r="G279" s="247" t="b">
        <v>0</v>
      </c>
      <c r="H279" s="242" t="str">
        <f t="shared" si="1"/>
        <v/>
      </c>
      <c r="I279" s="249" t="s">
        <v>1594</v>
      </c>
      <c r="J279" s="271" t="str">
        <f t="shared" si="2"/>
        <v>Eat everything that is edible, even if it's not good for you (Eat every food required for "Vegetarian" and "Meat Lovers")</v>
      </c>
      <c r="K279" s="266"/>
      <c r="L279" s="267"/>
      <c r="M279" s="266" t="s">
        <v>1595</v>
      </c>
      <c r="N279" s="272" t="s">
        <v>1596</v>
      </c>
      <c r="O279" s="239" t="s">
        <v>1319</v>
      </c>
      <c r="P279" s="268" t="s">
        <v>1305</v>
      </c>
      <c r="Q279" s="269" t="s">
        <v>1597</v>
      </c>
      <c r="R279" s="268" t="s">
        <v>194</v>
      </c>
      <c r="S279" s="269" t="s">
        <v>290</v>
      </c>
    </row>
    <row r="280">
      <c r="A280" s="230">
        <v>280.0</v>
      </c>
      <c r="B280" s="230" t="s">
        <v>188</v>
      </c>
      <c r="C280" s="231"/>
      <c r="D280" s="232"/>
      <c r="E280" s="232">
        <f>IFERROR(__xludf.DUMMYFUNCTION("iferror(SPLIT(D280,""/""),split(""0/0"",""/""))"),0.0)</f>
        <v>0</v>
      </c>
      <c r="F280" s="232">
        <f>IFERROR(__xludf.DUMMYFUNCTION("""COMPUTED_VALUE"""),0.0)</f>
        <v>0</v>
      </c>
      <c r="G280" s="247" t="b">
        <v>0</v>
      </c>
      <c r="H280" s="242" t="str">
        <f t="shared" si="1"/>
        <v/>
      </c>
      <c r="I280" s="249" t="s">
        <v>1598</v>
      </c>
      <c r="J280" s="271" t="str">
        <f t="shared" si="2"/>
        <v>Obtain a full stack of all the foods (See requirement notes below)</v>
      </c>
      <c r="K280" s="266"/>
      <c r="L280" s="267"/>
      <c r="M280" s="270" t="s">
        <v>238</v>
      </c>
      <c r="N280" s="272" t="s">
        <v>1599</v>
      </c>
      <c r="O280" s="239" t="s">
        <v>1600</v>
      </c>
      <c r="P280" s="268" t="s">
        <v>1305</v>
      </c>
      <c r="Q280" s="269" t="s">
        <v>1601</v>
      </c>
      <c r="R280" s="268" t="s">
        <v>194</v>
      </c>
      <c r="S280" s="269"/>
    </row>
    <row r="281">
      <c r="A281" s="230">
        <v>281.0</v>
      </c>
      <c r="B281" s="230" t="s">
        <v>188</v>
      </c>
      <c r="C281" s="231"/>
      <c r="D281" s="232"/>
      <c r="E281" s="232">
        <f>IFERROR(__xludf.DUMMYFUNCTION("iferror(SPLIT(D281,""/""),split(""0/0"",""/""))"),0.0)</f>
        <v>0</v>
      </c>
      <c r="F281" s="232">
        <f>IFERROR(__xludf.DUMMYFUNCTION("""COMPUTED_VALUE"""),0.0)</f>
        <v>0</v>
      </c>
      <c r="G281" s="247" t="b">
        <v>0</v>
      </c>
      <c r="H281" s="242" t="str">
        <f t="shared" si="1"/>
        <v/>
      </c>
      <c r="I281" s="235" t="s">
        <v>1602</v>
      </c>
      <c r="J281" s="279" t="str">
        <f t="shared" si="2"/>
        <v>The world is full of friends and food (Eat any food item)</v>
      </c>
      <c r="K281" s="280"/>
      <c r="L281" s="281"/>
      <c r="M281" s="280" t="s">
        <v>1603</v>
      </c>
      <c r="N281" s="280" t="s">
        <v>1604</v>
      </c>
      <c r="O281" s="239" t="s">
        <v>1584</v>
      </c>
      <c r="P281" s="282" t="s">
        <v>1602</v>
      </c>
      <c r="Q281" s="283" t="s">
        <v>1605</v>
      </c>
      <c r="R281" s="282" t="s">
        <v>194</v>
      </c>
      <c r="S281" s="283"/>
    </row>
    <row r="282">
      <c r="A282" s="230">
        <v>282.0</v>
      </c>
      <c r="B282" s="230" t="s">
        <v>188</v>
      </c>
      <c r="C282" s="231"/>
      <c r="D282" s="232"/>
      <c r="E282" s="232">
        <f>IFERROR(__xludf.DUMMYFUNCTION("iferror(SPLIT(D282,""/""),split(""0/0"",""/""))"),0.0)</f>
        <v>0</v>
      </c>
      <c r="F282" s="232">
        <f>IFERROR(__xludf.DUMMYFUNCTION("""COMPUTED_VALUE"""),0.0)</f>
        <v>0</v>
      </c>
      <c r="G282" s="247" t="b">
        <v>0</v>
      </c>
      <c r="H282" s="242" t="str">
        <f t="shared" si="1"/>
        <v/>
      </c>
      <c r="I282" s="243" t="s">
        <v>1606</v>
      </c>
      <c r="J282" s="279" t="str">
        <f t="shared" si="2"/>
        <v>Gotta kill this pig pig pig pig! (Kill a pig)</v>
      </c>
      <c r="K282" s="280" t="s">
        <v>1607</v>
      </c>
      <c r="L282" s="281"/>
      <c r="M282" s="280" t="s">
        <v>1608</v>
      </c>
      <c r="N282" s="280" t="s">
        <v>1609</v>
      </c>
      <c r="O282" s="239" t="s">
        <v>1592</v>
      </c>
      <c r="P282" s="282" t="s">
        <v>1602</v>
      </c>
      <c r="Q282" s="283" t="s">
        <v>1610</v>
      </c>
      <c r="R282" s="282" t="s">
        <v>194</v>
      </c>
      <c r="S282" s="283"/>
    </row>
    <row r="283">
      <c r="A283" s="230">
        <v>283.0</v>
      </c>
      <c r="B283" s="230" t="s">
        <v>188</v>
      </c>
      <c r="C283" s="231"/>
      <c r="D283" s="232"/>
      <c r="E283" s="232">
        <f>IFERROR(__xludf.DUMMYFUNCTION("iferror(SPLIT(D283,""/""),split(""0/0"",""/""))"),0.0)</f>
        <v>0</v>
      </c>
      <c r="F283" s="232">
        <f>IFERROR(__xludf.DUMMYFUNCTION("""COMPUTED_VALUE"""),0.0)</f>
        <v>0</v>
      </c>
      <c r="G283" s="247" t="b">
        <v>0</v>
      </c>
      <c r="H283" s="242" t="str">
        <f t="shared" si="1"/>
        <v/>
      </c>
      <c r="I283" s="243" t="s">
        <v>1611</v>
      </c>
      <c r="J283" s="279" t="str">
        <f t="shared" si="2"/>
        <v>You know kung fu, how about pork chop? (Eat a cooked porkchop)</v>
      </c>
      <c r="K283" s="280" t="s">
        <v>1612</v>
      </c>
      <c r="L283" s="281"/>
      <c r="M283" s="280" t="s">
        <v>1613</v>
      </c>
      <c r="N283" s="280" t="s">
        <v>1614</v>
      </c>
      <c r="O283" s="239" t="s">
        <v>1615</v>
      </c>
      <c r="P283" s="282" t="s">
        <v>1602</v>
      </c>
      <c r="Q283" s="283" t="s">
        <v>1616</v>
      </c>
      <c r="R283" s="282" t="s">
        <v>194</v>
      </c>
      <c r="S283" s="283"/>
    </row>
    <row r="284">
      <c r="A284" s="230">
        <v>284.0</v>
      </c>
      <c r="B284" s="230" t="s">
        <v>188</v>
      </c>
      <c r="C284" s="231"/>
      <c r="D284" s="232"/>
      <c r="E284" s="232">
        <f>IFERROR(__xludf.DUMMYFUNCTION("iferror(SPLIT(D284,""/""),split(""0/0"",""/""))"),0.0)</f>
        <v>0</v>
      </c>
      <c r="F284" s="232">
        <f>IFERROR(__xludf.DUMMYFUNCTION("""COMPUTED_VALUE"""),0.0)</f>
        <v>0</v>
      </c>
      <c r="G284" s="233" t="b">
        <v>0</v>
      </c>
      <c r="H284" s="242" t="str">
        <f t="shared" si="1"/>
        <v/>
      </c>
      <c r="I284" s="243" t="s">
        <v>1617</v>
      </c>
      <c r="J284" s="279" t="str">
        <f t="shared" si="2"/>
        <v>Craft a carrot on a stick so you can ride a pig off a cliff. (Obtain a carrot on a stick)</v>
      </c>
      <c r="K284" s="280" t="s">
        <v>1618</v>
      </c>
      <c r="L284" s="281"/>
      <c r="M284" s="280" t="s">
        <v>1619</v>
      </c>
      <c r="N284" s="280" t="s">
        <v>1620</v>
      </c>
      <c r="O284" s="239" t="s">
        <v>1621</v>
      </c>
      <c r="P284" s="282" t="s">
        <v>1602</v>
      </c>
      <c r="Q284" s="283" t="s">
        <v>1622</v>
      </c>
      <c r="R284" s="282" t="s">
        <v>194</v>
      </c>
      <c r="S284" s="283"/>
    </row>
    <row r="285">
      <c r="A285" s="230">
        <v>285.0</v>
      </c>
      <c r="B285" s="230" t="s">
        <v>188</v>
      </c>
      <c r="C285" s="231"/>
      <c r="D285" s="232"/>
      <c r="E285" s="232">
        <f>IFERROR(__xludf.DUMMYFUNCTION("iferror(SPLIT(D285,""/""),split(""0/0"",""/""))"),0.0)</f>
        <v>0</v>
      </c>
      <c r="F285" s="232">
        <f>IFERROR(__xludf.DUMMYFUNCTION("""COMPUTED_VALUE"""),0.0)</f>
        <v>0</v>
      </c>
      <c r="G285" s="247" t="b">
        <v>0</v>
      </c>
      <c r="H285" s="242" t="str">
        <f t="shared" si="1"/>
        <v/>
      </c>
      <c r="I285" s="246" t="s">
        <v>1623</v>
      </c>
      <c r="J285" s="279" t="str">
        <f t="shared" si="2"/>
        <v>Collect a stack of raw porkchops</v>
      </c>
      <c r="K285" s="280" t="s">
        <v>1624</v>
      </c>
      <c r="L285" s="281"/>
      <c r="M285" s="280"/>
      <c r="N285" s="280" t="s">
        <v>1625</v>
      </c>
      <c r="O285" s="239" t="s">
        <v>1626</v>
      </c>
      <c r="P285" s="282" t="s">
        <v>1602</v>
      </c>
      <c r="Q285" s="283" t="s">
        <v>1627</v>
      </c>
      <c r="R285" s="282" t="s">
        <v>194</v>
      </c>
      <c r="S285" s="283"/>
    </row>
    <row r="286">
      <c r="A286" s="230">
        <v>286.0</v>
      </c>
      <c r="B286" s="230" t="s">
        <v>283</v>
      </c>
      <c r="C286" s="231"/>
      <c r="D286" s="232"/>
      <c r="E286" s="232">
        <f>IFERROR(__xludf.DUMMYFUNCTION("iferror(SPLIT(D286,""/""),split(""0/0"",""/""))"),0.0)</f>
        <v>0</v>
      </c>
      <c r="F286" s="232">
        <f>IFERROR(__xludf.DUMMYFUNCTION("""COMPUTED_VALUE"""),0.0)</f>
        <v>0</v>
      </c>
      <c r="G286" s="247" t="b">
        <v>0</v>
      </c>
      <c r="H286" s="242" t="str">
        <f t="shared" si="1"/>
        <v/>
      </c>
      <c r="I286" s="246" t="s">
        <v>1628</v>
      </c>
      <c r="J286" s="279" t="str">
        <f t="shared" si="2"/>
        <v>Ride a saddled pig in a boat in a minecart (Ride a saddled pig that is inside a boat that is inside a minecart)</v>
      </c>
      <c r="K286" s="280" t="s">
        <v>1629</v>
      </c>
      <c r="L286" s="281"/>
      <c r="M286" s="280" t="s">
        <v>1630</v>
      </c>
      <c r="N286" s="280" t="s">
        <v>1631</v>
      </c>
      <c r="O286" s="239" t="s">
        <v>1632</v>
      </c>
      <c r="P286" s="282" t="s">
        <v>1602</v>
      </c>
      <c r="Q286" s="283" t="s">
        <v>1633</v>
      </c>
      <c r="R286" s="282" t="s">
        <v>194</v>
      </c>
      <c r="S286" s="283" t="s">
        <v>1634</v>
      </c>
    </row>
    <row r="287">
      <c r="A287" s="230">
        <v>287.0</v>
      </c>
      <c r="B287" s="230" t="s">
        <v>188</v>
      </c>
      <c r="C287" s="231"/>
      <c r="D287" s="232"/>
      <c r="E287" s="232">
        <f>IFERROR(__xludf.DUMMYFUNCTION("iferror(SPLIT(D287,""/""),split(""0/0"",""/""))"),0.0)</f>
        <v>0</v>
      </c>
      <c r="F287" s="232">
        <f>IFERROR(__xludf.DUMMYFUNCTION("""COMPUTED_VALUE"""),0.0)</f>
        <v>0</v>
      </c>
      <c r="G287" s="247" t="b">
        <v>0</v>
      </c>
      <c r="H287" s="242" t="str">
        <f t="shared" si="1"/>
        <v/>
      </c>
      <c r="I287" s="243" t="s">
        <v>1635</v>
      </c>
      <c r="J287" s="279" t="str">
        <f t="shared" si="2"/>
        <v>Killing bunnies is cruel. Period (Eat cooked rabbit)</v>
      </c>
      <c r="K287" s="280" t="s">
        <v>1636</v>
      </c>
      <c r="L287" s="281"/>
      <c r="M287" s="280" t="s">
        <v>1637</v>
      </c>
      <c r="N287" s="280" t="s">
        <v>1638</v>
      </c>
      <c r="O287" s="239" t="s">
        <v>1639</v>
      </c>
      <c r="P287" s="282" t="s">
        <v>1602</v>
      </c>
      <c r="Q287" s="283" t="s">
        <v>1640</v>
      </c>
      <c r="R287" s="282" t="s">
        <v>194</v>
      </c>
      <c r="S287" s="283"/>
    </row>
    <row r="288">
      <c r="A288" s="230">
        <v>288.0</v>
      </c>
      <c r="B288" s="230" t="s">
        <v>188</v>
      </c>
      <c r="C288" s="231"/>
      <c r="D288" s="232"/>
      <c r="E288" s="232">
        <f>IFERROR(__xludf.DUMMYFUNCTION("iferror(SPLIT(D288,""/""),split(""0/0"",""/""))"),0.0)</f>
        <v>0</v>
      </c>
      <c r="F288" s="232">
        <f>IFERROR(__xludf.DUMMYFUNCTION("""COMPUTED_VALUE"""),0.0)</f>
        <v>0</v>
      </c>
      <c r="G288" s="247" t="b">
        <v>0</v>
      </c>
      <c r="H288" s="242" t="str">
        <f t="shared" si="1"/>
        <v/>
      </c>
      <c r="I288" s="243" t="s">
        <v>1641</v>
      </c>
      <c r="J288" s="279" t="str">
        <f t="shared" si="2"/>
        <v>Breed two bunnies together</v>
      </c>
      <c r="K288" s="280" t="s">
        <v>1642</v>
      </c>
      <c r="L288" s="281"/>
      <c r="M288" s="280"/>
      <c r="N288" s="280" t="s">
        <v>1643</v>
      </c>
      <c r="O288" s="239" t="s">
        <v>1588</v>
      </c>
      <c r="P288" s="282" t="s">
        <v>1602</v>
      </c>
      <c r="Q288" s="283" t="s">
        <v>1644</v>
      </c>
      <c r="R288" s="282" t="s">
        <v>194</v>
      </c>
      <c r="S288" s="283"/>
    </row>
    <row r="289">
      <c r="A289" s="230">
        <v>289.0</v>
      </c>
      <c r="B289" s="230" t="s">
        <v>188</v>
      </c>
      <c r="C289" s="231"/>
      <c r="D289" s="232"/>
      <c r="E289" s="232">
        <f>IFERROR(__xludf.DUMMYFUNCTION("iferror(SPLIT(D289,""/""),split(""0/0"",""/""))"),0.0)</f>
        <v>0</v>
      </c>
      <c r="F289" s="232">
        <f>IFERROR(__xludf.DUMMYFUNCTION("""COMPUTED_VALUE"""),0.0)</f>
        <v>0</v>
      </c>
      <c r="G289" s="247" t="b">
        <v>0</v>
      </c>
      <c r="H289" s="242" t="str">
        <f t="shared" si="1"/>
        <v/>
      </c>
      <c r="I289" s="251" t="s">
        <v>1645</v>
      </c>
      <c r="J289" s="279" t="str">
        <f t="shared" si="2"/>
        <v>Get a rabbit's foot</v>
      </c>
      <c r="K289" s="280"/>
      <c r="L289" s="281"/>
      <c r="M289" s="280"/>
      <c r="N289" s="280" t="s">
        <v>1646</v>
      </c>
      <c r="O289" s="239" t="s">
        <v>1647</v>
      </c>
      <c r="P289" s="282" t="s">
        <v>1602</v>
      </c>
      <c r="Q289" s="283" t="s">
        <v>1648</v>
      </c>
      <c r="R289" s="282" t="s">
        <v>194</v>
      </c>
      <c r="S289" s="283"/>
    </row>
    <row r="290">
      <c r="A290" s="230">
        <v>290.0</v>
      </c>
      <c r="B290" s="230" t="s">
        <v>188</v>
      </c>
      <c r="C290" s="231"/>
      <c r="D290" s="232"/>
      <c r="E290" s="232">
        <f>IFERROR(__xludf.DUMMYFUNCTION("iferror(SPLIT(D290,""/""),split(""0/0"",""/""))"),0.0)</f>
        <v>0</v>
      </c>
      <c r="F290" s="232">
        <f>IFERROR(__xludf.DUMMYFUNCTION("""COMPUTED_VALUE"""),0.0)</f>
        <v>0</v>
      </c>
      <c r="G290" s="247" t="b">
        <v>0</v>
      </c>
      <c r="H290" s="242" t="str">
        <f t="shared" si="1"/>
        <v/>
      </c>
      <c r="I290" s="243" t="s">
        <v>1649</v>
      </c>
      <c r="J290" s="279" t="str">
        <f t="shared" si="2"/>
        <v>Make and eat some rabbit stew (Eat rabbit stew)</v>
      </c>
      <c r="K290" s="280"/>
      <c r="L290" s="281"/>
      <c r="M290" s="280" t="s">
        <v>1650</v>
      </c>
      <c r="N290" s="280" t="s">
        <v>1651</v>
      </c>
      <c r="O290" s="239" t="s">
        <v>1600</v>
      </c>
      <c r="P290" s="282" t="s">
        <v>1602</v>
      </c>
      <c r="Q290" s="283" t="s">
        <v>1652</v>
      </c>
      <c r="R290" s="282" t="s">
        <v>194</v>
      </c>
      <c r="S290" s="283"/>
    </row>
    <row r="291">
      <c r="A291" s="230">
        <v>291.0</v>
      </c>
      <c r="B291" s="230" t="s">
        <v>188</v>
      </c>
      <c r="C291" s="231"/>
      <c r="D291" s="232"/>
      <c r="E291" s="232">
        <f>IFERROR(__xludf.DUMMYFUNCTION("iferror(SPLIT(D291,""/""),split(""0/0"",""/""))"),0.0)</f>
        <v>0</v>
      </c>
      <c r="F291" s="232">
        <f>IFERROR(__xludf.DUMMYFUNCTION("""COMPUTED_VALUE"""),0.0)</f>
        <v>0</v>
      </c>
      <c r="G291" s="233" t="b">
        <v>0</v>
      </c>
      <c r="H291" s="242" t="str">
        <f t="shared" si="1"/>
        <v/>
      </c>
      <c r="I291" s="246" t="s">
        <v>1653</v>
      </c>
      <c r="J291" s="279" t="str">
        <f t="shared" si="2"/>
        <v>Collect a stack of raw rabbit and rabbit hide</v>
      </c>
      <c r="K291" s="280" t="s">
        <v>1654</v>
      </c>
      <c r="L291" s="281"/>
      <c r="M291" s="280"/>
      <c r="N291" s="280" t="s">
        <v>1655</v>
      </c>
      <c r="O291" s="239" t="s">
        <v>1656</v>
      </c>
      <c r="P291" s="282" t="s">
        <v>1602</v>
      </c>
      <c r="Q291" s="283" t="s">
        <v>1657</v>
      </c>
      <c r="R291" s="282" t="s">
        <v>194</v>
      </c>
      <c r="S291" s="283"/>
    </row>
    <row r="292">
      <c r="A292" s="230">
        <v>292.0</v>
      </c>
      <c r="B292" s="230" t="s">
        <v>257</v>
      </c>
      <c r="C292" s="231"/>
      <c r="D292" s="232"/>
      <c r="E292" s="232">
        <f>IFERROR(__xludf.DUMMYFUNCTION("iferror(SPLIT(D292,""/""),split(""0/0"",""/""))"),0.0)</f>
        <v>0</v>
      </c>
      <c r="F292" s="232">
        <f>IFERROR(__xludf.DUMMYFUNCTION("""COMPUTED_VALUE"""),0.0)</f>
        <v>0</v>
      </c>
      <c r="G292" s="247" t="b">
        <v>0</v>
      </c>
      <c r="H292" s="242" t="str">
        <f t="shared" si="1"/>
        <v/>
      </c>
      <c r="I292" s="246" t="s">
        <v>1658</v>
      </c>
      <c r="J292" s="279" t="str">
        <f t="shared" si="2"/>
        <v>Breed a baby bunny of every variant (See requirement notes below)</v>
      </c>
      <c r="K292" s="280"/>
      <c r="L292" s="281"/>
      <c r="M292" s="284" t="s">
        <v>238</v>
      </c>
      <c r="N292" s="280" t="s">
        <v>1659</v>
      </c>
      <c r="O292" s="239" t="s">
        <v>1547</v>
      </c>
      <c r="P292" s="282" t="s">
        <v>1602</v>
      </c>
      <c r="Q292" s="283" t="s">
        <v>1660</v>
      </c>
      <c r="R292" s="282" t="s">
        <v>194</v>
      </c>
      <c r="S292" s="282" t="s">
        <v>1661</v>
      </c>
    </row>
    <row r="293">
      <c r="A293" s="230">
        <v>293.0</v>
      </c>
      <c r="B293" s="230" t="s">
        <v>257</v>
      </c>
      <c r="C293" s="231"/>
      <c r="D293" s="232"/>
      <c r="E293" s="232">
        <f>IFERROR(__xludf.DUMMYFUNCTION("iferror(SPLIT(D293,""/""),split(""0/0"",""/""))"),0.0)</f>
        <v>0</v>
      </c>
      <c r="F293" s="232">
        <f>IFERROR(__xludf.DUMMYFUNCTION("""COMPUTED_VALUE"""),0.0)</f>
        <v>0</v>
      </c>
      <c r="G293" s="247" t="b">
        <v>0</v>
      </c>
      <c r="H293" s="242" t="str">
        <f t="shared" si="1"/>
        <v/>
      </c>
      <c r="I293" s="246" t="s">
        <v>1662</v>
      </c>
      <c r="J293" s="279" t="str">
        <f t="shared" si="2"/>
        <v>Bring a rabbit to the bottom of the world, then kill it (Kill a rabbit that is below y-level -59.5)</v>
      </c>
      <c r="K293" s="280" t="s">
        <v>1663</v>
      </c>
      <c r="L293" s="281"/>
      <c r="M293" s="280" t="s">
        <v>1664</v>
      </c>
      <c r="N293" s="280" t="s">
        <v>1665</v>
      </c>
      <c r="O293" s="239" t="s">
        <v>1666</v>
      </c>
      <c r="P293" s="282" t="s">
        <v>1602</v>
      </c>
      <c r="Q293" s="283" t="s">
        <v>1667</v>
      </c>
      <c r="R293" s="282" t="s">
        <v>194</v>
      </c>
      <c r="S293" s="283" t="s">
        <v>347</v>
      </c>
    </row>
    <row r="294">
      <c r="A294" s="230">
        <v>294.0</v>
      </c>
      <c r="B294" s="230" t="s">
        <v>257</v>
      </c>
      <c r="C294" s="231"/>
      <c r="D294" s="232"/>
      <c r="E294" s="232">
        <f>IFERROR(__xludf.DUMMYFUNCTION("iferror(SPLIT(D294,""/""),split(""0/0"",""/""))"),0.0)</f>
        <v>0</v>
      </c>
      <c r="F294" s="232">
        <f>IFERROR(__xludf.DUMMYFUNCTION("""COMPUTED_VALUE"""),0.0)</f>
        <v>0</v>
      </c>
      <c r="G294" s="247" t="b">
        <v>0</v>
      </c>
      <c r="H294" s="242" t="str">
        <f t="shared" si="1"/>
        <v/>
      </c>
      <c r="I294" s="249" t="s">
        <v>1668</v>
      </c>
      <c r="J294" s="279" t="str">
        <f t="shared" si="2"/>
        <v>Eat Rabbit Stew, then avoid eating for the next 3 in-game days (Eat Rabbit Stew once; in the following 3 days, eat nothing else)</v>
      </c>
      <c r="K294" s="280" t="s">
        <v>1669</v>
      </c>
      <c r="L294" s="281"/>
      <c r="M294" s="280" t="s">
        <v>1670</v>
      </c>
      <c r="N294" s="280" t="s">
        <v>1671</v>
      </c>
      <c r="O294" s="239" t="s">
        <v>1672</v>
      </c>
      <c r="P294" s="282" t="s">
        <v>1602</v>
      </c>
      <c r="Q294" s="283" t="s">
        <v>1673</v>
      </c>
      <c r="R294" s="282" t="s">
        <v>194</v>
      </c>
      <c r="S294" s="283" t="s">
        <v>1634</v>
      </c>
    </row>
    <row r="295">
      <c r="A295" s="230">
        <v>295.0</v>
      </c>
      <c r="B295" s="230" t="s">
        <v>188</v>
      </c>
      <c r="C295" s="231"/>
      <c r="D295" s="232"/>
      <c r="E295" s="232">
        <f>IFERROR(__xludf.DUMMYFUNCTION("iferror(SPLIT(D295,""/""),split(""0/0"",""/""))"),0.0)</f>
        <v>0</v>
      </c>
      <c r="F295" s="232">
        <f>IFERROR(__xludf.DUMMYFUNCTION("""COMPUTED_VALUE"""),0.0)</f>
        <v>0</v>
      </c>
      <c r="G295" s="247" t="b">
        <v>0</v>
      </c>
      <c r="H295" s="242" t="str">
        <f t="shared" si="1"/>
        <v/>
      </c>
      <c r="I295" s="243" t="s">
        <v>1674</v>
      </c>
      <c r="J295" s="279" t="str">
        <f t="shared" si="2"/>
        <v>Harvest some leather (Obtain leather)</v>
      </c>
      <c r="K295" s="280" t="s">
        <v>1675</v>
      </c>
      <c r="L295" s="281"/>
      <c r="M295" s="280" t="s">
        <v>1676</v>
      </c>
      <c r="N295" s="280" t="s">
        <v>1677</v>
      </c>
      <c r="O295" s="239" t="s">
        <v>1678</v>
      </c>
      <c r="P295" s="282" t="s">
        <v>1602</v>
      </c>
      <c r="Q295" s="283" t="s">
        <v>1679</v>
      </c>
      <c r="R295" s="282" t="s">
        <v>194</v>
      </c>
      <c r="S295" s="283"/>
    </row>
    <row r="296">
      <c r="A296" s="230">
        <v>296.0</v>
      </c>
      <c r="B296" s="230" t="s">
        <v>188</v>
      </c>
      <c r="C296" s="231"/>
      <c r="D296" s="232"/>
      <c r="E296" s="232">
        <f>IFERROR(__xludf.DUMMYFUNCTION("iferror(SPLIT(D296,""/""),split(""0/0"",""/""))"),0.0)</f>
        <v>0</v>
      </c>
      <c r="F296" s="232">
        <f>IFERROR(__xludf.DUMMYFUNCTION("""COMPUTED_VALUE"""),0.0)</f>
        <v>0</v>
      </c>
      <c r="G296" s="247" t="b">
        <v>0</v>
      </c>
      <c r="H296" s="242" t="str">
        <f t="shared" si="1"/>
        <v/>
      </c>
      <c r="I296" s="243" t="s">
        <v>1680</v>
      </c>
      <c r="J296" s="279" t="str">
        <f t="shared" si="2"/>
        <v>The steaks are high for this advancement! (Eat steak)</v>
      </c>
      <c r="K296" s="280" t="s">
        <v>1681</v>
      </c>
      <c r="L296" s="281"/>
      <c r="M296" s="280" t="s">
        <v>1682</v>
      </c>
      <c r="N296" s="280" t="s">
        <v>1683</v>
      </c>
      <c r="O296" s="239" t="s">
        <v>1684</v>
      </c>
      <c r="P296" s="282" t="s">
        <v>1602</v>
      </c>
      <c r="Q296" s="283" t="s">
        <v>1685</v>
      </c>
      <c r="R296" s="282" t="s">
        <v>194</v>
      </c>
      <c r="S296" s="283"/>
    </row>
    <row r="297">
      <c r="A297" s="230">
        <v>297.0</v>
      </c>
      <c r="B297" s="230" t="s">
        <v>188</v>
      </c>
      <c r="C297" s="231"/>
      <c r="D297" s="232"/>
      <c r="E297" s="232">
        <f>IFERROR(__xludf.DUMMYFUNCTION("iferror(SPLIT(D297,""/""),split(""0/0"",""/""))"),0.0)</f>
        <v>0</v>
      </c>
      <c r="F297" s="232">
        <f>IFERROR(__xludf.DUMMYFUNCTION("""COMPUTED_VALUE"""),0.0)</f>
        <v>0</v>
      </c>
      <c r="G297" s="247" t="b">
        <v>0</v>
      </c>
      <c r="H297" s="242" t="str">
        <f t="shared" si="1"/>
        <v/>
      </c>
      <c r="I297" s="243" t="s">
        <v>1686</v>
      </c>
      <c r="J297" s="279" t="str">
        <f t="shared" si="2"/>
        <v>Breed two cows with wheat</v>
      </c>
      <c r="K297" s="280" t="s">
        <v>1687</v>
      </c>
      <c r="L297" s="281"/>
      <c r="M297" s="280"/>
      <c r="N297" s="280" t="s">
        <v>1688</v>
      </c>
      <c r="O297" s="239" t="s">
        <v>1689</v>
      </c>
      <c r="P297" s="282" t="s">
        <v>1602</v>
      </c>
      <c r="Q297" s="283" t="s">
        <v>1690</v>
      </c>
      <c r="R297" s="282" t="s">
        <v>194</v>
      </c>
      <c r="S297" s="283"/>
    </row>
    <row r="298">
      <c r="A298" s="230">
        <v>298.0</v>
      </c>
      <c r="B298" s="230" t="s">
        <v>206</v>
      </c>
      <c r="C298" s="231"/>
      <c r="D298" s="232"/>
      <c r="E298" s="232">
        <f>IFERROR(__xludf.DUMMYFUNCTION("iferror(SPLIT(D298,""/""),split(""0/0"",""/""))"),0.0)</f>
        <v>0</v>
      </c>
      <c r="F298" s="232">
        <f>IFERROR(__xludf.DUMMYFUNCTION("""COMPUTED_VALUE"""),0.0)</f>
        <v>0</v>
      </c>
      <c r="G298" s="247" t="b">
        <v>0</v>
      </c>
      <c r="H298" s="242" t="str">
        <f t="shared" si="1"/>
        <v/>
      </c>
      <c r="I298" s="243" t="s">
        <v>1691</v>
      </c>
      <c r="J298" s="279" t="str">
        <f t="shared" si="2"/>
        <v>Take a swig swig swig swig (Drink a milk bucket)</v>
      </c>
      <c r="K298" s="280" t="s">
        <v>1692</v>
      </c>
      <c r="L298" s="281"/>
      <c r="M298" s="280" t="s">
        <v>1693</v>
      </c>
      <c r="N298" s="280" t="s">
        <v>1694</v>
      </c>
      <c r="O298" s="239" t="s">
        <v>1695</v>
      </c>
      <c r="P298" s="282" t="s">
        <v>1602</v>
      </c>
      <c r="Q298" s="283" t="s">
        <v>1696</v>
      </c>
      <c r="R298" s="282" t="s">
        <v>194</v>
      </c>
      <c r="S298" s="283"/>
    </row>
    <row r="299">
      <c r="A299" s="230">
        <v>299.0</v>
      </c>
      <c r="B299" s="230" t="s">
        <v>188</v>
      </c>
      <c r="C299" s="231"/>
      <c r="D299" s="232"/>
      <c r="E299" s="232">
        <f>IFERROR(__xludf.DUMMYFUNCTION("iferror(SPLIT(D299,""/""),split(""0/0"",""/""))"),0.0)</f>
        <v>0</v>
      </c>
      <c r="F299" s="232">
        <f>IFERROR(__xludf.DUMMYFUNCTION("""COMPUTED_VALUE"""),0.0)</f>
        <v>0</v>
      </c>
      <c r="G299" s="233" t="b">
        <v>0</v>
      </c>
      <c r="H299" s="242" t="str">
        <f t="shared" si="1"/>
        <v/>
      </c>
      <c r="I299" s="246" t="s">
        <v>1697</v>
      </c>
      <c r="J299" s="279" t="str">
        <f t="shared" si="2"/>
        <v>Collect a stack of raw beef and leather</v>
      </c>
      <c r="K299" s="280" t="s">
        <v>1698</v>
      </c>
      <c r="L299" s="281"/>
      <c r="M299" s="280"/>
      <c r="N299" s="280" t="s">
        <v>1699</v>
      </c>
      <c r="O299" s="239" t="s">
        <v>1700</v>
      </c>
      <c r="P299" s="282" t="s">
        <v>1602</v>
      </c>
      <c r="Q299" s="283" t="s">
        <v>1701</v>
      </c>
      <c r="R299" s="282" t="s">
        <v>194</v>
      </c>
      <c r="S299" s="283"/>
    </row>
    <row r="300">
      <c r="A300" s="230">
        <v>300.0</v>
      </c>
      <c r="B300" s="230" t="s">
        <v>188</v>
      </c>
      <c r="C300" s="231"/>
      <c r="D300" s="232"/>
      <c r="E300" s="232">
        <f>IFERROR(__xludf.DUMMYFUNCTION("iferror(SPLIT(D300,""/""),split(""0/0"",""/""))"),0.0)</f>
        <v>0</v>
      </c>
      <c r="F300" s="232">
        <f>IFERROR(__xludf.DUMMYFUNCTION("""COMPUTED_VALUE"""),0.0)</f>
        <v>0</v>
      </c>
      <c r="G300" s="247" t="b">
        <v>0</v>
      </c>
      <c r="H300" s="242" t="str">
        <f t="shared" si="1"/>
        <v/>
      </c>
      <c r="I300" s="243" t="s">
        <v>1702</v>
      </c>
      <c r="J300" s="279" t="str">
        <f t="shared" si="2"/>
        <v>Find mooshrooms on a mushroom island (Enter a mushroom fields or mushroom fields shore biome)</v>
      </c>
      <c r="K300" s="280"/>
      <c r="L300" s="281"/>
      <c r="M300" s="280" t="s">
        <v>1703</v>
      </c>
      <c r="N300" s="280" t="s">
        <v>1704</v>
      </c>
      <c r="O300" s="239" t="s">
        <v>1705</v>
      </c>
      <c r="P300" s="282" t="s">
        <v>1602</v>
      </c>
      <c r="Q300" s="283" t="s">
        <v>1706</v>
      </c>
      <c r="R300" s="282" t="s">
        <v>194</v>
      </c>
      <c r="S300" s="283"/>
    </row>
    <row r="301">
      <c r="A301" s="230">
        <v>301.0</v>
      </c>
      <c r="B301" s="230" t="s">
        <v>188</v>
      </c>
      <c r="C301" s="231"/>
      <c r="D301" s="232"/>
      <c r="E301" s="232">
        <f>IFERROR(__xludf.DUMMYFUNCTION("iferror(SPLIT(D301,""/""),split(""0/0"",""/""))"),0.0)</f>
        <v>0</v>
      </c>
      <c r="F301" s="232">
        <f>IFERROR(__xludf.DUMMYFUNCTION("""COMPUTED_VALUE"""),0.0)</f>
        <v>0</v>
      </c>
      <c r="G301" s="247" t="b">
        <v>0</v>
      </c>
      <c r="H301" s="242" t="str">
        <f t="shared" si="1"/>
        <v/>
      </c>
      <c r="I301" s="243" t="s">
        <v>1707</v>
      </c>
      <c r="J301" s="279" t="str">
        <f t="shared" si="2"/>
        <v>Breed two stubborn mooshrooms together</v>
      </c>
      <c r="K301" s="280" t="s">
        <v>1708</v>
      </c>
      <c r="L301" s="281"/>
      <c r="M301" s="280"/>
      <c r="N301" s="280" t="s">
        <v>1709</v>
      </c>
      <c r="O301" s="239" t="s">
        <v>1368</v>
      </c>
      <c r="P301" s="282" t="s">
        <v>1602</v>
      </c>
      <c r="Q301" s="283" t="s">
        <v>1710</v>
      </c>
      <c r="R301" s="282" t="s">
        <v>194</v>
      </c>
      <c r="S301" s="283"/>
    </row>
    <row r="302">
      <c r="A302" s="230">
        <v>302.0</v>
      </c>
      <c r="B302" s="230" t="s">
        <v>257</v>
      </c>
      <c r="C302" s="231"/>
      <c r="D302" s="232"/>
      <c r="E302" s="232">
        <f>IFERROR(__xludf.DUMMYFUNCTION("iferror(SPLIT(D302,""/""),split(""0/0"",""/""))"),0.0)</f>
        <v>0</v>
      </c>
      <c r="F302" s="232">
        <f>IFERROR(__xludf.DUMMYFUNCTION("""COMPUTED_VALUE"""),0.0)</f>
        <v>0</v>
      </c>
      <c r="G302" s="233" t="b">
        <v>0</v>
      </c>
      <c r="H302" s="242" t="str">
        <f t="shared" si="1"/>
        <v/>
      </c>
      <c r="I302" s="243" t="s">
        <v>1711</v>
      </c>
      <c r="J302" s="279" t="str">
        <f t="shared" si="2"/>
        <v>Milk a mooshroom with a bowl to get mushroom stew</v>
      </c>
      <c r="K302" s="280"/>
      <c r="L302" s="281"/>
      <c r="M302" s="280"/>
      <c r="N302" s="280" t="s">
        <v>1712</v>
      </c>
      <c r="O302" s="239" t="s">
        <v>1373</v>
      </c>
      <c r="P302" s="282" t="s">
        <v>1602</v>
      </c>
      <c r="Q302" s="283" t="s">
        <v>1713</v>
      </c>
      <c r="R302" s="282" t="s">
        <v>194</v>
      </c>
      <c r="S302" s="282" t="s">
        <v>267</v>
      </c>
    </row>
    <row r="303">
      <c r="A303" s="230">
        <v>303.0</v>
      </c>
      <c r="B303" s="230" t="s">
        <v>188</v>
      </c>
      <c r="C303" s="231"/>
      <c r="D303" s="232"/>
      <c r="E303" s="232">
        <f>IFERROR(__xludf.DUMMYFUNCTION("iferror(SPLIT(D303,""/""),split(""0/0"",""/""))"),0.0)</f>
        <v>0</v>
      </c>
      <c r="F303" s="232">
        <f>IFERROR(__xludf.DUMMYFUNCTION("""COMPUTED_VALUE"""),0.0)</f>
        <v>0</v>
      </c>
      <c r="G303" s="247" t="b">
        <v>0</v>
      </c>
      <c r="H303" s="242" t="str">
        <f t="shared" si="1"/>
        <v/>
      </c>
      <c r="I303" s="249" t="s">
        <v>1714</v>
      </c>
      <c r="J303" s="279" t="str">
        <f t="shared" si="2"/>
        <v>Strike a mooshroom with lightning and see what happens</v>
      </c>
      <c r="K303" s="280" t="s">
        <v>1102</v>
      </c>
      <c r="L303" s="281"/>
      <c r="M303" s="280"/>
      <c r="N303" s="280" t="s">
        <v>1715</v>
      </c>
      <c r="O303" s="239" t="s">
        <v>1716</v>
      </c>
      <c r="P303" s="282" t="s">
        <v>1602</v>
      </c>
      <c r="Q303" s="283" t="s">
        <v>1717</v>
      </c>
      <c r="R303" s="282" t="s">
        <v>194</v>
      </c>
      <c r="S303" s="283"/>
    </row>
    <row r="304">
      <c r="A304" s="230">
        <v>304.0</v>
      </c>
      <c r="B304" s="230" t="s">
        <v>257</v>
      </c>
      <c r="C304" s="231"/>
      <c r="D304" s="232"/>
      <c r="E304" s="232">
        <f>IFERROR(__xludf.DUMMYFUNCTION("iferror(SPLIT(D304,""/""),split(""0/0"",""/""))"),0.0)</f>
        <v>0</v>
      </c>
      <c r="F304" s="232">
        <f>IFERROR(__xludf.DUMMYFUNCTION("""COMPUTED_VALUE"""),0.0)</f>
        <v>0</v>
      </c>
      <c r="G304" s="247" t="b">
        <v>0</v>
      </c>
      <c r="H304" s="242" t="str">
        <f t="shared" si="1"/>
        <v/>
      </c>
      <c r="I304" s="249" t="s">
        <v>1718</v>
      </c>
      <c r="J304" s="279" t="str">
        <f t="shared" si="2"/>
        <v>Breed every type of animal (See requirement notes below)</v>
      </c>
      <c r="K304" s="280"/>
      <c r="L304" s="281"/>
      <c r="M304" s="284" t="s">
        <v>238</v>
      </c>
      <c r="N304" s="280" t="s">
        <v>1719</v>
      </c>
      <c r="O304" s="239" t="s">
        <v>1308</v>
      </c>
      <c r="P304" s="282" t="s">
        <v>1602</v>
      </c>
      <c r="Q304" s="283" t="s">
        <v>1720</v>
      </c>
      <c r="R304" s="282" t="s">
        <v>194</v>
      </c>
      <c r="S304" s="283" t="s">
        <v>267</v>
      </c>
    </row>
    <row r="305">
      <c r="A305" s="230">
        <v>305.0</v>
      </c>
      <c r="B305" s="230" t="s">
        <v>257</v>
      </c>
      <c r="C305" s="231"/>
      <c r="D305" s="232"/>
      <c r="E305" s="232">
        <f>IFERROR(__xludf.DUMMYFUNCTION("iferror(SPLIT(D305,""/""),split(""0/0"",""/""))"),0.0)</f>
        <v>0</v>
      </c>
      <c r="F305" s="232">
        <f>IFERROR(__xludf.DUMMYFUNCTION("""COMPUTED_VALUE"""),0.0)</f>
        <v>0</v>
      </c>
      <c r="G305" s="233" t="b">
        <v>0</v>
      </c>
      <c r="H305" s="242" t="str">
        <f t="shared" si="1"/>
        <v/>
      </c>
      <c r="I305" s="249" t="s">
        <v>1721</v>
      </c>
      <c r="J305" s="279" t="str">
        <f t="shared" si="2"/>
        <v>Bring one of every type of animal to one place (have them all within 32 blocks of you) (See requirement notes below)</v>
      </c>
      <c r="K305" s="280"/>
      <c r="L305" s="281"/>
      <c r="M305" s="284" t="s">
        <v>238</v>
      </c>
      <c r="N305" s="280" t="s">
        <v>1722</v>
      </c>
      <c r="O305" s="239" t="s">
        <v>1723</v>
      </c>
      <c r="P305" s="282" t="s">
        <v>1602</v>
      </c>
      <c r="Q305" s="283" t="s">
        <v>1724</v>
      </c>
      <c r="R305" s="282" t="s">
        <v>194</v>
      </c>
      <c r="S305" s="283" t="s">
        <v>267</v>
      </c>
    </row>
    <row r="306">
      <c r="A306" s="230">
        <v>306.0</v>
      </c>
      <c r="B306" s="230" t="s">
        <v>188</v>
      </c>
      <c r="C306" s="231"/>
      <c r="D306" s="232"/>
      <c r="E306" s="232">
        <f>IFERROR(__xludf.DUMMYFUNCTION("iferror(SPLIT(D306,""/""),split(""0/0"",""/""))"),0.0)</f>
        <v>0</v>
      </c>
      <c r="F306" s="232">
        <f>IFERROR(__xludf.DUMMYFUNCTION("""COMPUTED_VALUE"""),0.0)</f>
        <v>0</v>
      </c>
      <c r="G306" s="247" t="b">
        <v>0</v>
      </c>
      <c r="H306" s="242" t="str">
        <f t="shared" si="1"/>
        <v/>
      </c>
      <c r="I306" s="243" t="s">
        <v>1725</v>
      </c>
      <c r="J306" s="279" t="str">
        <f t="shared" si="2"/>
        <v>Craft and wear a leather jacket (Obtain a leather tunic)</v>
      </c>
      <c r="K306" s="280" t="s">
        <v>1726</v>
      </c>
      <c r="L306" s="281"/>
      <c r="M306" s="280" t="s">
        <v>1727</v>
      </c>
      <c r="N306" s="280" t="s">
        <v>1728</v>
      </c>
      <c r="O306" s="239" t="s">
        <v>1729</v>
      </c>
      <c r="P306" s="282" t="s">
        <v>1602</v>
      </c>
      <c r="Q306" s="283" t="s">
        <v>1730</v>
      </c>
      <c r="R306" s="282" t="s">
        <v>194</v>
      </c>
      <c r="S306" s="283"/>
    </row>
    <row r="307">
      <c r="A307" s="230">
        <v>307.0</v>
      </c>
      <c r="B307" s="230" t="s">
        <v>283</v>
      </c>
      <c r="C307" s="231"/>
      <c r="D307" s="232"/>
      <c r="E307" s="232">
        <f>IFERROR(__xludf.DUMMYFUNCTION("iferror(SPLIT(D307,""/""),split(""0/0"",""/""))"),0.0)</f>
        <v>0</v>
      </c>
      <c r="F307" s="232">
        <f>IFERROR(__xludf.DUMMYFUNCTION("""COMPUTED_VALUE"""),0.0)</f>
        <v>0</v>
      </c>
      <c r="G307" s="247" t="b">
        <v>0</v>
      </c>
      <c r="H307" s="242" t="str">
        <f t="shared" si="1"/>
        <v/>
      </c>
      <c r="I307" s="243" t="s">
        <v>1731</v>
      </c>
      <c r="J307" s="279" t="str">
        <f t="shared" si="2"/>
        <v>Dye some leather pants with one color and put them on (Dye leather pants using one dye)</v>
      </c>
      <c r="K307" s="280" t="s">
        <v>1726</v>
      </c>
      <c r="L307" s="281"/>
      <c r="M307" s="280" t="s">
        <v>1732</v>
      </c>
      <c r="N307" s="280" t="s">
        <v>1733</v>
      </c>
      <c r="O307" s="239" t="s">
        <v>1734</v>
      </c>
      <c r="P307" s="282" t="s">
        <v>1602</v>
      </c>
      <c r="Q307" s="283" t="s">
        <v>1735</v>
      </c>
      <c r="R307" s="282" t="s">
        <v>194</v>
      </c>
      <c r="S307" s="283" t="s">
        <v>290</v>
      </c>
    </row>
    <row r="308">
      <c r="A308" s="230">
        <v>308.0</v>
      </c>
      <c r="B308" s="230" t="s">
        <v>283</v>
      </c>
      <c r="C308" s="231"/>
      <c r="D308" s="232"/>
      <c r="E308" s="232">
        <f>IFERROR(__xludf.DUMMYFUNCTION("iferror(SPLIT(D308,""/""),split(""0/0"",""/""))"),0.0)</f>
        <v>0</v>
      </c>
      <c r="F308" s="232">
        <f>IFERROR(__xludf.DUMMYFUNCTION("""COMPUTED_VALUE"""),0.0)</f>
        <v>0</v>
      </c>
      <c r="G308" s="247" t="b">
        <v>0</v>
      </c>
      <c r="H308" s="242" t="str">
        <f t="shared" si="1"/>
        <v/>
      </c>
      <c r="I308" s="246" t="s">
        <v>1736</v>
      </c>
      <c r="J308" s="279" t="str">
        <f t="shared" si="2"/>
        <v>Dye 16 pairs of leather boots each with one of the individual colors (Dye 16 pairs of leather boots each with one of the different dyes)</v>
      </c>
      <c r="K308" s="280" t="s">
        <v>1737</v>
      </c>
      <c r="L308" s="281"/>
      <c r="M308" s="280" t="s">
        <v>1738</v>
      </c>
      <c r="N308" s="280" t="s">
        <v>1739</v>
      </c>
      <c r="O308" s="239" t="s">
        <v>1740</v>
      </c>
      <c r="P308" s="282" t="s">
        <v>1602</v>
      </c>
      <c r="Q308" s="283" t="s">
        <v>1741</v>
      </c>
      <c r="R308" s="282" t="s">
        <v>194</v>
      </c>
      <c r="S308" s="283" t="s">
        <v>290</v>
      </c>
    </row>
    <row r="309">
      <c r="A309" s="230">
        <v>309.0</v>
      </c>
      <c r="B309" s="230" t="s">
        <v>188</v>
      </c>
      <c r="C309" s="231"/>
      <c r="D309" s="232"/>
      <c r="E309" s="232">
        <f>IFERROR(__xludf.DUMMYFUNCTION("iferror(SPLIT(D309,""/""),split(""0/0"",""/""))"),0.0)</f>
        <v>0</v>
      </c>
      <c r="F309" s="232">
        <f>IFERROR(__xludf.DUMMYFUNCTION("""COMPUTED_VALUE"""),0.0)</f>
        <v>0</v>
      </c>
      <c r="G309" s="247" t="b">
        <v>0</v>
      </c>
      <c r="H309" s="242" t="str">
        <f t="shared" si="1"/>
        <v/>
      </c>
      <c r="I309" s="243" t="s">
        <v>1742</v>
      </c>
      <c r="J309" s="279" t="str">
        <f t="shared" si="2"/>
        <v>Pluck some feathers from a chicken (Obtain a feather)</v>
      </c>
      <c r="K309" s="280" t="s">
        <v>1743</v>
      </c>
      <c r="L309" s="281"/>
      <c r="M309" s="280" t="s">
        <v>1744</v>
      </c>
      <c r="N309" s="280" t="s">
        <v>1745</v>
      </c>
      <c r="O309" s="239" t="s">
        <v>1746</v>
      </c>
      <c r="P309" s="282" t="s">
        <v>1602</v>
      </c>
      <c r="Q309" s="283" t="s">
        <v>1747</v>
      </c>
      <c r="R309" s="282" t="s">
        <v>194</v>
      </c>
      <c r="S309" s="283"/>
    </row>
    <row r="310">
      <c r="A310" s="230">
        <v>310.0</v>
      </c>
      <c r="B310" s="230" t="s">
        <v>188</v>
      </c>
      <c r="C310" s="231"/>
      <c r="D310" s="232"/>
      <c r="E310" s="232">
        <f>IFERROR(__xludf.DUMMYFUNCTION("iferror(SPLIT(D310,""/""),split(""0/0"",""/""))"),0.0)</f>
        <v>0</v>
      </c>
      <c r="F310" s="232">
        <f>IFERROR(__xludf.DUMMYFUNCTION("""COMPUTED_VALUE"""),0.0)</f>
        <v>0</v>
      </c>
      <c r="G310" s="247" t="b">
        <v>0</v>
      </c>
      <c r="H310" s="242" t="str">
        <f t="shared" si="1"/>
        <v/>
      </c>
      <c r="I310" s="243" t="s">
        <v>1748</v>
      </c>
      <c r="J310" s="279" t="str">
        <f t="shared" si="2"/>
        <v>Can't beat it, can't beat it (Eat cooked chicken)</v>
      </c>
      <c r="K310" s="280" t="s">
        <v>1749</v>
      </c>
      <c r="L310" s="281"/>
      <c r="M310" s="280" t="s">
        <v>1750</v>
      </c>
      <c r="N310" s="280" t="s">
        <v>1751</v>
      </c>
      <c r="O310" s="239" t="s">
        <v>1752</v>
      </c>
      <c r="P310" s="282" t="s">
        <v>1602</v>
      </c>
      <c r="Q310" s="283" t="s">
        <v>1753</v>
      </c>
      <c r="R310" s="282" t="s">
        <v>194</v>
      </c>
      <c r="S310" s="283"/>
    </row>
    <row r="311">
      <c r="A311" s="230">
        <v>311.0</v>
      </c>
      <c r="B311" s="230" t="s">
        <v>188</v>
      </c>
      <c r="C311" s="231"/>
      <c r="D311" s="232"/>
      <c r="E311" s="232">
        <f>IFERROR(__xludf.DUMMYFUNCTION("iferror(SPLIT(D311,""/""),split(""0/0"",""/""))"),0.0)</f>
        <v>0</v>
      </c>
      <c r="F311" s="232">
        <f>IFERROR(__xludf.DUMMYFUNCTION("""COMPUTED_VALUE"""),0.0)</f>
        <v>0</v>
      </c>
      <c r="G311" s="247" t="b">
        <v>0</v>
      </c>
      <c r="H311" s="242" t="str">
        <f t="shared" si="1"/>
        <v/>
      </c>
      <c r="I311" s="243" t="s">
        <v>1754</v>
      </c>
      <c r="J311" s="279" t="str">
        <f t="shared" si="2"/>
        <v>The chicken... or the egg?? (Obtain an egg)</v>
      </c>
      <c r="K311" s="280"/>
      <c r="L311" s="281"/>
      <c r="M311" s="280" t="s">
        <v>1755</v>
      </c>
      <c r="N311" s="280" t="s">
        <v>1756</v>
      </c>
      <c r="O311" s="239" t="s">
        <v>1757</v>
      </c>
      <c r="P311" s="282" t="s">
        <v>1602</v>
      </c>
      <c r="Q311" s="283" t="s">
        <v>1758</v>
      </c>
      <c r="R311" s="282" t="s">
        <v>194</v>
      </c>
      <c r="S311" s="283"/>
    </row>
    <row r="312">
      <c r="A312" s="230">
        <v>312.0</v>
      </c>
      <c r="B312" s="230" t="s">
        <v>188</v>
      </c>
      <c r="C312" s="285"/>
      <c r="D312" s="102"/>
      <c r="E312" s="232">
        <f>IFERROR(__xludf.DUMMYFUNCTION("iferror(SPLIT(D312,""/""),split(""0/0"",""/""))"),0.0)</f>
        <v>0</v>
      </c>
      <c r="F312" s="232">
        <f>IFERROR(__xludf.DUMMYFUNCTION("""COMPUTED_VALUE"""),0.0)</f>
        <v>0</v>
      </c>
      <c r="G312" s="286" t="b">
        <v>0</v>
      </c>
      <c r="H312" s="242" t="str">
        <f t="shared" si="1"/>
        <v/>
      </c>
      <c r="I312" s="243" t="s">
        <v>1759</v>
      </c>
      <c r="J312" s="279" t="str">
        <f t="shared" si="2"/>
        <v>Breed chickens by feeding them seeds</v>
      </c>
      <c r="K312" s="280" t="s">
        <v>1760</v>
      </c>
      <c r="L312" s="281"/>
      <c r="M312" s="280"/>
      <c r="N312" s="280" t="s">
        <v>1761</v>
      </c>
      <c r="O312" s="239" t="s">
        <v>1453</v>
      </c>
      <c r="P312" s="282" t="s">
        <v>1602</v>
      </c>
      <c r="Q312" s="283" t="s">
        <v>1762</v>
      </c>
      <c r="R312" s="282" t="s">
        <v>194</v>
      </c>
      <c r="S312" s="283"/>
    </row>
    <row r="313">
      <c r="A313" s="230">
        <v>313.0</v>
      </c>
      <c r="B313" s="230" t="s">
        <v>188</v>
      </c>
      <c r="C313" s="231"/>
      <c r="D313" s="232"/>
      <c r="E313" s="232">
        <f>IFERROR(__xludf.DUMMYFUNCTION("iferror(SPLIT(D313,""/""),split(""0/0"",""/""))"),0.0)</f>
        <v>0</v>
      </c>
      <c r="F313" s="232">
        <f>IFERROR(__xludf.DUMMYFUNCTION("""COMPUTED_VALUE"""),0.0)</f>
        <v>0</v>
      </c>
      <c r="G313" s="247" t="b">
        <v>0</v>
      </c>
      <c r="H313" s="242" t="str">
        <f t="shared" si="1"/>
        <v/>
      </c>
      <c r="I313" s="246" t="s">
        <v>1763</v>
      </c>
      <c r="J313" s="279" t="str">
        <f t="shared" si="2"/>
        <v>Collect a stack of raw chicken and feathers</v>
      </c>
      <c r="K313" s="280" t="s">
        <v>1764</v>
      </c>
      <c r="L313" s="281"/>
      <c r="M313" s="280"/>
      <c r="N313" s="280" t="s">
        <v>1765</v>
      </c>
      <c r="O313" s="239" t="s">
        <v>1766</v>
      </c>
      <c r="P313" s="282" t="s">
        <v>1602</v>
      </c>
      <c r="Q313" s="283" t="s">
        <v>1767</v>
      </c>
      <c r="R313" s="282" t="s">
        <v>194</v>
      </c>
      <c r="S313" s="283"/>
    </row>
    <row r="314">
      <c r="A314" s="230">
        <v>314.0</v>
      </c>
      <c r="B314" s="230" t="s">
        <v>188</v>
      </c>
      <c r="C314" s="231"/>
      <c r="D314" s="232"/>
      <c r="E314" s="232">
        <f>IFERROR(__xludf.DUMMYFUNCTION("iferror(SPLIT(D314,""/""),split(""0/0"",""/""))"),0.0)</f>
        <v>0</v>
      </c>
      <c r="F314" s="232">
        <f>IFERROR(__xludf.DUMMYFUNCTION("""COMPUTED_VALUE"""),0.0)</f>
        <v>0</v>
      </c>
      <c r="G314" s="247" t="b">
        <v>0</v>
      </c>
      <c r="H314" s="242" t="str">
        <f t="shared" si="1"/>
        <v/>
      </c>
      <c r="I314" s="243" t="s">
        <v>1768</v>
      </c>
      <c r="J314" s="279" t="str">
        <f t="shared" si="2"/>
        <v>Tame a Parrot using seeds. WARNING: Do not use a cookie!</v>
      </c>
      <c r="K314" s="280" t="s">
        <v>1769</v>
      </c>
      <c r="L314" s="281"/>
      <c r="M314" s="280"/>
      <c r="N314" s="280" t="s">
        <v>1770</v>
      </c>
      <c r="O314" s="239" t="s">
        <v>1574</v>
      </c>
      <c r="P314" s="282" t="s">
        <v>1602</v>
      </c>
      <c r="Q314" s="283" t="s">
        <v>1771</v>
      </c>
      <c r="R314" s="282" t="s">
        <v>194</v>
      </c>
      <c r="S314" s="283"/>
    </row>
    <row r="315">
      <c r="A315" s="230">
        <v>315.0</v>
      </c>
      <c r="B315" s="230" t="s">
        <v>188</v>
      </c>
      <c r="C315" s="231"/>
      <c r="D315" s="232"/>
      <c r="E315" s="232">
        <f>IFERROR(__xludf.DUMMYFUNCTION("iferror(SPLIT(D315,""/""),split(""0/0"",""/""))"),0.0)</f>
        <v>0</v>
      </c>
      <c r="F315" s="232">
        <f>IFERROR(__xludf.DUMMYFUNCTION("""COMPUTED_VALUE"""),0.0)</f>
        <v>0</v>
      </c>
      <c r="G315" s="247" t="b">
        <v>0</v>
      </c>
      <c r="H315" s="242" t="str">
        <f t="shared" si="1"/>
        <v/>
      </c>
      <c r="I315" s="243" t="s">
        <v>1772</v>
      </c>
      <c r="J315" s="279" t="str">
        <f t="shared" si="2"/>
        <v>Look at a Parrot through a Spyglass</v>
      </c>
      <c r="K315" s="280" t="s">
        <v>1773</v>
      </c>
      <c r="L315" s="281"/>
      <c r="M315" s="280"/>
      <c r="N315" s="280" t="s">
        <v>1774</v>
      </c>
      <c r="O315" s="239" t="s">
        <v>645</v>
      </c>
      <c r="P315" s="282" t="s">
        <v>1602</v>
      </c>
      <c r="Q315" s="283" t="s">
        <v>1775</v>
      </c>
      <c r="R315" s="282" t="s">
        <v>194</v>
      </c>
      <c r="S315" s="283"/>
    </row>
    <row r="316">
      <c r="A316" s="230">
        <v>316.0</v>
      </c>
      <c r="B316" s="230" t="s">
        <v>257</v>
      </c>
      <c r="C316" s="231"/>
      <c r="D316" s="232"/>
      <c r="E316" s="232">
        <f>IFERROR(__xludf.DUMMYFUNCTION("iferror(SPLIT(D316,""/""),split(""0/0"",""/""))"),0.0)</f>
        <v>0</v>
      </c>
      <c r="F316" s="232">
        <f>IFERROR(__xludf.DUMMYFUNCTION("""COMPUTED_VALUE"""),0.0)</f>
        <v>0</v>
      </c>
      <c r="G316" s="247" t="b">
        <v>0</v>
      </c>
      <c r="H316" s="242" t="str">
        <f t="shared" si="1"/>
        <v/>
      </c>
      <c r="I316" s="246" t="s">
        <v>1776</v>
      </c>
      <c r="J316" s="279" t="str">
        <f t="shared" si="2"/>
        <v>Tame all parrot variants (You have to tame: Red, Blue, Cyan, Green and Gray parrots)</v>
      </c>
      <c r="K316" s="280"/>
      <c r="L316" s="281"/>
      <c r="M316" s="280" t="s">
        <v>1777</v>
      </c>
      <c r="N316" s="280" t="s">
        <v>1778</v>
      </c>
      <c r="O316" s="239" t="s">
        <v>1779</v>
      </c>
      <c r="P316" s="282" t="s">
        <v>1602</v>
      </c>
      <c r="Q316" s="283" t="s">
        <v>1780</v>
      </c>
      <c r="R316" s="282" t="s">
        <v>194</v>
      </c>
      <c r="S316" s="282" t="s">
        <v>1661</v>
      </c>
    </row>
    <row r="317">
      <c r="A317" s="230">
        <v>317.0</v>
      </c>
      <c r="B317" s="230" t="s">
        <v>188</v>
      </c>
      <c r="C317" s="231"/>
      <c r="D317" s="232"/>
      <c r="E317" s="232">
        <f>IFERROR(__xludf.DUMMYFUNCTION("iferror(SPLIT(D317,""/""),split(""0/0"",""/""))"),0.0)</f>
        <v>0</v>
      </c>
      <c r="F317" s="232">
        <f>IFERROR(__xludf.DUMMYFUNCTION("""COMPUTED_VALUE"""),0.0)</f>
        <v>0</v>
      </c>
      <c r="G317" s="247" t="b">
        <v>0</v>
      </c>
      <c r="H317" s="242" t="str">
        <f t="shared" si="1"/>
        <v/>
      </c>
      <c r="I317" s="243" t="s">
        <v>1781</v>
      </c>
      <c r="J317" s="279" t="str">
        <f t="shared" si="2"/>
        <v>Obtain wool from a sheep by killing it (Kill a sheep)</v>
      </c>
      <c r="K317" s="280" t="s">
        <v>1782</v>
      </c>
      <c r="L317" s="281"/>
      <c r="M317" s="280" t="s">
        <v>1783</v>
      </c>
      <c r="N317" s="280" t="s">
        <v>1784</v>
      </c>
      <c r="O317" s="239" t="s">
        <v>1785</v>
      </c>
      <c r="P317" s="282" t="s">
        <v>1602</v>
      </c>
      <c r="Q317" s="283" t="s">
        <v>1786</v>
      </c>
      <c r="R317" s="282" t="s">
        <v>194</v>
      </c>
      <c r="S317" s="283"/>
    </row>
    <row r="318">
      <c r="A318" s="230">
        <v>318.0</v>
      </c>
      <c r="B318" s="230" t="s">
        <v>188</v>
      </c>
      <c r="C318" s="231"/>
      <c r="D318" s="232"/>
      <c r="E318" s="232">
        <f>IFERROR(__xludf.DUMMYFUNCTION("iferror(SPLIT(D318,""/""),split(""0/0"",""/""))"),0.0)</f>
        <v>0</v>
      </c>
      <c r="F318" s="232">
        <f>IFERROR(__xludf.DUMMYFUNCTION("""COMPUTED_VALUE"""),0.0)</f>
        <v>0</v>
      </c>
      <c r="G318" s="247" t="b">
        <v>0</v>
      </c>
      <c r="H318" s="242" t="str">
        <f t="shared" si="1"/>
        <v/>
      </c>
      <c r="I318" s="243" t="s">
        <v>1787</v>
      </c>
      <c r="J318" s="279" t="str">
        <f t="shared" si="2"/>
        <v>You'll get over it (Eat cooked mutton)</v>
      </c>
      <c r="K318" s="280" t="s">
        <v>1788</v>
      </c>
      <c r="L318" s="281"/>
      <c r="M318" s="280" t="s">
        <v>1789</v>
      </c>
      <c r="N318" s="280" t="s">
        <v>1790</v>
      </c>
      <c r="O318" s="239" t="s">
        <v>1791</v>
      </c>
      <c r="P318" s="282" t="s">
        <v>1602</v>
      </c>
      <c r="Q318" s="283" t="s">
        <v>1792</v>
      </c>
      <c r="R318" s="282" t="s">
        <v>194</v>
      </c>
      <c r="S318" s="283"/>
    </row>
    <row r="319">
      <c r="A319" s="230">
        <v>319.0</v>
      </c>
      <c r="B319" s="230" t="s">
        <v>188</v>
      </c>
      <c r="C319" s="231"/>
      <c r="D319" s="232"/>
      <c r="E319" s="232">
        <f>IFERROR(__xludf.DUMMYFUNCTION("iferror(SPLIT(D319,""/""),split(""0/0"",""/""))"),0.0)</f>
        <v>0</v>
      </c>
      <c r="F319" s="232">
        <f>IFERROR(__xludf.DUMMYFUNCTION("""COMPUTED_VALUE"""),0.0)</f>
        <v>0</v>
      </c>
      <c r="G319" s="247" t="b">
        <v>0</v>
      </c>
      <c r="H319" s="242" t="str">
        <f t="shared" si="1"/>
        <v/>
      </c>
      <c r="I319" s="243" t="s">
        <v>1793</v>
      </c>
      <c r="J319" s="279" t="str">
        <f t="shared" si="2"/>
        <v>Breed two sheep to get a lamb</v>
      </c>
      <c r="K319" s="280" t="s">
        <v>1794</v>
      </c>
      <c r="L319" s="281"/>
      <c r="M319" s="280"/>
      <c r="N319" s="280" t="s">
        <v>1795</v>
      </c>
      <c r="O319" s="239" t="s">
        <v>1796</v>
      </c>
      <c r="P319" s="282" t="s">
        <v>1602</v>
      </c>
      <c r="Q319" s="283" t="s">
        <v>1797</v>
      </c>
      <c r="R319" s="282" t="s">
        <v>194</v>
      </c>
      <c r="S319" s="283"/>
    </row>
    <row r="320">
      <c r="A320" s="230">
        <v>320.0</v>
      </c>
      <c r="B320" s="230" t="s">
        <v>206</v>
      </c>
      <c r="C320" s="231"/>
      <c r="D320" s="232"/>
      <c r="E320" s="232">
        <f>IFERROR(__xludf.DUMMYFUNCTION("iferror(SPLIT(D320,""/""),split(""0/0"",""/""))"),0.0)</f>
        <v>0</v>
      </c>
      <c r="F320" s="232">
        <f>IFERROR(__xludf.DUMMYFUNCTION("""COMPUTED_VALUE"""),0.0)</f>
        <v>0</v>
      </c>
      <c r="G320" s="247" t="b">
        <v>0</v>
      </c>
      <c r="H320" s="242" t="str">
        <f t="shared" si="1"/>
        <v/>
      </c>
      <c r="I320" s="243" t="s">
        <v>1798</v>
      </c>
      <c r="J320" s="279" t="str">
        <f t="shared" si="2"/>
        <v>Use Shears to obtain wool from a sheep</v>
      </c>
      <c r="K320" s="280"/>
      <c r="L320" s="281"/>
      <c r="M320" s="280"/>
      <c r="N320" s="280" t="s">
        <v>1799</v>
      </c>
      <c r="O320" s="239" t="s">
        <v>592</v>
      </c>
      <c r="P320" s="282" t="s">
        <v>1602</v>
      </c>
      <c r="Q320" s="283" t="s">
        <v>1800</v>
      </c>
      <c r="R320" s="282" t="s">
        <v>194</v>
      </c>
      <c r="S320" s="283"/>
    </row>
    <row r="321">
      <c r="A321" s="230">
        <v>321.0</v>
      </c>
      <c r="B321" s="230" t="s">
        <v>188</v>
      </c>
      <c r="C321" s="231"/>
      <c r="D321" s="232"/>
      <c r="E321" s="232">
        <f>IFERROR(__xludf.DUMMYFUNCTION("iferror(SPLIT(D321,""/""),split(""0/0"",""/""))"),0.0)</f>
        <v>0</v>
      </c>
      <c r="F321" s="232">
        <f>IFERROR(__xludf.DUMMYFUNCTION("""COMPUTED_VALUE"""),0.0)</f>
        <v>0</v>
      </c>
      <c r="G321" s="247" t="b">
        <v>0</v>
      </c>
      <c r="H321" s="242" t="str">
        <f t="shared" si="1"/>
        <v/>
      </c>
      <c r="I321" s="246" t="s">
        <v>1801</v>
      </c>
      <c r="J321" s="279" t="str">
        <f t="shared" si="2"/>
        <v>Collect a stack of white wool</v>
      </c>
      <c r="K321" s="280" t="s">
        <v>1802</v>
      </c>
      <c r="L321" s="281"/>
      <c r="M321" s="280"/>
      <c r="N321" s="280" t="s">
        <v>1803</v>
      </c>
      <c r="O321" s="239" t="s">
        <v>1804</v>
      </c>
      <c r="P321" s="282" t="s">
        <v>1602</v>
      </c>
      <c r="Q321" s="283" t="s">
        <v>1805</v>
      </c>
      <c r="R321" s="282" t="s">
        <v>194</v>
      </c>
      <c r="S321" s="283"/>
    </row>
    <row r="322">
      <c r="A322" s="230">
        <v>322.0</v>
      </c>
      <c r="B322" s="230" t="s">
        <v>283</v>
      </c>
      <c r="C322" s="231"/>
      <c r="D322" s="232"/>
      <c r="E322" s="232">
        <f>IFERROR(__xludf.DUMMYFUNCTION("iferror(SPLIT(D322,""/""),split(""0/0"",""/""))"),0.0)</f>
        <v>0</v>
      </c>
      <c r="F322" s="232">
        <f>IFERROR(__xludf.DUMMYFUNCTION("""COMPUTED_VALUE"""),0.0)</f>
        <v>0</v>
      </c>
      <c r="G322" s="247" t="b">
        <v>0</v>
      </c>
      <c r="H322" s="242" t="str">
        <f t="shared" si="1"/>
        <v/>
      </c>
      <c r="I322" s="246" t="s">
        <v>1806</v>
      </c>
      <c r="J322" s="279" t="str">
        <f t="shared" si="2"/>
        <v>Dye Sheep with all 16 colors of wool (Right click a sheep with all 16 dyes)</v>
      </c>
      <c r="K322" s="280" t="s">
        <v>1807</v>
      </c>
      <c r="L322" s="281"/>
      <c r="M322" s="280" t="s">
        <v>1808</v>
      </c>
      <c r="N322" s="280" t="s">
        <v>1809</v>
      </c>
      <c r="O322" s="239" t="s">
        <v>1810</v>
      </c>
      <c r="P322" s="282" t="s">
        <v>1602</v>
      </c>
      <c r="Q322" s="283" t="s">
        <v>1811</v>
      </c>
      <c r="R322" s="282" t="s">
        <v>194</v>
      </c>
      <c r="S322" s="283" t="s">
        <v>290</v>
      </c>
    </row>
    <row r="323">
      <c r="A323" s="230">
        <v>323.0</v>
      </c>
      <c r="B323" s="230" t="s">
        <v>188</v>
      </c>
      <c r="C323" s="231"/>
      <c r="D323" s="232"/>
      <c r="E323" s="232">
        <f>IFERROR(__xludf.DUMMYFUNCTION("iferror(SPLIT(D323,""/""),split(""0/0"",""/""))"),0.0)</f>
        <v>0</v>
      </c>
      <c r="F323" s="232">
        <f>IFERROR(__xludf.DUMMYFUNCTION("""COMPUTED_VALUE"""),0.0)</f>
        <v>0</v>
      </c>
      <c r="G323" s="247" t="b">
        <v>0</v>
      </c>
      <c r="H323" s="242" t="str">
        <f t="shared" si="1"/>
        <v/>
      </c>
      <c r="I323" s="246" t="s">
        <v>1812</v>
      </c>
      <c r="J323" s="279" t="str">
        <f t="shared" si="2"/>
        <v>Gather all 16 colors of wool</v>
      </c>
      <c r="K323" s="280"/>
      <c r="L323" s="281"/>
      <c r="M323" s="280"/>
      <c r="N323" s="280" t="s">
        <v>1813</v>
      </c>
      <c r="O323" s="239" t="s">
        <v>1814</v>
      </c>
      <c r="P323" s="282" t="s">
        <v>1602</v>
      </c>
      <c r="Q323" s="283" t="s">
        <v>1815</v>
      </c>
      <c r="R323" s="282" t="s">
        <v>194</v>
      </c>
      <c r="S323" s="283"/>
    </row>
    <row r="324">
      <c r="A324" s="230">
        <v>324.0</v>
      </c>
      <c r="B324" s="230" t="s">
        <v>188</v>
      </c>
      <c r="C324" s="231"/>
      <c r="D324" s="232"/>
      <c r="E324" s="232">
        <f>IFERROR(__xludf.DUMMYFUNCTION("iferror(SPLIT(D324,""/""),split(""0/0"",""/""))"),0.0)</f>
        <v>0</v>
      </c>
      <c r="F324" s="232">
        <f>IFERROR(__xludf.DUMMYFUNCTION("""COMPUTED_VALUE"""),0.0)</f>
        <v>0</v>
      </c>
      <c r="G324" s="247" t="b">
        <v>0</v>
      </c>
      <c r="H324" s="242" t="str">
        <f t="shared" si="1"/>
        <v/>
      </c>
      <c r="I324" s="246" t="s">
        <v>1816</v>
      </c>
      <c r="J324" s="279" t="str">
        <f t="shared" si="2"/>
        <v>Craft all 16 colors of carpet</v>
      </c>
      <c r="K324" s="280" t="s">
        <v>790</v>
      </c>
      <c r="L324" s="281"/>
      <c r="M324" s="280"/>
      <c r="N324" s="280" t="s">
        <v>1817</v>
      </c>
      <c r="O324" s="239" t="s">
        <v>1818</v>
      </c>
      <c r="P324" s="282" t="s">
        <v>1602</v>
      </c>
      <c r="Q324" s="283" t="s">
        <v>1819</v>
      </c>
      <c r="R324" s="282" t="s">
        <v>194</v>
      </c>
      <c r="S324" s="283"/>
    </row>
    <row r="325">
      <c r="A325" s="230">
        <v>325.0</v>
      </c>
      <c r="B325" s="230" t="s">
        <v>188</v>
      </c>
      <c r="C325" s="231"/>
      <c r="D325" s="232"/>
      <c r="E325" s="232">
        <f>IFERROR(__xludf.DUMMYFUNCTION("iferror(SPLIT(D325,""/""),split(""0/0"",""/""))"),0.0)</f>
        <v>0</v>
      </c>
      <c r="F325" s="232">
        <f>IFERROR(__xludf.DUMMYFUNCTION("""COMPUTED_VALUE"""),0.0)</f>
        <v>0</v>
      </c>
      <c r="G325" s="247" t="b">
        <v>0</v>
      </c>
      <c r="H325" s="242" t="str">
        <f t="shared" si="1"/>
        <v/>
      </c>
      <c r="I325" s="243" t="s">
        <v>1820</v>
      </c>
      <c r="J325" s="279" t="str">
        <f t="shared" si="2"/>
        <v>Slaughter a Goat (Kill a Goat)</v>
      </c>
      <c r="K325" s="280"/>
      <c r="L325" s="281"/>
      <c r="M325" s="280" t="s">
        <v>1821</v>
      </c>
      <c r="N325" s="280" t="s">
        <v>1822</v>
      </c>
      <c r="O325" s="239" t="s">
        <v>1823</v>
      </c>
      <c r="P325" s="282" t="s">
        <v>1602</v>
      </c>
      <c r="Q325" s="283" t="s">
        <v>1824</v>
      </c>
      <c r="R325" s="282" t="s">
        <v>194</v>
      </c>
      <c r="S325" s="283"/>
    </row>
    <row r="326">
      <c r="A326" s="230">
        <v>326.0</v>
      </c>
      <c r="B326" s="230" t="s">
        <v>188</v>
      </c>
      <c r="C326" s="231"/>
      <c r="D326" s="232"/>
      <c r="E326" s="232">
        <f>IFERROR(__xludf.DUMMYFUNCTION("iferror(SPLIT(D326,""/""),split(""0/0"",""/""))"),0.0)</f>
        <v>0</v>
      </c>
      <c r="F326" s="232">
        <f>IFERROR(__xludf.DUMMYFUNCTION("""COMPUTED_VALUE"""),0.0)</f>
        <v>0</v>
      </c>
      <c r="G326" s="247" t="b">
        <v>0</v>
      </c>
      <c r="H326" s="242" t="str">
        <f t="shared" si="1"/>
        <v/>
      </c>
      <c r="I326" s="243" t="s">
        <v>1825</v>
      </c>
      <c r="J326" s="279" t="str">
        <f t="shared" si="2"/>
        <v>Breed two Goats together using Wheat</v>
      </c>
      <c r="K326" s="280" t="s">
        <v>1687</v>
      </c>
      <c r="L326" s="281"/>
      <c r="M326" s="280"/>
      <c r="N326" s="280" t="s">
        <v>1826</v>
      </c>
      <c r="O326" s="239" t="s">
        <v>1827</v>
      </c>
      <c r="P326" s="282" t="s">
        <v>1602</v>
      </c>
      <c r="Q326" s="283" t="s">
        <v>1828</v>
      </c>
      <c r="R326" s="282" t="s">
        <v>194</v>
      </c>
      <c r="S326" s="283"/>
    </row>
    <row r="327">
      <c r="A327" s="230">
        <v>327.0</v>
      </c>
      <c r="B327" s="230" t="s">
        <v>257</v>
      </c>
      <c r="C327" s="231"/>
      <c r="D327" s="232"/>
      <c r="E327" s="232">
        <f>IFERROR(__xludf.DUMMYFUNCTION("iferror(SPLIT(D327,""/""),split(""0/0"",""/""))"),0.0)</f>
        <v>0</v>
      </c>
      <c r="F327" s="232">
        <f>IFERROR(__xludf.DUMMYFUNCTION("""COMPUTED_VALUE"""),0.0)</f>
        <v>0</v>
      </c>
      <c r="G327" s="247" t="b">
        <v>0</v>
      </c>
      <c r="H327" s="242" t="str">
        <f t="shared" si="1"/>
        <v/>
      </c>
      <c r="I327" s="243" t="s">
        <v>1829</v>
      </c>
      <c r="J327" s="279" t="str">
        <f t="shared" si="2"/>
        <v>Get in a Boat and float with a Goat (Ride a boat that has a goat in it as well)</v>
      </c>
      <c r="K327" s="280"/>
      <c r="L327" s="281"/>
      <c r="M327" s="280" t="s">
        <v>1830</v>
      </c>
      <c r="N327" s="280" t="s">
        <v>1831</v>
      </c>
      <c r="O327" s="239" t="s">
        <v>1832</v>
      </c>
      <c r="P327" s="282" t="s">
        <v>1602</v>
      </c>
      <c r="Q327" s="283" t="s">
        <v>1833</v>
      </c>
      <c r="R327" s="282" t="s">
        <v>194</v>
      </c>
      <c r="S327" s="282" t="s">
        <v>267</v>
      </c>
    </row>
    <row r="328">
      <c r="A328" s="230">
        <v>328.0</v>
      </c>
      <c r="B328" s="230" t="s">
        <v>257</v>
      </c>
      <c r="C328" s="231"/>
      <c r="D328" s="232"/>
      <c r="E328" s="232">
        <f>IFERROR(__xludf.DUMMYFUNCTION("iferror(SPLIT(D328,""/""),split(""0/0"",""/""))"),0.0)</f>
        <v>0</v>
      </c>
      <c r="F328" s="232">
        <f>IFERROR(__xludf.DUMMYFUNCTION("""COMPUTED_VALUE"""),0.0)</f>
        <v>0</v>
      </c>
      <c r="G328" s="247" t="b">
        <v>0</v>
      </c>
      <c r="H328" s="242" t="str">
        <f t="shared" si="1"/>
        <v/>
      </c>
      <c r="I328" s="246" t="s">
        <v>1834</v>
      </c>
      <c r="J328" s="279" t="str">
        <f t="shared" si="2"/>
        <v>Milk a screaming Goat</v>
      </c>
      <c r="K328" s="280"/>
      <c r="L328" s="281"/>
      <c r="M328" s="280"/>
      <c r="N328" s="280" t="s">
        <v>1835</v>
      </c>
      <c r="O328" s="239" t="s">
        <v>1695</v>
      </c>
      <c r="P328" s="282" t="s">
        <v>1602</v>
      </c>
      <c r="Q328" s="283" t="s">
        <v>1836</v>
      </c>
      <c r="R328" s="282" t="s">
        <v>194</v>
      </c>
      <c r="S328" s="283" t="s">
        <v>1343</v>
      </c>
    </row>
    <row r="329">
      <c r="A329" s="230">
        <v>329.0</v>
      </c>
      <c r="B329" s="230" t="s">
        <v>188</v>
      </c>
      <c r="C329" s="231"/>
      <c r="D329" s="232"/>
      <c r="E329" s="232">
        <f>IFERROR(__xludf.DUMMYFUNCTION("iferror(SPLIT(D329,""/""),split(""0/0"",""/""))"),0.0)</f>
        <v>0</v>
      </c>
      <c r="F329" s="232">
        <f>IFERROR(__xludf.DUMMYFUNCTION("""COMPUTED_VALUE"""),0.0)</f>
        <v>0</v>
      </c>
      <c r="G329" s="247" t="b">
        <v>0</v>
      </c>
      <c r="H329" s="242" t="str">
        <f t="shared" si="1"/>
        <v/>
      </c>
      <c r="I329" s="243" t="s">
        <v>1837</v>
      </c>
      <c r="J329" s="279" t="str">
        <f t="shared" si="2"/>
        <v>Get killed by a Goat that rammed into you. You have Goat to be kidding me!</v>
      </c>
      <c r="K329" s="280"/>
      <c r="L329" s="281"/>
      <c r="M329" s="280"/>
      <c r="N329" s="287" t="s">
        <v>1838</v>
      </c>
      <c r="O329" s="239" t="s">
        <v>1839</v>
      </c>
      <c r="P329" s="282" t="s">
        <v>1602</v>
      </c>
      <c r="Q329" s="283" t="s">
        <v>1840</v>
      </c>
      <c r="R329" s="282" t="s">
        <v>194</v>
      </c>
      <c r="S329" s="283"/>
    </row>
    <row r="330">
      <c r="A330" s="230">
        <v>330.0</v>
      </c>
      <c r="B330" s="230" t="s">
        <v>188</v>
      </c>
      <c r="C330" s="231"/>
      <c r="D330" s="232"/>
      <c r="E330" s="232">
        <f>IFERROR(__xludf.DUMMYFUNCTION("iferror(SPLIT(D330,""/""),split(""0/0"",""/""))"),0.0)</f>
        <v>0</v>
      </c>
      <c r="F330" s="232">
        <f>IFERROR(__xludf.DUMMYFUNCTION("""COMPUTED_VALUE"""),0.0)</f>
        <v>0</v>
      </c>
      <c r="G330" s="247" t="b">
        <v>0</v>
      </c>
      <c r="H330" s="242" t="str">
        <f t="shared" si="1"/>
        <v/>
      </c>
      <c r="I330" s="243" t="s">
        <v>1841</v>
      </c>
      <c r="J330" s="279" t="str">
        <f t="shared" si="2"/>
        <v>Obtain a Goat’s Horn by having one ram into a block (Obtain a Goat Horn)</v>
      </c>
      <c r="K330" s="280"/>
      <c r="L330" s="281"/>
      <c r="M330" s="280" t="s">
        <v>1842</v>
      </c>
      <c r="N330" s="280" t="s">
        <v>1843</v>
      </c>
      <c r="O330" s="239" t="s">
        <v>1844</v>
      </c>
      <c r="P330" s="282" t="s">
        <v>1602</v>
      </c>
      <c r="Q330" s="283" t="s">
        <v>1845</v>
      </c>
      <c r="R330" s="282" t="s">
        <v>194</v>
      </c>
      <c r="S330" s="283"/>
    </row>
    <row r="331">
      <c r="A331" s="230">
        <v>331.0</v>
      </c>
      <c r="B331" s="230" t="s">
        <v>257</v>
      </c>
      <c r="C331" s="231"/>
      <c r="D331" s="232"/>
      <c r="E331" s="232">
        <f>IFERROR(__xludf.DUMMYFUNCTION("iferror(SPLIT(D331,""/""),split(""0/0"",""/""))"),0.0)</f>
        <v>0</v>
      </c>
      <c r="F331" s="232">
        <f>IFERROR(__xludf.DUMMYFUNCTION("""COMPUTED_VALUE"""),0.0)</f>
        <v>0</v>
      </c>
      <c r="G331" s="247" t="b">
        <v>0</v>
      </c>
      <c r="H331" s="242" t="str">
        <f t="shared" si="1"/>
        <v/>
      </c>
      <c r="I331" s="246" t="s">
        <v>1846</v>
      </c>
      <c r="J331" s="279" t="str">
        <f t="shared" si="2"/>
        <v>Play a Goat Horn in the Deep Dark (Play a Goat Horn in the Deep Dark or an Ancient City)</v>
      </c>
      <c r="K331" s="280" t="s">
        <v>1847</v>
      </c>
      <c r="L331" s="281"/>
      <c r="M331" s="280" t="s">
        <v>1848</v>
      </c>
      <c r="N331" s="280" t="s">
        <v>1849</v>
      </c>
      <c r="O331" s="239" t="s">
        <v>1850</v>
      </c>
      <c r="P331" s="282" t="s">
        <v>1602</v>
      </c>
      <c r="Q331" s="283" t="s">
        <v>1851</v>
      </c>
      <c r="R331" s="282" t="s">
        <v>194</v>
      </c>
      <c r="S331" s="283" t="s">
        <v>117</v>
      </c>
    </row>
    <row r="332">
      <c r="A332" s="230">
        <v>332.0</v>
      </c>
      <c r="B332" s="230" t="s">
        <v>257</v>
      </c>
      <c r="C332" s="231"/>
      <c r="D332" s="232"/>
      <c r="E332" s="232">
        <f>IFERROR(__xludf.DUMMYFUNCTION("iferror(SPLIT(D332,""/""),split(""0/0"",""/""))"),0.0)</f>
        <v>0</v>
      </c>
      <c r="F332" s="232">
        <f>IFERROR(__xludf.DUMMYFUNCTION("""COMPUTED_VALUE"""),0.0)</f>
        <v>0</v>
      </c>
      <c r="G332" s="247" t="b">
        <v>0</v>
      </c>
      <c r="H332" s="242" t="str">
        <f t="shared" si="1"/>
        <v/>
      </c>
      <c r="I332" s="246" t="s">
        <v>1852</v>
      </c>
      <c r="J332" s="279" t="str">
        <f t="shared" si="2"/>
        <v>Bring a Sheep into an Ancient City and silence it (Kill a Sheep in an Ancient City)</v>
      </c>
      <c r="K332" s="280"/>
      <c r="L332" s="281"/>
      <c r="M332" s="280" t="s">
        <v>1853</v>
      </c>
      <c r="N332" s="280" t="s">
        <v>1854</v>
      </c>
      <c r="O332" s="239" t="s">
        <v>1855</v>
      </c>
      <c r="P332" s="282" t="s">
        <v>1602</v>
      </c>
      <c r="Q332" s="283" t="s">
        <v>1856</v>
      </c>
      <c r="R332" s="282" t="s">
        <v>194</v>
      </c>
      <c r="S332" s="283" t="s">
        <v>117</v>
      </c>
    </row>
    <row r="333">
      <c r="A333" s="230">
        <v>333.0</v>
      </c>
      <c r="B333" s="230" t="s">
        <v>257</v>
      </c>
      <c r="C333" s="231"/>
      <c r="D333" s="232"/>
      <c r="E333" s="232">
        <f>IFERROR(__xludf.DUMMYFUNCTION("iferror(SPLIT(D333,""/""),split(""0/0"",""/""))"),0.0)</f>
        <v>0</v>
      </c>
      <c r="F333" s="232">
        <f>IFERROR(__xludf.DUMMYFUNCTION("""COMPUTED_VALUE"""),0.0)</f>
        <v>0</v>
      </c>
      <c r="G333" s="247" t="b">
        <v>0</v>
      </c>
      <c r="H333" s="242" t="str">
        <f t="shared" si="1"/>
        <v/>
      </c>
      <c r="I333" s="246" t="s">
        <v>1857</v>
      </c>
      <c r="J333" s="279" t="str">
        <f t="shared" si="2"/>
        <v>Blow into a Goat Horn during a raid (Play a Goat Horn while a raid mob is within 50 mobs)</v>
      </c>
      <c r="K333" s="280" t="s">
        <v>1858</v>
      </c>
      <c r="L333" s="281"/>
      <c r="M333" s="280" t="s">
        <v>1859</v>
      </c>
      <c r="N333" s="280" t="s">
        <v>1860</v>
      </c>
      <c r="O333" s="239" t="s">
        <v>1861</v>
      </c>
      <c r="P333" s="282" t="s">
        <v>1602</v>
      </c>
      <c r="Q333" s="283" t="s">
        <v>1862</v>
      </c>
      <c r="R333" s="282" t="s">
        <v>194</v>
      </c>
      <c r="S333" s="282" t="s">
        <v>1863</v>
      </c>
    </row>
    <row r="334">
      <c r="A334" s="230">
        <v>334.0</v>
      </c>
      <c r="B334" s="230" t="s">
        <v>283</v>
      </c>
      <c r="C334" s="231"/>
      <c r="D334" s="232"/>
      <c r="E334" s="232">
        <f>IFERROR(__xludf.DUMMYFUNCTION("iferror(SPLIT(D334,""/""),split(""0/0"",""/""))"),0.0)</f>
        <v>0</v>
      </c>
      <c r="F334" s="232">
        <f>IFERROR(__xludf.DUMMYFUNCTION("""COMPUTED_VALUE"""),0.0)</f>
        <v>0</v>
      </c>
      <c r="G334" s="247" t="b">
        <v>0</v>
      </c>
      <c r="H334" s="242" t="str">
        <f t="shared" si="1"/>
        <v/>
      </c>
      <c r="I334" s="249" t="s">
        <v>1864</v>
      </c>
      <c r="J334" s="279" t="str">
        <f t="shared" si="2"/>
        <v>Blow every type of Goat Horn (Play every type of Goat Horn)</v>
      </c>
      <c r="K334" s="280"/>
      <c r="L334" s="281"/>
      <c r="M334" s="280" t="s">
        <v>1865</v>
      </c>
      <c r="N334" s="280" t="s">
        <v>1866</v>
      </c>
      <c r="O334" s="239" t="s">
        <v>1867</v>
      </c>
      <c r="P334" s="282" t="s">
        <v>1602</v>
      </c>
      <c r="Q334" s="283" t="s">
        <v>1868</v>
      </c>
      <c r="R334" s="282" t="s">
        <v>194</v>
      </c>
      <c r="S334" s="282" t="s">
        <v>1869</v>
      </c>
    </row>
    <row r="335">
      <c r="A335" s="230">
        <v>335.0</v>
      </c>
      <c r="B335" s="230" t="s">
        <v>188</v>
      </c>
      <c r="C335" s="231"/>
      <c r="D335" s="232"/>
      <c r="E335" s="232">
        <f>IFERROR(__xludf.DUMMYFUNCTION("iferror(SPLIT(D335,""/""),split(""0/0"",""/""))"),0.0)</f>
        <v>0</v>
      </c>
      <c r="F335" s="232">
        <f>IFERROR(__xludf.DUMMYFUNCTION("""COMPUTED_VALUE"""),0.0)</f>
        <v>0</v>
      </c>
      <c r="G335" s="247" t="b">
        <v>0</v>
      </c>
      <c r="H335" s="242" t="str">
        <f t="shared" si="1"/>
        <v/>
      </c>
      <c r="I335" s="243" t="s">
        <v>1870</v>
      </c>
      <c r="J335" s="279" t="str">
        <f t="shared" si="2"/>
        <v>Breed two bees using flowers</v>
      </c>
      <c r="K335" s="280"/>
      <c r="L335" s="281"/>
      <c r="M335" s="280"/>
      <c r="N335" s="280" t="s">
        <v>1871</v>
      </c>
      <c r="O335" s="239" t="s">
        <v>501</v>
      </c>
      <c r="P335" s="282" t="s">
        <v>1602</v>
      </c>
      <c r="Q335" s="283" t="s">
        <v>1872</v>
      </c>
      <c r="R335" s="282" t="s">
        <v>194</v>
      </c>
      <c r="S335" s="283"/>
    </row>
    <row r="336">
      <c r="A336" s="230">
        <v>336.0</v>
      </c>
      <c r="B336" s="230" t="s">
        <v>188</v>
      </c>
      <c r="C336" s="231"/>
      <c r="D336" s="232"/>
      <c r="E336" s="232">
        <f>IFERROR(__xludf.DUMMYFUNCTION("iferror(SPLIT(D336,""/""),split(""0/0"",""/""))"),0.0)</f>
        <v>0</v>
      </c>
      <c r="F336" s="232">
        <f>IFERROR(__xludf.DUMMYFUNCTION("""COMPUTED_VALUE"""),0.0)</f>
        <v>0</v>
      </c>
      <c r="G336" s="247" t="b">
        <v>0</v>
      </c>
      <c r="H336" s="242" t="str">
        <f t="shared" si="1"/>
        <v/>
      </c>
      <c r="I336" s="243" t="s">
        <v>1873</v>
      </c>
      <c r="J336" s="279" t="str">
        <f t="shared" si="2"/>
        <v>Use a bottle to collect Honey from a Beehive with a campfire beneath it so you don't aggravate the bees</v>
      </c>
      <c r="K336" s="280"/>
      <c r="L336" s="281"/>
      <c r="M336" s="280"/>
      <c r="N336" s="280" t="s">
        <v>1874</v>
      </c>
      <c r="O336" s="239" t="s">
        <v>911</v>
      </c>
      <c r="P336" s="282" t="s">
        <v>1602</v>
      </c>
      <c r="Q336" s="283" t="s">
        <v>1875</v>
      </c>
      <c r="R336" s="282" t="s">
        <v>194</v>
      </c>
      <c r="S336" s="283"/>
    </row>
    <row r="337">
      <c r="A337" s="230">
        <v>337.0</v>
      </c>
      <c r="B337" s="230" t="s">
        <v>283</v>
      </c>
      <c r="C337" s="231"/>
      <c r="D337" s="232"/>
      <c r="E337" s="232">
        <f>IFERROR(__xludf.DUMMYFUNCTION("iferror(SPLIT(D337,""/""),split(""0/0"",""/""))"),0.0)</f>
        <v>0</v>
      </c>
      <c r="F337" s="232">
        <f>IFERROR(__xludf.DUMMYFUNCTION("""COMPUTED_VALUE"""),0.0)</f>
        <v>0</v>
      </c>
      <c r="G337" s="233" t="b">
        <v>0</v>
      </c>
      <c r="H337" s="242" t="str">
        <f t="shared" si="1"/>
        <v/>
      </c>
      <c r="I337" s="243" t="s">
        <v>1876</v>
      </c>
      <c r="J337" s="279" t="str">
        <f t="shared" si="2"/>
        <v>Craft a bee hive using planks and honeycombs then place it (Place a beehive)</v>
      </c>
      <c r="K337" s="280" t="s">
        <v>1877</v>
      </c>
      <c r="L337" s="281"/>
      <c r="M337" s="280" t="s">
        <v>1878</v>
      </c>
      <c r="N337" s="280" t="s">
        <v>1879</v>
      </c>
      <c r="O337" s="239" t="s">
        <v>1880</v>
      </c>
      <c r="P337" s="282" t="s">
        <v>1602</v>
      </c>
      <c r="Q337" s="283" t="s">
        <v>1881</v>
      </c>
      <c r="R337" s="282" t="s">
        <v>194</v>
      </c>
      <c r="S337" s="283" t="s">
        <v>290</v>
      </c>
    </row>
    <row r="338">
      <c r="A338" s="230">
        <v>338.0</v>
      </c>
      <c r="B338" s="230" t="s">
        <v>188</v>
      </c>
      <c r="C338" s="231"/>
      <c r="D338" s="232"/>
      <c r="E338" s="232">
        <f>IFERROR(__xludf.DUMMYFUNCTION("iferror(SPLIT(D338,""/""),split(""0/0"",""/""))"),0.0)</f>
        <v>0</v>
      </c>
      <c r="F338" s="232">
        <f>IFERROR(__xludf.DUMMYFUNCTION("""COMPUTED_VALUE"""),0.0)</f>
        <v>0</v>
      </c>
      <c r="G338" s="247" t="b">
        <v>0</v>
      </c>
      <c r="H338" s="242" t="str">
        <f t="shared" si="1"/>
        <v/>
      </c>
      <c r="I338" s="243" t="s">
        <v>1882</v>
      </c>
      <c r="J338" s="279" t="str">
        <f t="shared" si="2"/>
        <v>Get stung to death by bees</v>
      </c>
      <c r="K338" s="280"/>
      <c r="L338" s="281"/>
      <c r="M338" s="280"/>
      <c r="N338" s="280" t="s">
        <v>1883</v>
      </c>
      <c r="O338" s="239" t="s">
        <v>1884</v>
      </c>
      <c r="P338" s="282" t="s">
        <v>1602</v>
      </c>
      <c r="Q338" s="283" t="s">
        <v>1885</v>
      </c>
      <c r="R338" s="282" t="s">
        <v>194</v>
      </c>
      <c r="S338" s="283"/>
    </row>
    <row r="339">
      <c r="A339" s="230">
        <v>339.0</v>
      </c>
      <c r="B339" s="230" t="s">
        <v>206</v>
      </c>
      <c r="C339" s="231"/>
      <c r="D339" s="232"/>
      <c r="E339" s="232">
        <f>IFERROR(__xludf.DUMMYFUNCTION("iferror(SPLIT(D339,""/""),split(""0/0"",""/""))"),0.0)</f>
        <v>0</v>
      </c>
      <c r="F339" s="232">
        <f>IFERROR(__xludf.DUMMYFUNCTION("""COMPUTED_VALUE"""),0.0)</f>
        <v>0</v>
      </c>
      <c r="G339" s="247" t="b">
        <v>0</v>
      </c>
      <c r="H339" s="242" t="str">
        <f t="shared" si="1"/>
        <v/>
      </c>
      <c r="I339" s="246" t="s">
        <v>1886</v>
      </c>
      <c r="J339" s="279" t="str">
        <f t="shared" si="2"/>
        <v>Move a Bee Nest with 3 bees inside using Silk Touch (Mine a Bee Nest with 3 bees inside using Silk Touch)</v>
      </c>
      <c r="K339" s="280"/>
      <c r="L339" s="281"/>
      <c r="M339" s="280" t="s">
        <v>1887</v>
      </c>
      <c r="N339" s="280" t="s">
        <v>1888</v>
      </c>
      <c r="O339" s="239" t="s">
        <v>1889</v>
      </c>
      <c r="P339" s="282" t="s">
        <v>1602</v>
      </c>
      <c r="Q339" s="283" t="s">
        <v>1890</v>
      </c>
      <c r="R339" s="282" t="s">
        <v>194</v>
      </c>
      <c r="S339" s="283"/>
    </row>
    <row r="340">
      <c r="A340" s="230">
        <v>340.0</v>
      </c>
      <c r="B340" s="230" t="s">
        <v>188</v>
      </c>
      <c r="C340" s="231"/>
      <c r="D340" s="232"/>
      <c r="E340" s="232">
        <f>IFERROR(__xludf.DUMMYFUNCTION("iferror(SPLIT(D340,""/""),split(""0/0"",""/""))"),0.0)</f>
        <v>0</v>
      </c>
      <c r="F340" s="232">
        <f>IFERROR(__xludf.DUMMYFUNCTION("""COMPUTED_VALUE"""),0.0)</f>
        <v>0</v>
      </c>
      <c r="G340" s="247" t="b">
        <v>0</v>
      </c>
      <c r="H340" s="242" t="str">
        <f t="shared" si="1"/>
        <v/>
      </c>
      <c r="I340" s="246" t="s">
        <v>1891</v>
      </c>
      <c r="J340" s="279" t="str">
        <f t="shared" si="2"/>
        <v>Craft a stack of honeycomb blocks for building a home out of</v>
      </c>
      <c r="K340" s="280" t="s">
        <v>1892</v>
      </c>
      <c r="L340" s="281"/>
      <c r="M340" s="280"/>
      <c r="N340" s="280" t="s">
        <v>1893</v>
      </c>
      <c r="O340" s="239" t="s">
        <v>1894</v>
      </c>
      <c r="P340" s="282" t="s">
        <v>1602</v>
      </c>
      <c r="Q340" s="283" t="s">
        <v>1895</v>
      </c>
      <c r="R340" s="282" t="s">
        <v>194</v>
      </c>
      <c r="S340" s="283"/>
    </row>
    <row r="341">
      <c r="A341" s="230">
        <v>341.0</v>
      </c>
      <c r="B341" s="230" t="s">
        <v>188</v>
      </c>
      <c r="C341" s="231"/>
      <c r="D341" s="232"/>
      <c r="E341" s="232">
        <f>IFERROR(__xludf.DUMMYFUNCTION("iferror(SPLIT(D341,""/""),split(""0/0"",""/""))"),0.0)</f>
        <v>0</v>
      </c>
      <c r="F341" s="232">
        <f>IFERROR(__xludf.DUMMYFUNCTION("""COMPUTED_VALUE"""),0.0)</f>
        <v>0</v>
      </c>
      <c r="G341" s="247" t="b">
        <v>0</v>
      </c>
      <c r="H341" s="242" t="str">
        <f t="shared" si="1"/>
        <v/>
      </c>
      <c r="I341" s="249" t="s">
        <v>1896</v>
      </c>
      <c r="J341" s="279" t="str">
        <f t="shared" si="2"/>
        <v>Collect a stack of empty bee nests (Obtain 64 Bee Nests)</v>
      </c>
      <c r="K341" s="280" t="s">
        <v>1897</v>
      </c>
      <c r="L341" s="281"/>
      <c r="M341" s="280" t="s">
        <v>1898</v>
      </c>
      <c r="N341" s="280" t="s">
        <v>1899</v>
      </c>
      <c r="O341" s="239" t="s">
        <v>1900</v>
      </c>
      <c r="P341" s="282" t="s">
        <v>1602</v>
      </c>
      <c r="Q341" s="283" t="s">
        <v>1901</v>
      </c>
      <c r="R341" s="282" t="s">
        <v>194</v>
      </c>
      <c r="S341" s="283"/>
    </row>
    <row r="342">
      <c r="A342" s="230">
        <v>342.0</v>
      </c>
      <c r="B342" s="230" t="s">
        <v>188</v>
      </c>
      <c r="C342" s="231"/>
      <c r="D342" s="232"/>
      <c r="E342" s="232">
        <f>IFERROR(__xludf.DUMMYFUNCTION("iferror(SPLIT(D342,""/""),split(""0/0"",""/""))"),0.0)</f>
        <v>0</v>
      </c>
      <c r="F342" s="232">
        <f>IFERROR(__xludf.DUMMYFUNCTION("""COMPUTED_VALUE"""),0.0)</f>
        <v>0</v>
      </c>
      <c r="G342" s="247" t="b">
        <v>0</v>
      </c>
      <c r="H342" s="242" t="str">
        <f t="shared" si="1"/>
        <v/>
      </c>
      <c r="I342" s="243" t="s">
        <v>1902</v>
      </c>
      <c r="J342" s="279" t="str">
        <f t="shared" si="2"/>
        <v>Drink some honey</v>
      </c>
      <c r="K342" s="280" t="s">
        <v>1903</v>
      </c>
      <c r="L342" s="281"/>
      <c r="M342" s="280"/>
      <c r="N342" s="280" t="s">
        <v>1904</v>
      </c>
      <c r="O342" s="239" t="s">
        <v>1905</v>
      </c>
      <c r="P342" s="282" t="s">
        <v>1602</v>
      </c>
      <c r="Q342" s="283" t="s">
        <v>1906</v>
      </c>
      <c r="R342" s="282" t="s">
        <v>194</v>
      </c>
      <c r="S342" s="283"/>
    </row>
    <row r="343">
      <c r="A343" s="230">
        <v>343.0</v>
      </c>
      <c r="B343" s="230" t="s">
        <v>188</v>
      </c>
      <c r="C343" s="231"/>
      <c r="D343" s="232"/>
      <c r="E343" s="232">
        <f>IFERROR(__xludf.DUMMYFUNCTION("iferror(SPLIT(D343,""/""),split(""0/0"",""/""))"),0.0)</f>
        <v>0</v>
      </c>
      <c r="F343" s="232">
        <f>IFERROR(__xludf.DUMMYFUNCTION("""COMPUTED_VALUE"""),0.0)</f>
        <v>0</v>
      </c>
      <c r="G343" s="247" t="b">
        <v>0</v>
      </c>
      <c r="H343" s="242" t="str">
        <f t="shared" si="1"/>
        <v/>
      </c>
      <c r="I343" s="243" t="s">
        <v>1907</v>
      </c>
      <c r="J343" s="279" t="str">
        <f t="shared" si="2"/>
        <v>Jump into a honey block to slide down it (Slide down a honey block on it's side)</v>
      </c>
      <c r="K343" s="280" t="s">
        <v>1908</v>
      </c>
      <c r="L343" s="281"/>
      <c r="M343" s="280" t="s">
        <v>1909</v>
      </c>
      <c r="N343" s="280" t="s">
        <v>1910</v>
      </c>
      <c r="O343" s="239" t="s">
        <v>1911</v>
      </c>
      <c r="P343" s="282" t="s">
        <v>1602</v>
      </c>
      <c r="Q343" s="283" t="s">
        <v>1912</v>
      </c>
      <c r="R343" s="282" t="s">
        <v>194</v>
      </c>
      <c r="S343" s="283"/>
    </row>
    <row r="344">
      <c r="A344" s="230">
        <v>344.0</v>
      </c>
      <c r="B344" s="230" t="s">
        <v>257</v>
      </c>
      <c r="C344" s="231"/>
      <c r="D344" s="232"/>
      <c r="E344" s="232">
        <f>IFERROR(__xludf.DUMMYFUNCTION("iferror(SPLIT(D344,""/""),split(""0/0"",""/""))"),0.0)</f>
        <v>0</v>
      </c>
      <c r="F344" s="232">
        <f>IFERROR(__xludf.DUMMYFUNCTION("""COMPUTED_VALUE"""),0.0)</f>
        <v>0</v>
      </c>
      <c r="G344" s="247" t="b">
        <v>0</v>
      </c>
      <c r="H344" s="242" t="str">
        <f t="shared" si="1"/>
        <v/>
      </c>
      <c r="I344" s="249" t="s">
        <v>1913</v>
      </c>
      <c r="J344" s="279" t="str">
        <f t="shared" si="2"/>
        <v>Drink 100 bottles of honey</v>
      </c>
      <c r="K344" s="280" t="s">
        <v>1914</v>
      </c>
      <c r="L344" s="281"/>
      <c r="M344" s="280"/>
      <c r="N344" s="280" t="s">
        <v>1915</v>
      </c>
      <c r="O344" s="239" t="s">
        <v>1905</v>
      </c>
      <c r="P344" s="282" t="s">
        <v>1602</v>
      </c>
      <c r="Q344" s="283" t="s">
        <v>1916</v>
      </c>
      <c r="R344" s="282" t="s">
        <v>194</v>
      </c>
      <c r="S344" s="283" t="s">
        <v>1437</v>
      </c>
    </row>
    <row r="345">
      <c r="A345" s="230">
        <v>345.0</v>
      </c>
      <c r="B345" s="230" t="s">
        <v>188</v>
      </c>
      <c r="C345" s="231"/>
      <c r="D345" s="232"/>
      <c r="E345" s="232">
        <f>IFERROR(__xludf.DUMMYFUNCTION("iferror(SPLIT(D345,""/""),split(""0/0"",""/""))"),0.0)</f>
        <v>0</v>
      </c>
      <c r="F345" s="232">
        <f>IFERROR(__xludf.DUMMYFUNCTION("""COMPUTED_VALUE"""),0.0)</f>
        <v>0</v>
      </c>
      <c r="G345" s="247" t="b">
        <v>0</v>
      </c>
      <c r="H345" s="242" t="str">
        <f t="shared" si="1"/>
        <v/>
      </c>
      <c r="I345" s="243" t="s">
        <v>1917</v>
      </c>
      <c r="J345" s="279" t="str">
        <f t="shared" si="2"/>
        <v>Tame a horse by jumping on it over and over again</v>
      </c>
      <c r="K345" s="280"/>
      <c r="L345" s="281"/>
      <c r="M345" s="280"/>
      <c r="N345" s="280" t="s">
        <v>1918</v>
      </c>
      <c r="O345" s="239" t="s">
        <v>1919</v>
      </c>
      <c r="P345" s="282" t="s">
        <v>1602</v>
      </c>
      <c r="Q345" s="283" t="s">
        <v>1920</v>
      </c>
      <c r="R345" s="282" t="s">
        <v>194</v>
      </c>
      <c r="S345" s="283"/>
    </row>
    <row r="346">
      <c r="A346" s="230">
        <v>346.0</v>
      </c>
      <c r="B346" s="230" t="s">
        <v>188</v>
      </c>
      <c r="C346" s="231"/>
      <c r="D346" s="232"/>
      <c r="E346" s="232">
        <f>IFERROR(__xludf.DUMMYFUNCTION("iferror(SPLIT(D346,""/""),split(""0/0"",""/""))"),0.0)</f>
        <v>0</v>
      </c>
      <c r="F346" s="232">
        <f>IFERROR(__xludf.DUMMYFUNCTION("""COMPUTED_VALUE"""),0.0)</f>
        <v>0</v>
      </c>
      <c r="G346" s="247" t="b">
        <v>0</v>
      </c>
      <c r="H346" s="242" t="str">
        <f t="shared" si="1"/>
        <v/>
      </c>
      <c r="I346" s="243" t="s">
        <v>1921</v>
      </c>
      <c r="J346" s="279" t="str">
        <f t="shared" si="2"/>
        <v>Breed a horse in an effort to get a better one</v>
      </c>
      <c r="K346" s="280"/>
      <c r="L346" s="281"/>
      <c r="M346" s="280"/>
      <c r="N346" s="280" t="s">
        <v>1922</v>
      </c>
      <c r="O346" s="239" t="s">
        <v>1347</v>
      </c>
      <c r="P346" s="282" t="s">
        <v>1602</v>
      </c>
      <c r="Q346" s="283" t="s">
        <v>1923</v>
      </c>
      <c r="R346" s="282" t="s">
        <v>194</v>
      </c>
      <c r="S346" s="283"/>
    </row>
    <row r="347">
      <c r="A347" s="230">
        <v>347.0</v>
      </c>
      <c r="B347" s="230" t="s">
        <v>188</v>
      </c>
      <c r="C347" s="231"/>
      <c r="D347" s="232"/>
      <c r="E347" s="232">
        <f>IFERROR(__xludf.DUMMYFUNCTION("iferror(SPLIT(D347,""/""),split(""0/0"",""/""))"),0.0)</f>
        <v>0</v>
      </c>
      <c r="F347" s="232">
        <f>IFERROR(__xludf.DUMMYFUNCTION("""COMPUTED_VALUE"""),0.0)</f>
        <v>0</v>
      </c>
      <c r="G347" s="247" t="b">
        <v>0</v>
      </c>
      <c r="H347" s="242" t="str">
        <f t="shared" si="1"/>
        <v/>
      </c>
      <c r="I347" s="243" t="s">
        <v>1924</v>
      </c>
      <c r="J347" s="279" t="str">
        <f t="shared" si="2"/>
        <v>Make horse armor out of dead horses (No, joking, any leather will do) (Obtain leather horse armor)</v>
      </c>
      <c r="K347" s="280" t="s">
        <v>1925</v>
      </c>
      <c r="L347" s="281"/>
      <c r="M347" s="280" t="s">
        <v>1926</v>
      </c>
      <c r="N347" s="280" t="s">
        <v>1927</v>
      </c>
      <c r="O347" s="239" t="s">
        <v>1928</v>
      </c>
      <c r="P347" s="282" t="s">
        <v>1602</v>
      </c>
      <c r="Q347" s="283" t="s">
        <v>1929</v>
      </c>
      <c r="R347" s="282" t="s">
        <v>194</v>
      </c>
      <c r="S347" s="283"/>
    </row>
    <row r="348">
      <c r="A348" s="230">
        <v>348.0</v>
      </c>
      <c r="B348" s="230" t="s">
        <v>188</v>
      </c>
      <c r="C348" s="231"/>
      <c r="D348" s="232"/>
      <c r="E348" s="232">
        <f>IFERROR(__xludf.DUMMYFUNCTION("iferror(SPLIT(D348,""/""),split(""0/0"",""/""))"),0.0)</f>
        <v>0</v>
      </c>
      <c r="F348" s="232">
        <f>IFERROR(__xludf.DUMMYFUNCTION("""COMPUTED_VALUE"""),0.0)</f>
        <v>0</v>
      </c>
      <c r="G348" s="247" t="b">
        <v>0</v>
      </c>
      <c r="H348" s="242" t="str">
        <f t="shared" si="1"/>
        <v/>
      </c>
      <c r="I348" s="243" t="s">
        <v>1930</v>
      </c>
      <c r="J348" s="279" t="str">
        <f t="shared" si="2"/>
        <v>Find diamond horse armor</v>
      </c>
      <c r="K348" s="280"/>
      <c r="L348" s="281"/>
      <c r="M348" s="280"/>
      <c r="N348" s="280" t="s">
        <v>1931</v>
      </c>
      <c r="O348" s="239" t="s">
        <v>1932</v>
      </c>
      <c r="P348" s="282" t="s">
        <v>1602</v>
      </c>
      <c r="Q348" s="283" t="s">
        <v>1933</v>
      </c>
      <c r="R348" s="282" t="s">
        <v>194</v>
      </c>
      <c r="S348" s="283"/>
    </row>
    <row r="349">
      <c r="A349" s="230">
        <v>349.0</v>
      </c>
      <c r="B349" s="230" t="s">
        <v>283</v>
      </c>
      <c r="C349" s="231"/>
      <c r="D349" s="232"/>
      <c r="E349" s="232">
        <f>IFERROR(__xludf.DUMMYFUNCTION("iferror(SPLIT(D349,""/""),split(""0/0"",""/""))"),0.0)</f>
        <v>0</v>
      </c>
      <c r="F349" s="232">
        <f>IFERROR(__xludf.DUMMYFUNCTION("""COMPUTED_VALUE"""),0.0)</f>
        <v>0</v>
      </c>
      <c r="G349" s="247" t="b">
        <v>0</v>
      </c>
      <c r="H349" s="242" t="str">
        <f t="shared" si="1"/>
        <v/>
      </c>
      <c r="I349" s="246" t="s">
        <v>1934</v>
      </c>
      <c r="J349" s="279" t="str">
        <f t="shared" si="2"/>
        <v>Dye 16 sets of leather horse armor each with one of the individual colors (Dye 16 sets of leather horse armor each with one of the different dyes)</v>
      </c>
      <c r="K349" s="280" t="s">
        <v>1737</v>
      </c>
      <c r="L349" s="281"/>
      <c r="M349" s="280" t="s">
        <v>1935</v>
      </c>
      <c r="N349" s="280" t="s">
        <v>1936</v>
      </c>
      <c r="O349" s="239" t="s">
        <v>1928</v>
      </c>
      <c r="P349" s="282" t="s">
        <v>1602</v>
      </c>
      <c r="Q349" s="283" t="s">
        <v>1937</v>
      </c>
      <c r="R349" s="282" t="s">
        <v>194</v>
      </c>
      <c r="S349" s="283" t="s">
        <v>290</v>
      </c>
    </row>
    <row r="350">
      <c r="A350" s="230">
        <v>350.0</v>
      </c>
      <c r="B350" s="230" t="s">
        <v>283</v>
      </c>
      <c r="C350" s="231"/>
      <c r="D350" s="232"/>
      <c r="E350" s="232">
        <f>IFERROR(__xludf.DUMMYFUNCTION("iferror(SPLIT(D350,""/""),split(""0/0"",""/""))"),0.0)</f>
        <v>0</v>
      </c>
      <c r="F350" s="232">
        <f>IFERROR(__xludf.DUMMYFUNCTION("""COMPUTED_VALUE"""),0.0)</f>
        <v>0</v>
      </c>
      <c r="G350" s="247" t="b">
        <v>0</v>
      </c>
      <c r="H350" s="242" t="str">
        <f t="shared" si="1"/>
        <v/>
      </c>
      <c r="I350" s="246" t="s">
        <v>1938</v>
      </c>
      <c r="J350" s="279" t="str">
        <f t="shared" si="2"/>
        <v>Feed a Horse every type of food that it can eat (Feed a Horse, Donkey or Mule sugar, wheat, apples, hay bales, golden apples and golden carrots)</v>
      </c>
      <c r="K350" s="280" t="s">
        <v>1939</v>
      </c>
      <c r="L350" s="281"/>
      <c r="M350" s="280" t="s">
        <v>1940</v>
      </c>
      <c r="N350" s="280" t="s">
        <v>1941</v>
      </c>
      <c r="O350" s="239" t="s">
        <v>1308</v>
      </c>
      <c r="P350" s="282" t="s">
        <v>1602</v>
      </c>
      <c r="Q350" s="283" t="s">
        <v>1942</v>
      </c>
      <c r="R350" s="282" t="s">
        <v>194</v>
      </c>
      <c r="S350" s="283" t="s">
        <v>290</v>
      </c>
    </row>
    <row r="351">
      <c r="A351" s="230">
        <v>351.0</v>
      </c>
      <c r="B351" s="230" t="s">
        <v>257</v>
      </c>
      <c r="C351" s="231"/>
      <c r="D351" s="232"/>
      <c r="E351" s="232">
        <f>IFERROR(__xludf.DUMMYFUNCTION("iferror(SPLIT(D351,""/""),split(""0/0"",""/""))"),0.0)</f>
        <v>0</v>
      </c>
      <c r="F351" s="232">
        <f>IFERROR(__xludf.DUMMYFUNCTION("""COMPUTED_VALUE"""),0.0)</f>
        <v>0</v>
      </c>
      <c r="G351" s="247" t="b">
        <v>0</v>
      </c>
      <c r="H351" s="242" t="str">
        <f t="shared" si="1"/>
        <v/>
      </c>
      <c r="I351" s="249" t="s">
        <v>1943</v>
      </c>
      <c r="J351" s="279" t="str">
        <f t="shared" si="2"/>
        <v>Snipe a Husk from 50 blocks away while riding a Horse (Kill a Husk with a projectile from at least 50 blocks away while you are riding a Horse)</v>
      </c>
      <c r="K351" s="280"/>
      <c r="L351" s="281"/>
      <c r="M351" s="280" t="s">
        <v>1944</v>
      </c>
      <c r="N351" s="280" t="s">
        <v>1945</v>
      </c>
      <c r="O351" s="239" t="s">
        <v>1946</v>
      </c>
      <c r="P351" s="282" t="s">
        <v>1602</v>
      </c>
      <c r="Q351" s="283" t="s">
        <v>1947</v>
      </c>
      <c r="R351" s="282" t="s">
        <v>194</v>
      </c>
      <c r="S351" s="282" t="s">
        <v>1948</v>
      </c>
    </row>
    <row r="352">
      <c r="A352" s="230">
        <v>352.0</v>
      </c>
      <c r="B352" s="230" t="s">
        <v>188</v>
      </c>
      <c r="C352" s="231"/>
      <c r="D352" s="232"/>
      <c r="E352" s="232">
        <f>IFERROR(__xludf.DUMMYFUNCTION("iferror(SPLIT(D352,""/""),split(""0/0"",""/""))"),0.0)</f>
        <v>0</v>
      </c>
      <c r="F352" s="232">
        <f>IFERROR(__xludf.DUMMYFUNCTION("""COMPUTED_VALUE"""),0.0)</f>
        <v>0</v>
      </c>
      <c r="G352" s="247" t="b">
        <v>0</v>
      </c>
      <c r="H352" s="242" t="str">
        <f t="shared" si="1"/>
        <v/>
      </c>
      <c r="I352" s="243" t="s">
        <v>1949</v>
      </c>
      <c r="J352" s="279" t="str">
        <f t="shared" si="2"/>
        <v>Tame a donkey</v>
      </c>
      <c r="K352" s="280"/>
      <c r="L352" s="281"/>
      <c r="M352" s="280"/>
      <c r="N352" s="280" t="s">
        <v>1950</v>
      </c>
      <c r="O352" s="239" t="s">
        <v>832</v>
      </c>
      <c r="P352" s="282" t="s">
        <v>1602</v>
      </c>
      <c r="Q352" s="283" t="s">
        <v>1951</v>
      </c>
      <c r="R352" s="282" t="s">
        <v>194</v>
      </c>
      <c r="S352" s="283"/>
    </row>
    <row r="353">
      <c r="A353" s="230">
        <v>353.0</v>
      </c>
      <c r="B353" s="230" t="s">
        <v>188</v>
      </c>
      <c r="C353" s="231"/>
      <c r="D353" s="232"/>
      <c r="E353" s="232">
        <f>IFERROR(__xludf.DUMMYFUNCTION("iferror(SPLIT(D353,""/""),split(""0/0"",""/""))"),0.0)</f>
        <v>0</v>
      </c>
      <c r="F353" s="232">
        <f>IFERROR(__xludf.DUMMYFUNCTION("""COMPUTED_VALUE"""),0.0)</f>
        <v>0</v>
      </c>
      <c r="G353" s="247" t="b">
        <v>0</v>
      </c>
      <c r="H353" s="242" t="str">
        <f t="shared" si="1"/>
        <v/>
      </c>
      <c r="I353" s="243" t="s">
        <v>1952</v>
      </c>
      <c r="J353" s="279" t="str">
        <f t="shared" si="2"/>
        <v>Breed a horse and a donkey to get a mule</v>
      </c>
      <c r="K353" s="280"/>
      <c r="L353" s="281"/>
      <c r="M353" s="280"/>
      <c r="N353" s="280" t="s">
        <v>1953</v>
      </c>
      <c r="O353" s="239" t="s">
        <v>1319</v>
      </c>
      <c r="P353" s="282" t="s">
        <v>1602</v>
      </c>
      <c r="Q353" s="283" t="s">
        <v>1954</v>
      </c>
      <c r="R353" s="282" t="s">
        <v>194</v>
      </c>
      <c r="S353" s="283"/>
    </row>
    <row r="354">
      <c r="A354" s="230">
        <v>354.0</v>
      </c>
      <c r="B354" s="230" t="s">
        <v>257</v>
      </c>
      <c r="C354" s="231"/>
      <c r="D354" s="232"/>
      <c r="E354" s="232">
        <f>IFERROR(__xludf.DUMMYFUNCTION("iferror(SPLIT(D354,""/""),split(""0/0"",""/""))"),0.0)</f>
        <v>0</v>
      </c>
      <c r="F354" s="232">
        <f>IFERROR(__xludf.DUMMYFUNCTION("""COMPUTED_VALUE"""),0.0)</f>
        <v>0</v>
      </c>
      <c r="G354" s="247" t="b">
        <v>0</v>
      </c>
      <c r="H354" s="242" t="str">
        <f t="shared" si="1"/>
        <v/>
      </c>
      <c r="I354" s="249" t="s">
        <v>1955</v>
      </c>
      <c r="J354" s="279" t="str">
        <f t="shared" si="2"/>
        <v>Tame all horse variants (See requirement notes below)</v>
      </c>
      <c r="K354" s="280"/>
      <c r="L354" s="281"/>
      <c r="M354" s="284" t="s">
        <v>238</v>
      </c>
      <c r="N354" s="280" t="s">
        <v>1956</v>
      </c>
      <c r="O354" s="239" t="s">
        <v>1957</v>
      </c>
      <c r="P354" s="282" t="s">
        <v>1602</v>
      </c>
      <c r="Q354" s="283" t="s">
        <v>1958</v>
      </c>
      <c r="R354" s="282" t="s">
        <v>194</v>
      </c>
      <c r="S354" s="282" t="s">
        <v>1661</v>
      </c>
    </row>
    <row r="355">
      <c r="A355" s="230">
        <v>355.0</v>
      </c>
      <c r="B355" s="230" t="s">
        <v>188</v>
      </c>
      <c r="C355" s="231"/>
      <c r="D355" s="232"/>
      <c r="E355" s="232">
        <f>IFERROR(__xludf.DUMMYFUNCTION("iferror(SPLIT(D355,""/""),split(""0/0"",""/""))"),0.0)</f>
        <v>0</v>
      </c>
      <c r="F355" s="232">
        <f>IFERROR(__xludf.DUMMYFUNCTION("""COMPUTED_VALUE"""),0.0)</f>
        <v>0</v>
      </c>
      <c r="G355" s="247" t="b">
        <v>0</v>
      </c>
      <c r="H355" s="242" t="str">
        <f t="shared" si="1"/>
        <v/>
      </c>
      <c r="I355" s="243" t="s">
        <v>1959</v>
      </c>
      <c r="J355" s="279" t="str">
        <f t="shared" si="2"/>
        <v>Find a Camel in a desert village and ride it</v>
      </c>
      <c r="K355" s="280"/>
      <c r="L355" s="281"/>
      <c r="M355" s="280"/>
      <c r="N355" s="280" t="s">
        <v>1960</v>
      </c>
      <c r="O355" s="239" t="s">
        <v>1961</v>
      </c>
      <c r="P355" s="282" t="s">
        <v>1602</v>
      </c>
      <c r="Q355" s="283" t="s">
        <v>1962</v>
      </c>
      <c r="R355" s="282" t="s">
        <v>194</v>
      </c>
      <c r="S355" s="283"/>
    </row>
    <row r="356">
      <c r="A356" s="230">
        <v>356.0</v>
      </c>
      <c r="B356" s="230" t="s">
        <v>188</v>
      </c>
      <c r="C356" s="231"/>
      <c r="D356" s="232"/>
      <c r="E356" s="232">
        <f>IFERROR(__xludf.DUMMYFUNCTION("iferror(SPLIT(D356,""/""),split(""0/0"",""/""))"),0.0)</f>
        <v>0</v>
      </c>
      <c r="F356" s="232">
        <f>IFERROR(__xludf.DUMMYFUNCTION("""COMPUTED_VALUE"""),0.0)</f>
        <v>0</v>
      </c>
      <c r="G356" s="247" t="b">
        <v>0</v>
      </c>
      <c r="H356" s="242" t="str">
        <f t="shared" si="1"/>
        <v/>
      </c>
      <c r="I356" s="243" t="s">
        <v>1963</v>
      </c>
      <c r="J356" s="279" t="str">
        <f t="shared" si="2"/>
        <v>Breed two Camels using cactus</v>
      </c>
      <c r="K356" s="280" t="s">
        <v>1439</v>
      </c>
      <c r="L356" s="281"/>
      <c r="M356" s="280"/>
      <c r="N356" s="280" t="s">
        <v>1964</v>
      </c>
      <c r="O356" s="239" t="s">
        <v>1448</v>
      </c>
      <c r="P356" s="282" t="s">
        <v>1602</v>
      </c>
      <c r="Q356" s="283" t="s">
        <v>1965</v>
      </c>
      <c r="R356" s="282" t="s">
        <v>194</v>
      </c>
      <c r="S356" s="283"/>
    </row>
    <row r="357">
      <c r="A357" s="230">
        <v>357.0</v>
      </c>
      <c r="B357" s="230" t="s">
        <v>257</v>
      </c>
      <c r="C357" s="231"/>
      <c r="D357" s="232"/>
      <c r="E357" s="232">
        <f>IFERROR(__xludf.DUMMYFUNCTION("iferror(SPLIT(D357,""/""),split(""0/0"",""/""))"),0.0)</f>
        <v>0</v>
      </c>
      <c r="F357" s="232">
        <f>IFERROR(__xludf.DUMMYFUNCTION("""COMPUTED_VALUE"""),0.0)</f>
        <v>0</v>
      </c>
      <c r="G357" s="247" t="b">
        <v>0</v>
      </c>
      <c r="H357" s="242" t="str">
        <f t="shared" si="1"/>
        <v/>
      </c>
      <c r="I357" s="246" t="s">
        <v>1966</v>
      </c>
      <c r="J357" s="279" t="str">
        <f t="shared" si="2"/>
        <v>Kill a hostile monster with a melee attack while riding a Camel (The same mobs as what triggers "Monster Hunter" can be killed for this advancement)</v>
      </c>
      <c r="K357" s="280"/>
      <c r="L357" s="281"/>
      <c r="M357" s="280" t="s">
        <v>1967</v>
      </c>
      <c r="N357" s="280" t="s">
        <v>1968</v>
      </c>
      <c r="O357" s="239" t="s">
        <v>1969</v>
      </c>
      <c r="P357" s="282" t="s">
        <v>1602</v>
      </c>
      <c r="Q357" s="283" t="s">
        <v>1970</v>
      </c>
      <c r="R357" s="282" t="s">
        <v>194</v>
      </c>
      <c r="S357" s="282" t="s">
        <v>1948</v>
      </c>
    </row>
    <row r="358">
      <c r="A358" s="230">
        <v>358.0</v>
      </c>
      <c r="B358" s="230" t="s">
        <v>188</v>
      </c>
      <c r="C358" s="231"/>
      <c r="D358" s="232"/>
      <c r="E358" s="232">
        <f>IFERROR(__xludf.DUMMYFUNCTION("iferror(SPLIT(D358,""/""),split(""0/0"",""/""))"),0.0)</f>
        <v>0</v>
      </c>
      <c r="F358" s="232">
        <f>IFERROR(__xludf.DUMMYFUNCTION("""COMPUTED_VALUE"""),0.0)</f>
        <v>0</v>
      </c>
      <c r="G358" s="247" t="b">
        <v>0</v>
      </c>
      <c r="H358" s="242" t="str">
        <f t="shared" si="1"/>
        <v/>
      </c>
      <c r="I358" s="243" t="s">
        <v>1971</v>
      </c>
      <c r="J358" s="279" t="str">
        <f t="shared" si="2"/>
        <v>Tame a llama (Tame a Llama or Trader Llama)</v>
      </c>
      <c r="K358" s="280"/>
      <c r="L358" s="281"/>
      <c r="M358" s="280" t="s">
        <v>1972</v>
      </c>
      <c r="N358" s="280" t="s">
        <v>1973</v>
      </c>
      <c r="O358" s="239" t="s">
        <v>1974</v>
      </c>
      <c r="P358" s="282" t="s">
        <v>1602</v>
      </c>
      <c r="Q358" s="283" t="s">
        <v>1975</v>
      </c>
      <c r="R358" s="282" t="s">
        <v>194</v>
      </c>
      <c r="S358" s="283"/>
    </row>
    <row r="359">
      <c r="A359" s="230">
        <v>359.0</v>
      </c>
      <c r="B359" s="230" t="s">
        <v>188</v>
      </c>
      <c r="C359" s="231"/>
      <c r="D359" s="232"/>
      <c r="E359" s="232">
        <f>IFERROR(__xludf.DUMMYFUNCTION("iferror(SPLIT(D359,""/""),split(""0/0"",""/""))"),0.0)</f>
        <v>0</v>
      </c>
      <c r="F359" s="232">
        <f>IFERROR(__xludf.DUMMYFUNCTION("""COMPUTED_VALUE"""),0.0)</f>
        <v>0</v>
      </c>
      <c r="G359" s="247" t="b">
        <v>0</v>
      </c>
      <c r="H359" s="242" t="str">
        <f t="shared" si="1"/>
        <v/>
      </c>
      <c r="I359" s="243" t="s">
        <v>1976</v>
      </c>
      <c r="J359" s="279" t="str">
        <f t="shared" si="2"/>
        <v>Breed two llamas with hay (Breed a Llama or Trader Llama)</v>
      </c>
      <c r="K359" s="280" t="s">
        <v>1977</v>
      </c>
      <c r="L359" s="281"/>
      <c r="M359" s="280" t="s">
        <v>1978</v>
      </c>
      <c r="N359" s="280" t="s">
        <v>1979</v>
      </c>
      <c r="O359" s="239" t="s">
        <v>1308</v>
      </c>
      <c r="P359" s="282" t="s">
        <v>1602</v>
      </c>
      <c r="Q359" s="283" t="s">
        <v>1980</v>
      </c>
      <c r="R359" s="282" t="s">
        <v>194</v>
      </c>
      <c r="S359" s="283"/>
    </row>
    <row r="360">
      <c r="A360" s="230">
        <v>360.0</v>
      </c>
      <c r="B360" s="230" t="s">
        <v>257</v>
      </c>
      <c r="C360" s="231"/>
      <c r="D360" s="232"/>
      <c r="E360" s="232">
        <f>IFERROR(__xludf.DUMMYFUNCTION("iferror(SPLIT(D360,""/""),split(""0/0"",""/""))"),0.0)</f>
        <v>0</v>
      </c>
      <c r="F360" s="232">
        <f>IFERROR(__xludf.DUMMYFUNCTION("""COMPUTED_VALUE"""),0.0)</f>
        <v>0</v>
      </c>
      <c r="G360" s="247" t="b">
        <v>0</v>
      </c>
      <c r="H360" s="242" t="str">
        <f t="shared" si="1"/>
        <v/>
      </c>
      <c r="I360" s="246" t="s">
        <v>1981</v>
      </c>
      <c r="J360" s="279" t="str">
        <f t="shared" si="2"/>
        <v>Tame all llama variants (You have to tame: Creamy, White, Brown and Gray Llamas OR Trader Llamas)</v>
      </c>
      <c r="K360" s="280"/>
      <c r="L360" s="281"/>
      <c r="M360" s="280" t="s">
        <v>1982</v>
      </c>
      <c r="N360" s="280" t="s">
        <v>1983</v>
      </c>
      <c r="O360" s="239" t="s">
        <v>1984</v>
      </c>
      <c r="P360" s="282" t="s">
        <v>1602</v>
      </c>
      <c r="Q360" s="283" t="s">
        <v>1985</v>
      </c>
      <c r="R360" s="282" t="s">
        <v>194</v>
      </c>
      <c r="S360" s="282" t="s">
        <v>1661</v>
      </c>
    </row>
    <row r="361">
      <c r="A361" s="230">
        <v>361.0</v>
      </c>
      <c r="B361" s="230" t="s">
        <v>257</v>
      </c>
      <c r="C361" s="231"/>
      <c r="D361" s="232"/>
      <c r="E361" s="232">
        <f>IFERROR(__xludf.DUMMYFUNCTION("iferror(SPLIT(D361,""/""),split(""0/0"",""/""))"),0.0)</f>
        <v>0</v>
      </c>
      <c r="F361" s="232">
        <f>IFERROR(__xludf.DUMMYFUNCTION("""COMPUTED_VALUE"""),0.0)</f>
        <v>0</v>
      </c>
      <c r="G361" s="247" t="b">
        <v>0</v>
      </c>
      <c r="H361" s="242" t="str">
        <f t="shared" si="1"/>
        <v/>
      </c>
      <c r="I361" s="246" t="s">
        <v>1986</v>
      </c>
      <c r="J361" s="279" t="str">
        <f t="shared" si="2"/>
        <v>Sit on Llamas with all 16 colors of carpet. Getting off will reset your progress (This works with either Llamas or Trader Llamas)</v>
      </c>
      <c r="K361" s="280"/>
      <c r="L361" s="281"/>
      <c r="M361" s="280" t="s">
        <v>1987</v>
      </c>
      <c r="N361" s="280" t="s">
        <v>1988</v>
      </c>
      <c r="O361" s="239" t="s">
        <v>1989</v>
      </c>
      <c r="P361" s="282" t="s">
        <v>1602</v>
      </c>
      <c r="Q361" s="283" t="s">
        <v>1990</v>
      </c>
      <c r="R361" s="282" t="s">
        <v>194</v>
      </c>
      <c r="S361" s="283" t="s">
        <v>1991</v>
      </c>
    </row>
    <row r="362">
      <c r="A362" s="230">
        <v>362.0</v>
      </c>
      <c r="B362" s="230" t="s">
        <v>257</v>
      </c>
      <c r="C362" s="231"/>
      <c r="D362" s="232"/>
      <c r="E362" s="232">
        <f>IFERROR(__xludf.DUMMYFUNCTION("iferror(SPLIT(D362,""/""),split(""0/0"",""/""))"),0.0)</f>
        <v>0</v>
      </c>
      <c r="F362" s="232">
        <f>IFERROR(__xludf.DUMMYFUNCTION("""COMPUTED_VALUE"""),0.0)</f>
        <v>0</v>
      </c>
      <c r="G362" s="233" t="b">
        <v>0</v>
      </c>
      <c r="H362" s="242" t="str">
        <f t="shared" si="1"/>
        <v/>
      </c>
      <c r="I362" s="249" t="s">
        <v>1992</v>
      </c>
      <c r="J362" s="279" t="str">
        <f t="shared" si="2"/>
        <v>Tame a llama with a strength of 5 (Tame a Llama or Trader Llama with a strength of 5)</v>
      </c>
      <c r="K362" s="280" t="s">
        <v>1993</v>
      </c>
      <c r="L362" s="281"/>
      <c r="M362" s="280" t="s">
        <v>1994</v>
      </c>
      <c r="N362" s="280" t="s">
        <v>1995</v>
      </c>
      <c r="O362" s="239" t="s">
        <v>1996</v>
      </c>
      <c r="P362" s="282" t="s">
        <v>1602</v>
      </c>
      <c r="Q362" s="283" t="s">
        <v>1997</v>
      </c>
      <c r="R362" s="282" t="s">
        <v>194</v>
      </c>
      <c r="S362" s="283" t="s">
        <v>1343</v>
      </c>
    </row>
    <row r="363">
      <c r="A363" s="230">
        <v>363.0</v>
      </c>
      <c r="B363" s="230" t="s">
        <v>188</v>
      </c>
      <c r="C363" s="231"/>
      <c r="D363" s="232"/>
      <c r="E363" s="232">
        <f>IFERROR(__xludf.DUMMYFUNCTION("iferror(SPLIT(D363,""/""),split(""0/0"",""/""))"),0.0)</f>
        <v>0</v>
      </c>
      <c r="F363" s="232">
        <f>IFERROR(__xludf.DUMMYFUNCTION("""COMPUTED_VALUE"""),0.0)</f>
        <v>0</v>
      </c>
      <c r="G363" s="247" t="b">
        <v>0</v>
      </c>
      <c r="H363" s="242" t="str">
        <f t="shared" si="1"/>
        <v/>
      </c>
      <c r="I363" s="243" t="s">
        <v>1998</v>
      </c>
      <c r="J363" s="279" t="str">
        <f t="shared" si="2"/>
        <v>Get spat at by a llama (Get damaged by a llama spitting at you)</v>
      </c>
      <c r="K363" s="280"/>
      <c r="L363" s="281"/>
      <c r="M363" s="280" t="s">
        <v>1999</v>
      </c>
      <c r="N363" s="280" t="s">
        <v>2000</v>
      </c>
      <c r="O363" s="239" t="s">
        <v>2001</v>
      </c>
      <c r="P363" s="282" t="s">
        <v>1602</v>
      </c>
      <c r="Q363" s="283" t="s">
        <v>2002</v>
      </c>
      <c r="R363" s="282" t="s">
        <v>194</v>
      </c>
      <c r="S363" s="283"/>
    </row>
    <row r="364">
      <c r="A364" s="230">
        <v>364.0</v>
      </c>
      <c r="B364" s="230" t="s">
        <v>188</v>
      </c>
      <c r="C364" s="231"/>
      <c r="D364" s="232"/>
      <c r="E364" s="232">
        <f>IFERROR(__xludf.DUMMYFUNCTION("iferror(SPLIT(D364,""/""),split(""0/0"",""/""))"),0.0)</f>
        <v>0</v>
      </c>
      <c r="F364" s="232">
        <f>IFERROR(__xludf.DUMMYFUNCTION("""COMPUTED_VALUE"""),0.0)</f>
        <v>0</v>
      </c>
      <c r="G364" s="247" t="b">
        <v>0</v>
      </c>
      <c r="H364" s="242" t="str">
        <f t="shared" si="1"/>
        <v/>
      </c>
      <c r="I364" s="243" t="s">
        <v>2003</v>
      </c>
      <c r="J364" s="279" t="str">
        <f t="shared" si="2"/>
        <v>Craft a lead using string and a slimeball, then attach it to a mob (Right-click a mob that can be leashed with a lead)</v>
      </c>
      <c r="K364" s="280" t="s">
        <v>2004</v>
      </c>
      <c r="L364" s="281"/>
      <c r="M364" s="280" t="s">
        <v>2005</v>
      </c>
      <c r="N364" s="280" t="s">
        <v>2006</v>
      </c>
      <c r="O364" s="239" t="s">
        <v>2007</v>
      </c>
      <c r="P364" s="282" t="s">
        <v>1602</v>
      </c>
      <c r="Q364" s="283" t="s">
        <v>2008</v>
      </c>
      <c r="R364" s="282" t="s">
        <v>194</v>
      </c>
      <c r="S364" s="283"/>
    </row>
    <row r="365">
      <c r="A365" s="230">
        <v>365.0</v>
      </c>
      <c r="B365" s="230" t="s">
        <v>188</v>
      </c>
      <c r="C365" s="231"/>
      <c r="D365" s="232"/>
      <c r="E365" s="232">
        <f>IFERROR(__xludf.DUMMYFUNCTION("iferror(SPLIT(D365,""/""),split(""0/0"",""/""))"),0.0)</f>
        <v>0</v>
      </c>
      <c r="F365" s="232">
        <f>IFERROR(__xludf.DUMMYFUNCTION("""COMPUTED_VALUE"""),0.0)</f>
        <v>0</v>
      </c>
      <c r="G365" s="247" t="b">
        <v>0</v>
      </c>
      <c r="H365" s="242" t="str">
        <f t="shared" si="1"/>
        <v/>
      </c>
      <c r="I365" s="243" t="s">
        <v>2009</v>
      </c>
      <c r="J365" s="279" t="str">
        <f t="shared" si="2"/>
        <v>Attach a lead to a bee</v>
      </c>
      <c r="K365" s="280" t="s">
        <v>2004</v>
      </c>
      <c r="L365" s="281"/>
      <c r="M365" s="280"/>
      <c r="N365" s="280" t="s">
        <v>2010</v>
      </c>
      <c r="O365" s="239" t="s">
        <v>501</v>
      </c>
      <c r="P365" s="282" t="s">
        <v>1602</v>
      </c>
      <c r="Q365" s="283" t="s">
        <v>2011</v>
      </c>
      <c r="R365" s="282" t="s">
        <v>194</v>
      </c>
      <c r="S365" s="283"/>
    </row>
    <row r="366">
      <c r="A366" s="230">
        <v>366.0</v>
      </c>
      <c r="B366" s="230" t="s">
        <v>188</v>
      </c>
      <c r="C366" s="231"/>
      <c r="D366" s="232"/>
      <c r="E366" s="232">
        <f>IFERROR(__xludf.DUMMYFUNCTION("iferror(SPLIT(D366,""/""),split(""0/0"",""/""))"),0.0)</f>
        <v>0</v>
      </c>
      <c r="F366" s="232">
        <f>IFERROR(__xludf.DUMMYFUNCTION("""COMPUTED_VALUE"""),0.0)</f>
        <v>0</v>
      </c>
      <c r="G366" s="247" t="b">
        <v>0</v>
      </c>
      <c r="H366" s="242" t="str">
        <f t="shared" si="1"/>
        <v/>
      </c>
      <c r="I366" s="243" t="s">
        <v>2012</v>
      </c>
      <c r="J366" s="279" t="str">
        <f t="shared" si="2"/>
        <v>Attach a lead to a llama to form a llama caravan</v>
      </c>
      <c r="K366" s="280"/>
      <c r="L366" s="281"/>
      <c r="M366" s="280"/>
      <c r="N366" s="280" t="s">
        <v>2013</v>
      </c>
      <c r="O366" s="239" t="s">
        <v>2014</v>
      </c>
      <c r="P366" s="282" t="s">
        <v>1602</v>
      </c>
      <c r="Q366" s="283" t="s">
        <v>2015</v>
      </c>
      <c r="R366" s="282" t="s">
        <v>194</v>
      </c>
      <c r="S366" s="283"/>
    </row>
    <row r="367">
      <c r="A367" s="230">
        <v>367.0</v>
      </c>
      <c r="B367" s="230" t="s">
        <v>257</v>
      </c>
      <c r="C367" s="231"/>
      <c r="D367" s="232"/>
      <c r="E367" s="232">
        <f>IFERROR(__xludf.DUMMYFUNCTION("iferror(SPLIT(D367,""/""),split(""0/0"",""/""))"),0.0)</f>
        <v>0</v>
      </c>
      <c r="F367" s="232">
        <f>IFERROR(__xludf.DUMMYFUNCTION("""COMPUTED_VALUE"""),0.0)</f>
        <v>0</v>
      </c>
      <c r="G367" s="247" t="b">
        <v>0</v>
      </c>
      <c r="H367" s="242" t="str">
        <f t="shared" si="1"/>
        <v/>
      </c>
      <c r="I367" s="249" t="s">
        <v>2016</v>
      </c>
      <c r="J367" s="279" t="str">
        <f t="shared" si="2"/>
        <v>Attach a lead to every mob that can be leashed (See requirement notes below)</v>
      </c>
      <c r="K367" s="280" t="s">
        <v>2017</v>
      </c>
      <c r="L367" s="281"/>
      <c r="M367" s="284" t="s">
        <v>238</v>
      </c>
      <c r="N367" s="280" t="s">
        <v>2018</v>
      </c>
      <c r="O367" s="239" t="s">
        <v>299</v>
      </c>
      <c r="P367" s="282" t="s">
        <v>1602</v>
      </c>
      <c r="Q367" s="283" t="s">
        <v>2019</v>
      </c>
      <c r="R367" s="282" t="s">
        <v>194</v>
      </c>
      <c r="S367" s="283" t="s">
        <v>267</v>
      </c>
    </row>
    <row r="368">
      <c r="A368" s="230">
        <v>368.0</v>
      </c>
      <c r="B368" s="230" t="s">
        <v>188</v>
      </c>
      <c r="C368" s="231"/>
      <c r="D368" s="232"/>
      <c r="E368" s="232">
        <f>IFERROR(__xludf.DUMMYFUNCTION("iferror(SPLIT(D368,""/""),split(""0/0"",""/""))"),0.0)</f>
        <v>0</v>
      </c>
      <c r="F368" s="232">
        <f>IFERROR(__xludf.DUMMYFUNCTION("""COMPUTED_VALUE"""),0.0)</f>
        <v>0</v>
      </c>
      <c r="G368" s="247" t="b">
        <v>0</v>
      </c>
      <c r="H368" s="242" t="str">
        <f t="shared" si="1"/>
        <v/>
      </c>
      <c r="I368" s="251" t="s">
        <v>2020</v>
      </c>
      <c r="J368" s="279" t="str">
        <f t="shared" si="2"/>
        <v>Befriend a wolf (Tame a wolf)</v>
      </c>
      <c r="K368" s="280" t="s">
        <v>2021</v>
      </c>
      <c r="L368" s="281"/>
      <c r="M368" s="280" t="s">
        <v>2022</v>
      </c>
      <c r="N368" s="280" t="s">
        <v>2023</v>
      </c>
      <c r="O368" s="239" t="s">
        <v>2024</v>
      </c>
      <c r="P368" s="282" t="s">
        <v>1602</v>
      </c>
      <c r="Q368" s="283" t="s">
        <v>2025</v>
      </c>
      <c r="R368" s="282" t="s">
        <v>194</v>
      </c>
      <c r="S368" s="283"/>
    </row>
    <row r="369">
      <c r="A369" s="230">
        <v>369.0</v>
      </c>
      <c r="B369" s="230" t="s">
        <v>188</v>
      </c>
      <c r="C369" s="231"/>
      <c r="D369" s="232"/>
      <c r="E369" s="232">
        <f>IFERROR(__xludf.DUMMYFUNCTION("iferror(SPLIT(D369,""/""),split(""0/0"",""/""))"),0.0)</f>
        <v>0</v>
      </c>
      <c r="F369" s="232">
        <f>IFERROR(__xludf.DUMMYFUNCTION("""COMPUTED_VALUE"""),0.0)</f>
        <v>0</v>
      </c>
      <c r="G369" s="247" t="b">
        <v>0</v>
      </c>
      <c r="H369" s="242" t="str">
        <f t="shared" si="1"/>
        <v/>
      </c>
      <c r="I369" s="243" t="s">
        <v>2026</v>
      </c>
      <c r="J369" s="279" t="str">
        <f t="shared" si="2"/>
        <v>Breed two wolves together to get a puppy!</v>
      </c>
      <c r="K369" s="280" t="s">
        <v>2027</v>
      </c>
      <c r="L369" s="281"/>
      <c r="M369" s="280"/>
      <c r="N369" s="280" t="s">
        <v>2028</v>
      </c>
      <c r="O369" s="239" t="s">
        <v>2029</v>
      </c>
      <c r="P369" s="282" t="s">
        <v>1602</v>
      </c>
      <c r="Q369" s="283" t="s">
        <v>2030</v>
      </c>
      <c r="R369" s="282" t="s">
        <v>194</v>
      </c>
      <c r="S369" s="283"/>
    </row>
    <row r="370">
      <c r="A370" s="230">
        <v>370.0</v>
      </c>
      <c r="B370" s="230" t="s">
        <v>188</v>
      </c>
      <c r="C370" s="231"/>
      <c r="D370" s="232"/>
      <c r="E370" s="232">
        <f>IFERROR(__xludf.DUMMYFUNCTION("iferror(SPLIT(D370,""/""),split(""0/0"",""/""))"),0.0)</f>
        <v>0</v>
      </c>
      <c r="F370" s="232">
        <f>IFERROR(__xludf.DUMMYFUNCTION("""COMPUTED_VALUE"""),0.0)</f>
        <v>0</v>
      </c>
      <c r="G370" s="233" t="b">
        <v>0</v>
      </c>
      <c r="H370" s="242" t="str">
        <f t="shared" si="1"/>
        <v/>
      </c>
      <c r="I370" s="243" t="s">
        <v>2031</v>
      </c>
      <c r="J370" s="279" t="str">
        <f t="shared" si="2"/>
        <v>Brush an Armadillo to get Armadillo Scutes (Use a Brush on an Armadillo)</v>
      </c>
      <c r="K370" s="280" t="s">
        <v>2032</v>
      </c>
      <c r="L370" s="281"/>
      <c r="M370" s="280" t="s">
        <v>2033</v>
      </c>
      <c r="N370" s="280" t="s">
        <v>2034</v>
      </c>
      <c r="O370" s="239" t="s">
        <v>2035</v>
      </c>
      <c r="P370" s="282" t="s">
        <v>1602</v>
      </c>
      <c r="Q370" s="283" t="s">
        <v>2036</v>
      </c>
      <c r="R370" s="282" t="s">
        <v>194</v>
      </c>
      <c r="S370" s="283"/>
    </row>
    <row r="371">
      <c r="A371" s="230">
        <v>371.0</v>
      </c>
      <c r="B371" s="230" t="s">
        <v>188</v>
      </c>
      <c r="C371" s="231"/>
      <c r="D371" s="232"/>
      <c r="E371" s="232">
        <f>IFERROR(__xludf.DUMMYFUNCTION("iferror(SPLIT(D371,""/""),split(""0/0"",""/""))"),0.0)</f>
        <v>0</v>
      </c>
      <c r="F371" s="232">
        <f>IFERROR(__xludf.DUMMYFUNCTION("""COMPUTED_VALUE"""),0.0)</f>
        <v>0</v>
      </c>
      <c r="G371" s="247" t="b">
        <v>0</v>
      </c>
      <c r="H371" s="242" t="str">
        <f t="shared" si="1"/>
        <v/>
      </c>
      <c r="I371" s="243" t="s">
        <v>2037</v>
      </c>
      <c r="J371" s="279" t="str">
        <f t="shared" si="2"/>
        <v>Breed two Armadillos using Spider Eyes</v>
      </c>
      <c r="K371" s="280" t="s">
        <v>2038</v>
      </c>
      <c r="L371" s="281"/>
      <c r="M371" s="280"/>
      <c r="N371" s="280" t="s">
        <v>2039</v>
      </c>
      <c r="O371" s="239" t="s">
        <v>2040</v>
      </c>
      <c r="P371" s="282" t="s">
        <v>1602</v>
      </c>
      <c r="Q371" s="283" t="s">
        <v>2041</v>
      </c>
      <c r="R371" s="282" t="s">
        <v>194</v>
      </c>
      <c r="S371" s="283"/>
    </row>
    <row r="372">
      <c r="A372" s="230">
        <v>372.0</v>
      </c>
      <c r="B372" s="230" t="s">
        <v>188</v>
      </c>
      <c r="C372" s="231"/>
      <c r="D372" s="232"/>
      <c r="E372" s="232">
        <f>IFERROR(__xludf.DUMMYFUNCTION("iferror(SPLIT(D372,""/""),split(""0/0"",""/""))"),0.0)</f>
        <v>0</v>
      </c>
      <c r="F372" s="232">
        <f>IFERROR(__xludf.DUMMYFUNCTION("""COMPUTED_VALUE"""),0.0)</f>
        <v>0</v>
      </c>
      <c r="G372" s="247" t="b">
        <v>0</v>
      </c>
      <c r="H372" s="242" t="str">
        <f t="shared" si="1"/>
        <v/>
      </c>
      <c r="I372" s="243" t="s">
        <v>2042</v>
      </c>
      <c r="J372" s="279" t="str">
        <f t="shared" si="2"/>
        <v>Equip your canine best friend with Wolf Armor (Place Wolf Armor on a wolf)</v>
      </c>
      <c r="K372" s="280"/>
      <c r="L372" s="281"/>
      <c r="M372" s="280" t="s">
        <v>2043</v>
      </c>
      <c r="N372" s="280" t="s">
        <v>2044</v>
      </c>
      <c r="O372" s="239" t="s">
        <v>2045</v>
      </c>
      <c r="P372" s="282" t="s">
        <v>1602</v>
      </c>
      <c r="Q372" s="283" t="s">
        <v>2046</v>
      </c>
      <c r="R372" s="282" t="s">
        <v>194</v>
      </c>
      <c r="S372" s="283"/>
    </row>
    <row r="373">
      <c r="A373" s="230">
        <v>373.0</v>
      </c>
      <c r="B373" s="230" t="s">
        <v>257</v>
      </c>
      <c r="C373" s="231"/>
      <c r="D373" s="232"/>
      <c r="E373" s="232">
        <f>IFERROR(__xludf.DUMMYFUNCTION("iferror(SPLIT(D373,""/""),split(""0/0"",""/""))"),0.0)</f>
        <v>0</v>
      </c>
      <c r="F373" s="232">
        <f>IFERROR(__xludf.DUMMYFUNCTION("""COMPUTED_VALUE"""),0.0)</f>
        <v>0</v>
      </c>
      <c r="G373" s="247" t="b">
        <v>0</v>
      </c>
      <c r="H373" s="242" t="str">
        <f t="shared" si="1"/>
        <v/>
      </c>
      <c r="I373" s="243" t="s">
        <v>2047</v>
      </c>
      <c r="J373" s="279" t="str">
        <f t="shared" si="2"/>
        <v>Repair damaged Wolf Armor using Armadillo Scutes</v>
      </c>
      <c r="K373" s="280" t="s">
        <v>2032</v>
      </c>
      <c r="L373" s="281"/>
      <c r="M373" s="280"/>
      <c r="N373" s="280" t="s">
        <v>2048</v>
      </c>
      <c r="O373" s="239" t="s">
        <v>2049</v>
      </c>
      <c r="P373" s="282" t="s">
        <v>1602</v>
      </c>
      <c r="Q373" s="283" t="s">
        <v>2050</v>
      </c>
      <c r="R373" s="282" t="s">
        <v>194</v>
      </c>
      <c r="S373" s="283"/>
    </row>
    <row r="374">
      <c r="A374" s="230">
        <v>374.0</v>
      </c>
      <c r="B374" s="230" t="s">
        <v>257</v>
      </c>
      <c r="C374" s="231"/>
      <c r="D374" s="232"/>
      <c r="E374" s="232">
        <f>IFERROR(__xludf.DUMMYFUNCTION("iferror(SPLIT(D374,""/""),split(""0/0"",""/""))"),0.0)</f>
        <v>0</v>
      </c>
      <c r="F374" s="232">
        <f>IFERROR(__xludf.DUMMYFUNCTION("""COMPUTED_VALUE"""),0.0)</f>
        <v>0</v>
      </c>
      <c r="G374" s="247" t="b">
        <v>0</v>
      </c>
      <c r="H374" s="242" t="str">
        <f t="shared" si="1"/>
        <v/>
      </c>
      <c r="I374" s="243" t="s">
        <v>2051</v>
      </c>
      <c r="J374" s="279" t="str">
        <f t="shared" si="2"/>
        <v>Remove Wolf Armor from a Wolf using Shears</v>
      </c>
      <c r="K374" s="280"/>
      <c r="L374" s="281"/>
      <c r="M374" s="280"/>
      <c r="N374" s="280" t="s">
        <v>2052</v>
      </c>
      <c r="O374" s="239" t="s">
        <v>592</v>
      </c>
      <c r="P374" s="282" t="s">
        <v>1602</v>
      </c>
      <c r="Q374" s="283" t="s">
        <v>2053</v>
      </c>
      <c r="R374" s="282" t="s">
        <v>194</v>
      </c>
      <c r="S374" s="283"/>
    </row>
    <row r="375">
      <c r="A375" s="230">
        <v>375.0</v>
      </c>
      <c r="B375" s="230" t="s">
        <v>257</v>
      </c>
      <c r="C375" s="231"/>
      <c r="D375" s="232"/>
      <c r="E375" s="232">
        <f>IFERROR(__xludf.DUMMYFUNCTION("iferror(SPLIT(D375,""/""),split(""0/0"",""/""))"),0.0)</f>
        <v>0</v>
      </c>
      <c r="F375" s="232">
        <f>IFERROR(__xludf.DUMMYFUNCTION("""COMPUTED_VALUE"""),0.0)</f>
        <v>0</v>
      </c>
      <c r="G375" s="247" t="b">
        <v>0</v>
      </c>
      <c r="H375" s="242" t="str">
        <f t="shared" si="1"/>
        <v/>
      </c>
      <c r="I375" s="246" t="s">
        <v>2054</v>
      </c>
      <c r="J375" s="279" t="str">
        <f t="shared" si="2"/>
        <v>Equip Wolves with Wolf Armor dyed blue, red, yellow, lime, pink and orange (Place Wolf Armor of each colour on wolves)</v>
      </c>
      <c r="K375" s="280" t="s">
        <v>2055</v>
      </c>
      <c r="L375" s="281"/>
      <c r="M375" s="280" t="s">
        <v>2056</v>
      </c>
      <c r="N375" s="280" t="s">
        <v>2057</v>
      </c>
      <c r="O375" s="239" t="s">
        <v>2045</v>
      </c>
      <c r="P375" s="282" t="s">
        <v>1602</v>
      </c>
      <c r="Q375" s="283" t="s">
        <v>2058</v>
      </c>
      <c r="R375" s="282" t="s">
        <v>194</v>
      </c>
      <c r="S375" s="283"/>
    </row>
    <row r="376">
      <c r="A376" s="230">
        <v>376.0</v>
      </c>
      <c r="B376" s="230" t="s">
        <v>257</v>
      </c>
      <c r="C376" s="231"/>
      <c r="D376" s="232"/>
      <c r="E376" s="232">
        <f>IFERROR(__xludf.DUMMYFUNCTION("iferror(SPLIT(D376,""/""),split(""0/0"",""/""))"),0.0)</f>
        <v>0</v>
      </c>
      <c r="F376" s="232">
        <f>IFERROR(__xludf.DUMMYFUNCTION("""COMPUTED_VALUE"""),0.0)</f>
        <v>0</v>
      </c>
      <c r="G376" s="247" t="b">
        <v>0</v>
      </c>
      <c r="H376" s="242" t="str">
        <f t="shared" si="1"/>
        <v/>
      </c>
      <c r="I376" s="249" t="s">
        <v>2059</v>
      </c>
      <c r="J376" s="279" t="str">
        <f t="shared" si="2"/>
        <v>Tame one of each Wolf variant (Tame the wolf variants: Ashen, Black, Chestnut, Pale, Rusty, Snowy, Spotted, Striped and Woods)</v>
      </c>
      <c r="K376" s="280"/>
      <c r="L376" s="281"/>
      <c r="M376" s="280" t="s">
        <v>2060</v>
      </c>
      <c r="N376" s="280" t="s">
        <v>2061</v>
      </c>
      <c r="O376" s="239" t="s">
        <v>2024</v>
      </c>
      <c r="P376" s="282" t="s">
        <v>1602</v>
      </c>
      <c r="Q376" s="283" t="s">
        <v>2062</v>
      </c>
      <c r="R376" s="282" t="s">
        <v>194</v>
      </c>
      <c r="S376" s="282" t="s">
        <v>1661</v>
      </c>
    </row>
    <row r="377">
      <c r="A377" s="230">
        <v>377.0</v>
      </c>
      <c r="B377" s="230" t="s">
        <v>188</v>
      </c>
      <c r="C377" s="231"/>
      <c r="D377" s="232"/>
      <c r="E377" s="232">
        <f>IFERROR(__xludf.DUMMYFUNCTION("iferror(SPLIT(D377,""/""),split(""0/0"",""/""))"),0.0)</f>
        <v>0</v>
      </c>
      <c r="F377" s="232">
        <f>IFERROR(__xludf.DUMMYFUNCTION("""COMPUTED_VALUE"""),0.0)</f>
        <v>0</v>
      </c>
      <c r="G377" s="233" t="b">
        <v>0</v>
      </c>
      <c r="H377" s="242" t="str">
        <f t="shared" si="1"/>
        <v/>
      </c>
      <c r="I377" s="243" t="s">
        <v>2063</v>
      </c>
      <c r="J377" s="279" t="str">
        <f t="shared" si="2"/>
        <v>Breed two red foxes with sweet berries</v>
      </c>
      <c r="K377" s="280"/>
      <c r="L377" s="281"/>
      <c r="M377" s="280"/>
      <c r="N377" s="280" t="s">
        <v>2064</v>
      </c>
      <c r="O377" s="239" t="s">
        <v>2065</v>
      </c>
      <c r="P377" s="282" t="s">
        <v>1602</v>
      </c>
      <c r="Q377" s="283" t="s">
        <v>2066</v>
      </c>
      <c r="R377" s="282" t="s">
        <v>194</v>
      </c>
      <c r="S377" s="283"/>
    </row>
    <row r="378">
      <c r="A378" s="230">
        <v>378.0</v>
      </c>
      <c r="B378" s="230" t="s">
        <v>257</v>
      </c>
      <c r="C378" s="231"/>
      <c r="D378" s="232"/>
      <c r="E378" s="232">
        <f>IFERROR(__xludf.DUMMYFUNCTION("iferror(SPLIT(D378,""/""),split(""0/0"",""/""))"),0.0)</f>
        <v>0</v>
      </c>
      <c r="F378" s="232">
        <f>IFERROR(__xludf.DUMMYFUNCTION("""COMPUTED_VALUE"""),0.0)</f>
        <v>0</v>
      </c>
      <c r="G378" s="247" t="b">
        <v>0</v>
      </c>
      <c r="H378" s="242" t="str">
        <f t="shared" si="1"/>
        <v/>
      </c>
      <c r="I378" s="243" t="s">
        <v>2067</v>
      </c>
      <c r="J378" s="279" t="str">
        <f t="shared" si="2"/>
        <v>Breed two snow foxes with sweet berries</v>
      </c>
      <c r="K378" s="280"/>
      <c r="L378" s="281"/>
      <c r="M378" s="280"/>
      <c r="N378" s="280" t="s">
        <v>2068</v>
      </c>
      <c r="O378" s="239" t="s">
        <v>1509</v>
      </c>
      <c r="P378" s="282" t="s">
        <v>1602</v>
      </c>
      <c r="Q378" s="283" t="s">
        <v>2069</v>
      </c>
      <c r="R378" s="282" t="s">
        <v>194</v>
      </c>
      <c r="S378" s="283" t="s">
        <v>1343</v>
      </c>
    </row>
    <row r="379">
      <c r="A379" s="230">
        <v>379.0</v>
      </c>
      <c r="B379" s="230" t="s">
        <v>257</v>
      </c>
      <c r="C379" s="231"/>
      <c r="D379" s="232"/>
      <c r="E379" s="232">
        <f>IFERROR(__xludf.DUMMYFUNCTION("iferror(SPLIT(D379,""/""),split(""0/0"",""/""))"),0.0)</f>
        <v>0</v>
      </c>
      <c r="F379" s="232">
        <f>IFERROR(__xludf.DUMMYFUNCTION("""COMPUTED_VALUE"""),0.0)</f>
        <v>0</v>
      </c>
      <c r="G379" s="247" t="b">
        <v>0</v>
      </c>
      <c r="H379" s="242" t="str">
        <f t="shared" si="1"/>
        <v/>
      </c>
      <c r="I379" s="246" t="s">
        <v>2070</v>
      </c>
      <c r="J379" s="279" t="str">
        <f t="shared" si="2"/>
        <v>Trade some sweet berries to a Fox with an emerald in their mouth (Have a fox with an Emerald in its mouth pick up Sweet Berries that you dropped)</v>
      </c>
      <c r="K379" s="280" t="s">
        <v>1858</v>
      </c>
      <c r="L379" s="281"/>
      <c r="M379" s="280" t="s">
        <v>2071</v>
      </c>
      <c r="N379" s="280" t="s">
        <v>2072</v>
      </c>
      <c r="O379" s="239" t="s">
        <v>2073</v>
      </c>
      <c r="P379" s="282" t="s">
        <v>1602</v>
      </c>
      <c r="Q379" s="283" t="s">
        <v>2074</v>
      </c>
      <c r="R379" s="282" t="s">
        <v>194</v>
      </c>
      <c r="S379" s="282" t="s">
        <v>1948</v>
      </c>
    </row>
    <row r="380">
      <c r="A380" s="230">
        <v>380.0</v>
      </c>
      <c r="B380" s="230" t="s">
        <v>257</v>
      </c>
      <c r="C380" s="231"/>
      <c r="D380" s="232"/>
      <c r="E380" s="232">
        <f>IFERROR(__xludf.DUMMYFUNCTION("iferror(SPLIT(D380,""/""),split(""0/0"",""/""))"),0.0)</f>
        <v>0</v>
      </c>
      <c r="F380" s="232">
        <f>IFERROR(__xludf.DUMMYFUNCTION("""COMPUTED_VALUE"""),0.0)</f>
        <v>0</v>
      </c>
      <c r="G380" s="247" t="b">
        <v>0</v>
      </c>
      <c r="H380" s="242" t="str">
        <f t="shared" si="1"/>
        <v/>
      </c>
      <c r="I380" s="246" t="s">
        <v>2075</v>
      </c>
      <c r="J380" s="279" t="str">
        <f t="shared" si="2"/>
        <v>Give a fox a Totem of Undying (Have a fox pick up a Totem of Undying that you dropped)</v>
      </c>
      <c r="K380" s="280"/>
      <c r="L380" s="281"/>
      <c r="M380" s="280" t="s">
        <v>2076</v>
      </c>
      <c r="N380" s="280" t="s">
        <v>2077</v>
      </c>
      <c r="O380" s="239" t="s">
        <v>2078</v>
      </c>
      <c r="P380" s="282" t="s">
        <v>1602</v>
      </c>
      <c r="Q380" s="283" t="s">
        <v>2079</v>
      </c>
      <c r="R380" s="282" t="s">
        <v>194</v>
      </c>
      <c r="S380" s="282" t="s">
        <v>1948</v>
      </c>
    </row>
    <row r="381">
      <c r="A381" s="230">
        <v>381.0</v>
      </c>
      <c r="B381" s="230" t="s">
        <v>188</v>
      </c>
      <c r="C381" s="231"/>
      <c r="D381" s="232"/>
      <c r="E381" s="232">
        <f>IFERROR(__xludf.DUMMYFUNCTION("iferror(SPLIT(D381,""/""),split(""0/0"",""/""))"),0.0)</f>
        <v>0</v>
      </c>
      <c r="F381" s="232">
        <f>IFERROR(__xludf.DUMMYFUNCTION("""COMPUTED_VALUE"""),0.0)</f>
        <v>0</v>
      </c>
      <c r="G381" s="247" t="b">
        <v>0</v>
      </c>
      <c r="H381" s="242" t="str">
        <f t="shared" si="1"/>
        <v/>
      </c>
      <c r="I381" s="243" t="s">
        <v>2080</v>
      </c>
      <c r="J381" s="279" t="str">
        <f t="shared" si="2"/>
        <v>Breed two Frogs together using slimeballs</v>
      </c>
      <c r="K381" s="280" t="s">
        <v>2081</v>
      </c>
      <c r="L381" s="281"/>
      <c r="M381" s="280"/>
      <c r="N381" s="280" t="s">
        <v>2082</v>
      </c>
      <c r="O381" s="239" t="s">
        <v>2083</v>
      </c>
      <c r="P381" s="282" t="s">
        <v>1602</v>
      </c>
      <c r="Q381" s="283" t="s">
        <v>2084</v>
      </c>
      <c r="R381" s="282" t="s">
        <v>194</v>
      </c>
      <c r="S381" s="283"/>
    </row>
    <row r="382">
      <c r="A382" s="230">
        <v>382.0</v>
      </c>
      <c r="B382" s="230" t="s">
        <v>188</v>
      </c>
      <c r="C382" s="231"/>
      <c r="D382" s="232"/>
      <c r="E382" s="232">
        <f>IFERROR(__xludf.DUMMYFUNCTION("iferror(SPLIT(D382,""/""),split(""0/0"",""/""))"),0.0)</f>
        <v>0</v>
      </c>
      <c r="F382" s="232">
        <f>IFERROR(__xludf.DUMMYFUNCTION("""COMPUTED_VALUE"""),0.0)</f>
        <v>0</v>
      </c>
      <c r="G382" s="247" t="b">
        <v>0</v>
      </c>
      <c r="H382" s="242" t="str">
        <f t="shared" si="1"/>
        <v/>
      </c>
      <c r="I382" s="243" t="s">
        <v>2085</v>
      </c>
      <c r="J382" s="279" t="str">
        <f t="shared" si="2"/>
        <v>Catch a Tadpole in a bucket</v>
      </c>
      <c r="K382" s="280"/>
      <c r="L382" s="281"/>
      <c r="M382" s="280"/>
      <c r="N382" s="280" t="s">
        <v>2086</v>
      </c>
      <c r="O382" s="239" t="s">
        <v>2087</v>
      </c>
      <c r="P382" s="282" t="s">
        <v>1602</v>
      </c>
      <c r="Q382" s="283" t="s">
        <v>2088</v>
      </c>
      <c r="R382" s="282" t="s">
        <v>194</v>
      </c>
      <c r="S382" s="283"/>
    </row>
    <row r="383">
      <c r="A383" s="230">
        <v>383.0</v>
      </c>
      <c r="B383" s="230" t="s">
        <v>188</v>
      </c>
      <c r="C383" s="231"/>
      <c r="D383" s="232"/>
      <c r="E383" s="232">
        <f>IFERROR(__xludf.DUMMYFUNCTION("iferror(SPLIT(D383,""/""),split(""0/0"",""/""))"),0.0)</f>
        <v>0</v>
      </c>
      <c r="F383" s="232">
        <f>IFERROR(__xludf.DUMMYFUNCTION("""COMPUTED_VALUE"""),0.0)</f>
        <v>0</v>
      </c>
      <c r="G383" s="247" t="b">
        <v>0</v>
      </c>
      <c r="H383" s="242" t="str">
        <f t="shared" si="1"/>
        <v/>
      </c>
      <c r="I383" s="246" t="s">
        <v>2089</v>
      </c>
      <c r="J383" s="279" t="str">
        <f t="shared" si="2"/>
        <v>Attach a lead to each variant of Frog</v>
      </c>
      <c r="K383" s="280" t="s">
        <v>2090</v>
      </c>
      <c r="L383" s="281"/>
      <c r="M383" s="280"/>
      <c r="N383" s="280" t="s">
        <v>2091</v>
      </c>
      <c r="O383" s="239" t="s">
        <v>2007</v>
      </c>
      <c r="P383" s="282" t="s">
        <v>1602</v>
      </c>
      <c r="Q383" s="283" t="s">
        <v>2092</v>
      </c>
      <c r="R383" s="282" t="s">
        <v>194</v>
      </c>
      <c r="S383" s="283"/>
    </row>
    <row r="384">
      <c r="A384" s="230">
        <v>384.0</v>
      </c>
      <c r="B384" s="230" t="s">
        <v>188</v>
      </c>
      <c r="C384" s="231"/>
      <c r="D384" s="232"/>
      <c r="E384" s="232">
        <f>IFERROR(__xludf.DUMMYFUNCTION("iferror(SPLIT(D384,""/""),split(""0/0"",""/""))"),0.0)</f>
        <v>0</v>
      </c>
      <c r="F384" s="232">
        <f>IFERROR(__xludf.DUMMYFUNCTION("""COMPUTED_VALUE"""),0.0)</f>
        <v>0</v>
      </c>
      <c r="G384" s="247" t="b">
        <v>0</v>
      </c>
      <c r="H384" s="242" t="str">
        <f t="shared" si="1"/>
        <v/>
      </c>
      <c r="I384" s="243" t="s">
        <v>2093</v>
      </c>
      <c r="J384" s="279" t="str">
        <f t="shared" si="2"/>
        <v>Catch a fish</v>
      </c>
      <c r="K384" s="280" t="s">
        <v>2094</v>
      </c>
      <c r="L384" s="281"/>
      <c r="M384" s="280"/>
      <c r="N384" s="280" t="s">
        <v>2095</v>
      </c>
      <c r="O384" s="239" t="s">
        <v>2096</v>
      </c>
      <c r="P384" s="282" t="s">
        <v>1602</v>
      </c>
      <c r="Q384" s="283" t="s">
        <v>2097</v>
      </c>
      <c r="R384" s="282" t="s">
        <v>194</v>
      </c>
      <c r="S384" s="283"/>
    </row>
    <row r="385">
      <c r="A385" s="230">
        <v>385.0</v>
      </c>
      <c r="B385" s="230" t="s">
        <v>188</v>
      </c>
      <c r="C385" s="231"/>
      <c r="D385" s="232"/>
      <c r="E385" s="232">
        <f>IFERROR(__xludf.DUMMYFUNCTION("iferror(SPLIT(D385,""/""),split(""0/0"",""/""))"),0.0)</f>
        <v>0</v>
      </c>
      <c r="F385" s="232">
        <f>IFERROR(__xludf.DUMMYFUNCTION("""COMPUTED_VALUE"""),0.0)</f>
        <v>0</v>
      </c>
      <c r="G385" s="247" t="b">
        <v>0</v>
      </c>
      <c r="H385" s="242" t="str">
        <f t="shared" si="1"/>
        <v/>
      </c>
      <c r="I385" s="243" t="s">
        <v>2098</v>
      </c>
      <c r="J385" s="279" t="str">
        <f t="shared" si="2"/>
        <v>Catch a fish by directly skewering it with a sword (Kill a cod, salmon, pufferfish or tropical fish)</v>
      </c>
      <c r="K385" s="280" t="s">
        <v>2094</v>
      </c>
      <c r="L385" s="281"/>
      <c r="M385" s="280" t="s">
        <v>2099</v>
      </c>
      <c r="N385" s="280" t="s">
        <v>2100</v>
      </c>
      <c r="O385" s="239" t="s">
        <v>2101</v>
      </c>
      <c r="P385" s="282" t="s">
        <v>1602</v>
      </c>
      <c r="Q385" s="283" t="s">
        <v>2102</v>
      </c>
      <c r="R385" s="282" t="s">
        <v>194</v>
      </c>
      <c r="S385" s="283"/>
    </row>
    <row r="386">
      <c r="A386" s="230">
        <v>386.0</v>
      </c>
      <c r="B386" s="230" t="s">
        <v>206</v>
      </c>
      <c r="C386" s="231"/>
      <c r="D386" s="232"/>
      <c r="E386" s="232">
        <f>IFERROR(__xludf.DUMMYFUNCTION("iferror(SPLIT(D386,""/""),split(""0/0"",""/""))"),0.0)</f>
        <v>0</v>
      </c>
      <c r="F386" s="232">
        <f>IFERROR(__xludf.DUMMYFUNCTION("""COMPUTED_VALUE"""),0.0)</f>
        <v>0</v>
      </c>
      <c r="G386" s="247" t="b">
        <v>0</v>
      </c>
      <c r="H386" s="242" t="str">
        <f t="shared" si="1"/>
        <v/>
      </c>
      <c r="I386" s="246" t="s">
        <v>2103</v>
      </c>
      <c r="J386" s="279" t="str">
        <f t="shared" si="2"/>
        <v>Skewer a tropical fish (Kill a tropical fish)</v>
      </c>
      <c r="K386" s="280" t="s">
        <v>2104</v>
      </c>
      <c r="L386" s="281"/>
      <c r="M386" s="280" t="s">
        <v>2105</v>
      </c>
      <c r="N386" s="280" t="s">
        <v>2106</v>
      </c>
      <c r="O386" s="239" t="s">
        <v>2107</v>
      </c>
      <c r="P386" s="282" t="s">
        <v>1602</v>
      </c>
      <c r="Q386" s="283" t="s">
        <v>2108</v>
      </c>
      <c r="R386" s="282" t="s">
        <v>194</v>
      </c>
      <c r="S386" s="283"/>
    </row>
    <row r="387">
      <c r="A387" s="230">
        <v>387.0</v>
      </c>
      <c r="B387" s="230" t="s">
        <v>188</v>
      </c>
      <c r="C387" s="231"/>
      <c r="D387" s="232"/>
      <c r="E387" s="232">
        <f>IFERROR(__xludf.DUMMYFUNCTION("iferror(SPLIT(D387,""/""),split(""0/0"",""/""))"),0.0)</f>
        <v>0</v>
      </c>
      <c r="F387" s="232">
        <f>IFERROR(__xludf.DUMMYFUNCTION("""COMPUTED_VALUE"""),0.0)</f>
        <v>0</v>
      </c>
      <c r="G387" s="247" t="b">
        <v>0</v>
      </c>
      <c r="H387" s="242" t="str">
        <f t="shared" si="1"/>
        <v/>
      </c>
      <c r="I387" s="243" t="s">
        <v>2109</v>
      </c>
      <c r="J387" s="279" t="str">
        <f t="shared" si="2"/>
        <v>Kill a Glow Squid</v>
      </c>
      <c r="K387" s="280" t="s">
        <v>2110</v>
      </c>
      <c r="L387" s="281"/>
      <c r="M387" s="280"/>
      <c r="N387" s="280" t="s">
        <v>2111</v>
      </c>
      <c r="O387" s="239" t="s">
        <v>2112</v>
      </c>
      <c r="P387" s="282" t="s">
        <v>1602</v>
      </c>
      <c r="Q387" s="283" t="s">
        <v>2113</v>
      </c>
      <c r="R387" s="282" t="s">
        <v>194</v>
      </c>
      <c r="S387" s="283"/>
    </row>
    <row r="388">
      <c r="A388" s="230">
        <v>388.0</v>
      </c>
      <c r="B388" s="230" t="s">
        <v>188</v>
      </c>
      <c r="C388" s="231"/>
      <c r="D388" s="232"/>
      <c r="E388" s="232">
        <f>IFERROR(__xludf.DUMMYFUNCTION("iferror(SPLIT(D388,""/""),split(""0/0"",""/""))"),0.0)</f>
        <v>0</v>
      </c>
      <c r="F388" s="232">
        <f>IFERROR(__xludf.DUMMYFUNCTION("""COMPUTED_VALUE"""),0.0)</f>
        <v>0</v>
      </c>
      <c r="G388" s="247" t="b">
        <v>0</v>
      </c>
      <c r="H388" s="242" t="str">
        <f t="shared" si="1"/>
        <v/>
      </c>
      <c r="I388" s="243" t="s">
        <v>2114</v>
      </c>
      <c r="J388" s="279" t="str">
        <f t="shared" si="2"/>
        <v>Use a Glow Ink Sac to light up a sign</v>
      </c>
      <c r="K388" s="280"/>
      <c r="L388" s="281"/>
      <c r="M388" s="280"/>
      <c r="N388" s="280" t="s">
        <v>2115</v>
      </c>
      <c r="O388" s="239" t="s">
        <v>2116</v>
      </c>
      <c r="P388" s="282" t="s">
        <v>1602</v>
      </c>
      <c r="Q388" s="283" t="s">
        <v>2117</v>
      </c>
      <c r="R388" s="282" t="s">
        <v>194</v>
      </c>
      <c r="S388" s="283"/>
    </row>
    <row r="389">
      <c r="A389" s="230">
        <v>389.0</v>
      </c>
      <c r="B389" s="230" t="s">
        <v>283</v>
      </c>
      <c r="C389" s="231"/>
      <c r="D389" s="232"/>
      <c r="E389" s="232">
        <f>IFERROR(__xludf.DUMMYFUNCTION("iferror(SPLIT(D389,""/""),split(""0/0"",""/""))"),0.0)</f>
        <v>0</v>
      </c>
      <c r="F389" s="232">
        <f>IFERROR(__xludf.DUMMYFUNCTION("""COMPUTED_VALUE"""),0.0)</f>
        <v>0</v>
      </c>
      <c r="G389" s="247" t="b">
        <v>0</v>
      </c>
      <c r="H389" s="242" t="str">
        <f t="shared" si="1"/>
        <v/>
      </c>
      <c r="I389" s="243" t="s">
        <v>2118</v>
      </c>
      <c r="J389" s="279" t="str">
        <f t="shared" si="2"/>
        <v>Put an item up for display in a Glowing Item Frame (Place an item in a Glowing Item Frame)</v>
      </c>
      <c r="K389" s="280"/>
      <c r="L389" s="281"/>
      <c r="M389" s="280" t="s">
        <v>2119</v>
      </c>
      <c r="N389" s="280" t="s">
        <v>2120</v>
      </c>
      <c r="O389" s="239" t="s">
        <v>2121</v>
      </c>
      <c r="P389" s="282" t="s">
        <v>1602</v>
      </c>
      <c r="Q389" s="283" t="s">
        <v>2122</v>
      </c>
      <c r="R389" s="282" t="s">
        <v>194</v>
      </c>
      <c r="S389" s="283" t="s">
        <v>290</v>
      </c>
    </row>
    <row r="390">
      <c r="A390" s="230">
        <v>390.0</v>
      </c>
      <c r="B390" s="230" t="s">
        <v>257</v>
      </c>
      <c r="C390" s="231"/>
      <c r="D390" s="232"/>
      <c r="E390" s="232">
        <f>IFERROR(__xludf.DUMMYFUNCTION("iferror(SPLIT(D390,""/""),split(""0/0"",""/""))"),0.0)</f>
        <v>0</v>
      </c>
      <c r="F390" s="232">
        <f>IFERROR(__xludf.DUMMYFUNCTION("""COMPUTED_VALUE"""),0.0)</f>
        <v>0</v>
      </c>
      <c r="G390" s="247" t="b">
        <v>0</v>
      </c>
      <c r="H390" s="242" t="str">
        <f t="shared" si="1"/>
        <v/>
      </c>
      <c r="I390" s="249" t="s">
        <v>2123</v>
      </c>
      <c r="J390" s="279" t="str">
        <f t="shared" si="2"/>
        <v>Kill 100 Glow Squids</v>
      </c>
      <c r="K390" s="280" t="s">
        <v>2124</v>
      </c>
      <c r="L390" s="281"/>
      <c r="M390" s="280"/>
      <c r="N390" s="280" t="s">
        <v>2125</v>
      </c>
      <c r="O390" s="239" t="s">
        <v>2126</v>
      </c>
      <c r="P390" s="282" t="s">
        <v>1602</v>
      </c>
      <c r="Q390" s="283" t="s">
        <v>2127</v>
      </c>
      <c r="R390" s="282" t="s">
        <v>194</v>
      </c>
      <c r="S390" s="282" t="s">
        <v>1661</v>
      </c>
    </row>
    <row r="391">
      <c r="A391" s="230">
        <v>391.0</v>
      </c>
      <c r="B391" s="230" t="s">
        <v>188</v>
      </c>
      <c r="C391" s="231"/>
      <c r="D391" s="232"/>
      <c r="E391" s="232">
        <f>IFERROR(__xludf.DUMMYFUNCTION("iferror(SPLIT(D391,""/""),split(""0/0"",""/""))"),0.0)</f>
        <v>0</v>
      </c>
      <c r="F391" s="232">
        <f>IFERROR(__xludf.DUMMYFUNCTION("""COMPUTED_VALUE"""),0.0)</f>
        <v>0</v>
      </c>
      <c r="G391" s="247" t="b">
        <v>0</v>
      </c>
      <c r="H391" s="242" t="str">
        <f t="shared" si="1"/>
        <v/>
      </c>
      <c r="I391" s="243" t="s">
        <v>2128</v>
      </c>
      <c r="J391" s="279" t="str">
        <f t="shared" si="2"/>
        <v>Catch a fish... without a fishing rod! (Pick up a cod, salmon, pufferfish or tropical fish in a bucket)</v>
      </c>
      <c r="K391" s="280"/>
      <c r="L391" s="281"/>
      <c r="M391" s="280" t="s">
        <v>2129</v>
      </c>
      <c r="N391" s="280" t="s">
        <v>2130</v>
      </c>
      <c r="O391" s="239" t="s">
        <v>2131</v>
      </c>
      <c r="P391" s="282" t="s">
        <v>1602</v>
      </c>
      <c r="Q391" s="283" t="s">
        <v>2132</v>
      </c>
      <c r="R391" s="282" t="s">
        <v>194</v>
      </c>
      <c r="S391" s="283"/>
    </row>
    <row r="392">
      <c r="A392" s="230">
        <v>392.0</v>
      </c>
      <c r="B392" s="230" t="s">
        <v>257</v>
      </c>
      <c r="C392" s="231"/>
      <c r="D392" s="232"/>
      <c r="E392" s="232">
        <f>IFERROR(__xludf.DUMMYFUNCTION("iferror(SPLIT(D392,""/""),split(""0/0"",""/""))"),0.0)</f>
        <v>0</v>
      </c>
      <c r="F392" s="232">
        <f>IFERROR(__xludf.DUMMYFUNCTION("""COMPUTED_VALUE"""),0.0)</f>
        <v>0</v>
      </c>
      <c r="G392" s="247" t="b">
        <v>0</v>
      </c>
      <c r="H392" s="242" t="str">
        <f t="shared" si="1"/>
        <v/>
      </c>
      <c r="I392" s="246" t="s">
        <v>2133</v>
      </c>
      <c r="J392" s="279" t="str">
        <f t="shared" si="2"/>
        <v>Catch all four types of fish and set them free in an aquarium (Place a cod, salmon, pufferfish and tropical fish bucket)</v>
      </c>
      <c r="K392" s="280" t="s">
        <v>2134</v>
      </c>
      <c r="L392" s="281"/>
      <c r="M392" s="280" t="s">
        <v>2135</v>
      </c>
      <c r="N392" s="280" t="s">
        <v>2136</v>
      </c>
      <c r="O392" s="239" t="s">
        <v>2137</v>
      </c>
      <c r="P392" s="282" t="s">
        <v>1602</v>
      </c>
      <c r="Q392" s="283" t="s">
        <v>2138</v>
      </c>
      <c r="R392" s="282" t="s">
        <v>194</v>
      </c>
      <c r="S392" s="283" t="s">
        <v>267</v>
      </c>
    </row>
    <row r="393">
      <c r="A393" s="230">
        <v>393.0</v>
      </c>
      <c r="B393" s="230" t="s">
        <v>257</v>
      </c>
      <c r="C393" s="231"/>
      <c r="D393" s="232"/>
      <c r="E393" s="232">
        <f>IFERROR(__xludf.DUMMYFUNCTION("iferror(SPLIT(D393,""/""),split(""0/0"",""/""))"),0.0)</f>
        <v>0</v>
      </c>
      <c r="F393" s="232">
        <f>IFERROR(__xludf.DUMMYFUNCTION("""COMPUTED_VALUE"""),0.0)</f>
        <v>0</v>
      </c>
      <c r="G393" s="247" t="b">
        <v>0</v>
      </c>
      <c r="H393" s="242" t="str">
        <f t="shared" si="1"/>
        <v/>
      </c>
      <c r="I393" s="249" t="s">
        <v>2139</v>
      </c>
      <c r="J393" s="279" t="str">
        <f t="shared" si="2"/>
        <v>Collect all 22 of the common types of tropical fish (See requirement notes below)</v>
      </c>
      <c r="K393" s="280"/>
      <c r="L393" s="281"/>
      <c r="M393" s="284" t="s">
        <v>238</v>
      </c>
      <c r="N393" s="280" t="s">
        <v>2140</v>
      </c>
      <c r="O393" s="239" t="s">
        <v>2141</v>
      </c>
      <c r="P393" s="282" t="s">
        <v>1602</v>
      </c>
      <c r="Q393" s="283" t="s">
        <v>2142</v>
      </c>
      <c r="R393" s="282" t="s">
        <v>194</v>
      </c>
      <c r="S393" s="283" t="s">
        <v>2143</v>
      </c>
    </row>
    <row r="394">
      <c r="A394" s="230">
        <v>394.0</v>
      </c>
      <c r="B394" s="230" t="s">
        <v>188</v>
      </c>
      <c r="C394" s="231"/>
      <c r="D394" s="232"/>
      <c r="E394" s="232">
        <f>IFERROR(__xludf.DUMMYFUNCTION("iferror(SPLIT(D394,""/""),split(""0/0"",""/""))"),0.0)</f>
        <v>0</v>
      </c>
      <c r="F394" s="232">
        <f>IFERROR(__xludf.DUMMYFUNCTION("""COMPUTED_VALUE"""),0.0)</f>
        <v>0</v>
      </c>
      <c r="G394" s="247" t="b">
        <v>0</v>
      </c>
      <c r="H394" s="242" t="str">
        <f t="shared" si="1"/>
        <v/>
      </c>
      <c r="I394" s="243" t="s">
        <v>2144</v>
      </c>
      <c r="J394" s="279" t="str">
        <f t="shared" si="2"/>
        <v>Catch an Axolotl in a Bucket</v>
      </c>
      <c r="K394" s="280"/>
      <c r="L394" s="281"/>
      <c r="M394" s="280"/>
      <c r="N394" s="280" t="s">
        <v>2145</v>
      </c>
      <c r="O394" s="239" t="s">
        <v>2146</v>
      </c>
      <c r="P394" s="282" t="s">
        <v>1602</v>
      </c>
      <c r="Q394" s="283" t="s">
        <v>2147</v>
      </c>
      <c r="R394" s="282" t="s">
        <v>194</v>
      </c>
      <c r="S394" s="283"/>
    </row>
    <row r="395">
      <c r="A395" s="230">
        <v>395.0</v>
      </c>
      <c r="B395" s="230" t="s">
        <v>188</v>
      </c>
      <c r="C395" s="231"/>
      <c r="D395" s="232"/>
      <c r="E395" s="232">
        <f>IFERROR(__xludf.DUMMYFUNCTION("iferror(SPLIT(D395,""/""),split(""0/0"",""/""))"),0.0)</f>
        <v>0</v>
      </c>
      <c r="F395" s="232">
        <f>IFERROR(__xludf.DUMMYFUNCTION("""COMPUTED_VALUE"""),0.0)</f>
        <v>0</v>
      </c>
      <c r="G395" s="247" t="b">
        <v>0</v>
      </c>
      <c r="H395" s="242" t="str">
        <f t="shared" si="1"/>
        <v/>
      </c>
      <c r="I395" s="243" t="s">
        <v>2148</v>
      </c>
      <c r="J395" s="279" t="str">
        <f t="shared" si="2"/>
        <v>Team up with an Axolotl and win a fight (Receive regeneration from an Axolotl by killing a mob one is in conflict with)</v>
      </c>
      <c r="K395" s="280"/>
      <c r="L395" s="281"/>
      <c r="M395" s="280" t="s">
        <v>2149</v>
      </c>
      <c r="N395" s="280" t="s">
        <v>2150</v>
      </c>
      <c r="O395" s="239" t="s">
        <v>1716</v>
      </c>
      <c r="P395" s="282" t="s">
        <v>1602</v>
      </c>
      <c r="Q395" s="283" t="s">
        <v>2151</v>
      </c>
      <c r="R395" s="282" t="s">
        <v>194</v>
      </c>
      <c r="S395" s="283"/>
    </row>
    <row r="396">
      <c r="A396" s="230">
        <v>396.0</v>
      </c>
      <c r="B396" s="230" t="s">
        <v>257</v>
      </c>
      <c r="C396" s="231"/>
      <c r="D396" s="232"/>
      <c r="E396" s="232">
        <f>IFERROR(__xludf.DUMMYFUNCTION("iferror(SPLIT(D396,""/""),split(""0/0"",""/""))"),0.0)</f>
        <v>0</v>
      </c>
      <c r="F396" s="232">
        <f>IFERROR(__xludf.DUMMYFUNCTION("""COMPUTED_VALUE"""),0.0)</f>
        <v>0</v>
      </c>
      <c r="G396" s="247" t="b">
        <v>0</v>
      </c>
      <c r="H396" s="242" t="str">
        <f t="shared" si="1"/>
        <v/>
      </c>
      <c r="I396" s="246" t="s">
        <v>2152</v>
      </c>
      <c r="J396" s="279" t="str">
        <f t="shared" si="2"/>
        <v>Feed an Axolotl within an Ocean Monument and watch it go on a Guardian killing spree (Same as The Healing Power of Friendship but both you and the Axolotl must be inside an Ocean Monument)</v>
      </c>
      <c r="K396" s="280" t="s">
        <v>2153</v>
      </c>
      <c r="L396" s="281"/>
      <c r="M396" s="280" t="s">
        <v>2154</v>
      </c>
      <c r="N396" s="280" t="s">
        <v>2155</v>
      </c>
      <c r="O396" s="239" t="s">
        <v>2156</v>
      </c>
      <c r="P396" s="282" t="s">
        <v>1602</v>
      </c>
      <c r="Q396" s="283" t="s">
        <v>2157</v>
      </c>
      <c r="R396" s="282" t="s">
        <v>194</v>
      </c>
      <c r="S396" s="282" t="s">
        <v>267</v>
      </c>
    </row>
    <row r="397">
      <c r="A397" s="230">
        <v>397.0</v>
      </c>
      <c r="B397" s="230" t="s">
        <v>188</v>
      </c>
      <c r="C397" s="231"/>
      <c r="D397" s="232"/>
      <c r="E397" s="232">
        <f>IFERROR(__xludf.DUMMYFUNCTION("iferror(SPLIT(D397,""/""),split(""0/0"",""/""))"),0.0)</f>
        <v>0</v>
      </c>
      <c r="F397" s="232">
        <f>IFERROR(__xludf.DUMMYFUNCTION("""COMPUTED_VALUE"""),0.0)</f>
        <v>0</v>
      </c>
      <c r="G397" s="247" t="b">
        <v>0</v>
      </c>
      <c r="H397" s="242" t="str">
        <f t="shared" si="1"/>
        <v/>
      </c>
      <c r="I397" s="243" t="s">
        <v>2158</v>
      </c>
      <c r="J397" s="279" t="str">
        <f t="shared" si="2"/>
        <v>Breed two Axolotls together using Tropical Fish</v>
      </c>
      <c r="K397" s="280" t="s">
        <v>2104</v>
      </c>
      <c r="L397" s="281"/>
      <c r="M397" s="280"/>
      <c r="N397" s="280" t="s">
        <v>2159</v>
      </c>
      <c r="O397" s="239" t="s">
        <v>2160</v>
      </c>
      <c r="P397" s="282" t="s">
        <v>1602</v>
      </c>
      <c r="Q397" s="283" t="s">
        <v>2161</v>
      </c>
      <c r="R397" s="282" t="s">
        <v>194</v>
      </c>
      <c r="S397" s="283"/>
    </row>
    <row r="398">
      <c r="A398" s="230">
        <v>398.0</v>
      </c>
      <c r="B398" s="230" t="s">
        <v>283</v>
      </c>
      <c r="C398" s="231"/>
      <c r="D398" s="232"/>
      <c r="E398" s="232">
        <f>IFERROR(__xludf.DUMMYFUNCTION("iferror(SPLIT(D398,""/""),split(""0/0"",""/""))"),0.0)</f>
        <v>0</v>
      </c>
      <c r="F398" s="232">
        <f>IFERROR(__xludf.DUMMYFUNCTION("""COMPUTED_VALUE"""),0.0)</f>
        <v>0</v>
      </c>
      <c r="G398" s="247" t="b">
        <v>0</v>
      </c>
      <c r="H398" s="242" t="str">
        <f t="shared" si="1"/>
        <v/>
      </c>
      <c r="I398" s="243" t="s">
        <v>2162</v>
      </c>
      <c r="J398" s="279" t="str">
        <f t="shared" si="2"/>
        <v>Kill an Axolotl with an axe</v>
      </c>
      <c r="K398" s="280"/>
      <c r="L398" s="281"/>
      <c r="M398" s="280"/>
      <c r="N398" s="280" t="s">
        <v>2163</v>
      </c>
      <c r="O398" s="239" t="s">
        <v>2164</v>
      </c>
      <c r="P398" s="282" t="s">
        <v>1602</v>
      </c>
      <c r="Q398" s="283" t="s">
        <v>2165</v>
      </c>
      <c r="R398" s="282" t="s">
        <v>194</v>
      </c>
      <c r="S398" s="283" t="s">
        <v>2143</v>
      </c>
    </row>
    <row r="399">
      <c r="A399" s="230">
        <v>399.0</v>
      </c>
      <c r="B399" s="230" t="s">
        <v>257</v>
      </c>
      <c r="C399" s="231"/>
      <c r="D399" s="232"/>
      <c r="E399" s="232">
        <f>IFERROR(__xludf.DUMMYFUNCTION("iferror(SPLIT(D399,""/""),split(""0/0"",""/""))"),0.0)</f>
        <v>0</v>
      </c>
      <c r="F399" s="232">
        <f>IFERROR(__xludf.DUMMYFUNCTION("""COMPUTED_VALUE"""),0.0)</f>
        <v>0</v>
      </c>
      <c r="G399" s="233" t="b">
        <v>0</v>
      </c>
      <c r="H399" s="242" t="str">
        <f t="shared" si="1"/>
        <v/>
      </c>
      <c r="I399" s="249" t="s">
        <v>2166</v>
      </c>
      <c r="J399" s="279" t="str">
        <f t="shared" si="2"/>
        <v>Catch all variants of Axolotls inside a Bucket (Catch a Leucistic, Wild, Gold, Cyan and Blue Axolotl)</v>
      </c>
      <c r="K399" s="280" t="s">
        <v>2167</v>
      </c>
      <c r="L399" s="281"/>
      <c r="M399" s="280" t="s">
        <v>2168</v>
      </c>
      <c r="N399" s="280" t="s">
        <v>2169</v>
      </c>
      <c r="O399" s="239" t="s">
        <v>2170</v>
      </c>
      <c r="P399" s="282" t="s">
        <v>1602</v>
      </c>
      <c r="Q399" s="283" t="s">
        <v>2171</v>
      </c>
      <c r="R399" s="282" t="s">
        <v>194</v>
      </c>
      <c r="S399" s="283" t="s">
        <v>2143</v>
      </c>
    </row>
    <row r="400">
      <c r="A400" s="230">
        <v>400.0</v>
      </c>
      <c r="B400" s="230" t="s">
        <v>188</v>
      </c>
      <c r="C400" s="231"/>
      <c r="D400" s="232"/>
      <c r="E400" s="232">
        <f>IFERROR(__xludf.DUMMYFUNCTION("iferror(SPLIT(D400,""/""),split(""0/0"",""/""))"),0.0)</f>
        <v>0</v>
      </c>
      <c r="F400" s="232">
        <f>IFERROR(__xludf.DUMMYFUNCTION("""COMPUTED_VALUE"""),0.0)</f>
        <v>0</v>
      </c>
      <c r="G400" s="247" t="b">
        <v>0</v>
      </c>
      <c r="H400" s="242" t="str">
        <f t="shared" si="1"/>
        <v/>
      </c>
      <c r="I400" s="243" t="s">
        <v>2172</v>
      </c>
      <c r="J400" s="279" t="str">
        <f t="shared" si="2"/>
        <v>Cook and eat a fish! (Eat a cooked cod or cooked salmon)</v>
      </c>
      <c r="K400" s="280" t="s">
        <v>2173</v>
      </c>
      <c r="L400" s="281"/>
      <c r="M400" s="280" t="s">
        <v>2174</v>
      </c>
      <c r="N400" s="280" t="s">
        <v>2175</v>
      </c>
      <c r="O400" s="239" t="s">
        <v>2176</v>
      </c>
      <c r="P400" s="282" t="s">
        <v>1602</v>
      </c>
      <c r="Q400" s="283" t="s">
        <v>2177</v>
      </c>
      <c r="R400" s="282" t="s">
        <v>194</v>
      </c>
      <c r="S400" s="283"/>
    </row>
    <row r="401">
      <c r="A401" s="230">
        <v>401.0</v>
      </c>
      <c r="B401" s="230" t="s">
        <v>188</v>
      </c>
      <c r="C401" s="231"/>
      <c r="D401" s="232"/>
      <c r="E401" s="232">
        <f>IFERROR(__xludf.DUMMYFUNCTION("iferror(SPLIT(D401,""/""),split(""0/0"",""/""))"),0.0)</f>
        <v>0</v>
      </c>
      <c r="F401" s="232">
        <f>IFERROR(__xludf.DUMMYFUNCTION("""COMPUTED_VALUE"""),0.0)</f>
        <v>0</v>
      </c>
      <c r="G401" s="247" t="b">
        <v>0</v>
      </c>
      <c r="H401" s="242" t="str">
        <f t="shared" si="1"/>
        <v/>
      </c>
      <c r="I401" s="243" t="s">
        <v>2178</v>
      </c>
      <c r="J401" s="279" t="str">
        <f t="shared" si="2"/>
        <v>Eat some raw fish</v>
      </c>
      <c r="K401" s="280"/>
      <c r="L401" s="281"/>
      <c r="M401" s="280"/>
      <c r="N401" s="280" t="s">
        <v>2179</v>
      </c>
      <c r="O401" s="239" t="s">
        <v>2180</v>
      </c>
      <c r="P401" s="282" t="s">
        <v>1602</v>
      </c>
      <c r="Q401" s="283" t="s">
        <v>2181</v>
      </c>
      <c r="R401" s="282" t="s">
        <v>194</v>
      </c>
      <c r="S401" s="283"/>
    </row>
    <row r="402">
      <c r="A402" s="230">
        <v>402.0</v>
      </c>
      <c r="B402" s="230" t="s">
        <v>188</v>
      </c>
      <c r="C402" s="231"/>
      <c r="D402" s="232"/>
      <c r="E402" s="232">
        <f>IFERROR(__xludf.DUMMYFUNCTION("iferror(SPLIT(D402,""/""),split(""0/0"",""/""))"),0.0)</f>
        <v>0</v>
      </c>
      <c r="F402" s="232">
        <f>IFERROR(__xludf.DUMMYFUNCTION("""COMPUTED_VALUE"""),0.0)</f>
        <v>0</v>
      </c>
      <c r="G402" s="247" t="b">
        <v>0</v>
      </c>
      <c r="H402" s="242" t="str">
        <f t="shared" si="1"/>
        <v/>
      </c>
      <c r="I402" s="243" t="s">
        <v>2182</v>
      </c>
      <c r="J402" s="279" t="str">
        <f t="shared" si="2"/>
        <v>Eat some raw salmon... and not get poisoned after all</v>
      </c>
      <c r="K402" s="280"/>
      <c r="L402" s="281"/>
      <c r="M402" s="280"/>
      <c r="N402" s="280" t="s">
        <v>2183</v>
      </c>
      <c r="O402" s="239" t="s">
        <v>2184</v>
      </c>
      <c r="P402" s="282" t="s">
        <v>1602</v>
      </c>
      <c r="Q402" s="283" t="s">
        <v>2185</v>
      </c>
      <c r="R402" s="282" t="s">
        <v>194</v>
      </c>
      <c r="S402" s="283"/>
    </row>
    <row r="403">
      <c r="A403" s="230">
        <v>403.0</v>
      </c>
      <c r="B403" s="230" t="s">
        <v>188</v>
      </c>
      <c r="C403" s="231"/>
      <c r="D403" s="232"/>
      <c r="E403" s="232">
        <f>IFERROR(__xludf.DUMMYFUNCTION("iferror(SPLIT(D403,""/""),split(""0/0"",""/""))"),0.0)</f>
        <v>0</v>
      </c>
      <c r="F403" s="232">
        <f>IFERROR(__xludf.DUMMYFUNCTION("""COMPUTED_VALUE"""),0.0)</f>
        <v>0</v>
      </c>
      <c r="G403" s="247" t="b">
        <v>0</v>
      </c>
      <c r="H403" s="242" t="str">
        <f t="shared" si="1"/>
        <v/>
      </c>
      <c r="I403" s="246" t="s">
        <v>2186</v>
      </c>
      <c r="J403" s="279" t="str">
        <f t="shared" si="2"/>
        <v>Catch a clownfish (Catch a tropical fish through fishing)</v>
      </c>
      <c r="K403" s="280"/>
      <c r="L403" s="281"/>
      <c r="M403" s="280" t="s">
        <v>2187</v>
      </c>
      <c r="N403" s="280" t="s">
        <v>2188</v>
      </c>
      <c r="O403" s="239" t="s">
        <v>2107</v>
      </c>
      <c r="P403" s="282" t="s">
        <v>1602</v>
      </c>
      <c r="Q403" s="283" t="s">
        <v>2189</v>
      </c>
      <c r="R403" s="282" t="s">
        <v>194</v>
      </c>
      <c r="S403" s="283"/>
    </row>
    <row r="404">
      <c r="A404" s="230">
        <v>404.0</v>
      </c>
      <c r="B404" s="230" t="s">
        <v>188</v>
      </c>
      <c r="C404" s="231"/>
      <c r="D404" s="232"/>
      <c r="E404" s="232">
        <f>IFERROR(__xludf.DUMMYFUNCTION("iferror(SPLIT(D404,""/""),split(""0/0"",""/""))"),0.0)</f>
        <v>0</v>
      </c>
      <c r="F404" s="232">
        <f>IFERROR(__xludf.DUMMYFUNCTION("""COMPUTED_VALUE"""),0.0)</f>
        <v>0</v>
      </c>
      <c r="G404" s="247" t="b">
        <v>0</v>
      </c>
      <c r="H404" s="242" t="str">
        <f t="shared" si="1"/>
        <v/>
      </c>
      <c r="I404" s="243" t="s">
        <v>2190</v>
      </c>
      <c r="J404" s="279" t="str">
        <f t="shared" si="2"/>
        <v>Fish out a junk item (See requirement notes below)</v>
      </c>
      <c r="K404" s="280"/>
      <c r="L404" s="281"/>
      <c r="M404" s="284" t="s">
        <v>238</v>
      </c>
      <c r="N404" s="280" t="s">
        <v>2191</v>
      </c>
      <c r="O404" s="239" t="s">
        <v>2024</v>
      </c>
      <c r="P404" s="282" t="s">
        <v>1602</v>
      </c>
      <c r="Q404" s="283" t="s">
        <v>2192</v>
      </c>
      <c r="R404" s="282" t="s">
        <v>194</v>
      </c>
      <c r="S404" s="283"/>
    </row>
    <row r="405">
      <c r="A405" s="230">
        <v>405.0</v>
      </c>
      <c r="B405" s="230" t="s">
        <v>188</v>
      </c>
      <c r="C405" s="231"/>
      <c r="D405" s="232"/>
      <c r="E405" s="232">
        <f>IFERROR(__xludf.DUMMYFUNCTION("iferror(SPLIT(D405,""/""),split(""0/0"",""/""))"),0.0)</f>
        <v>0</v>
      </c>
      <c r="F405" s="232">
        <f>IFERROR(__xludf.DUMMYFUNCTION("""COMPUTED_VALUE"""),0.0)</f>
        <v>0</v>
      </c>
      <c r="G405" s="247" t="b">
        <v>0</v>
      </c>
      <c r="H405" s="242" t="str">
        <f t="shared" si="1"/>
        <v/>
      </c>
      <c r="I405" s="243" t="s">
        <v>2193</v>
      </c>
      <c r="J405" s="279" t="str">
        <f t="shared" si="2"/>
        <v>Fish out a piece of treasure (See requirement notes below)</v>
      </c>
      <c r="K405" s="280"/>
      <c r="L405" s="281"/>
      <c r="M405" s="284" t="s">
        <v>238</v>
      </c>
      <c r="N405" s="280" t="s">
        <v>2194</v>
      </c>
      <c r="O405" s="239" t="s">
        <v>2195</v>
      </c>
      <c r="P405" s="282" t="s">
        <v>1602</v>
      </c>
      <c r="Q405" s="283" t="s">
        <v>2196</v>
      </c>
      <c r="R405" s="282" t="s">
        <v>194</v>
      </c>
      <c r="S405" s="283"/>
    </row>
    <row r="406">
      <c r="A406" s="230">
        <v>406.0</v>
      </c>
      <c r="B406" s="230" t="s">
        <v>188</v>
      </c>
      <c r="C406" s="231"/>
      <c r="D406" s="232"/>
      <c r="E406" s="232">
        <f>IFERROR(__xludf.DUMMYFUNCTION("iferror(SPLIT(D406,""/""),split(""0/0"",""/""))"),0.0)</f>
        <v>0</v>
      </c>
      <c r="F406" s="232">
        <f>IFERROR(__xludf.DUMMYFUNCTION("""COMPUTED_VALUE"""),0.0)</f>
        <v>0</v>
      </c>
      <c r="G406" s="247" t="b">
        <v>0</v>
      </c>
      <c r="H406" s="242" t="str">
        <f t="shared" si="1"/>
        <v/>
      </c>
      <c r="I406" s="246" t="s">
        <v>2197</v>
      </c>
      <c r="J406" s="279" t="str">
        <f t="shared" si="2"/>
        <v>Fish out a ratty old pair of boots (Catch leather boots through fishing)</v>
      </c>
      <c r="K406" s="280"/>
      <c r="L406" s="281"/>
      <c r="M406" s="280" t="s">
        <v>2198</v>
      </c>
      <c r="N406" s="280" t="s">
        <v>2199</v>
      </c>
      <c r="O406" s="239" t="s">
        <v>1740</v>
      </c>
      <c r="P406" s="282" t="s">
        <v>1602</v>
      </c>
      <c r="Q406" s="283" t="s">
        <v>2200</v>
      </c>
      <c r="R406" s="282" t="s">
        <v>194</v>
      </c>
      <c r="S406" s="283"/>
    </row>
    <row r="407">
      <c r="A407" s="230">
        <v>407.0</v>
      </c>
      <c r="B407" s="230" t="s">
        <v>188</v>
      </c>
      <c r="C407" s="231"/>
      <c r="D407" s="232"/>
      <c r="E407" s="232">
        <f>IFERROR(__xludf.DUMMYFUNCTION("iferror(SPLIT(D407,""/""),split(""0/0"",""/""))"),0.0)</f>
        <v>0</v>
      </c>
      <c r="F407" s="232">
        <f>IFERROR(__xludf.DUMMYFUNCTION("""COMPUTED_VALUE"""),0.0)</f>
        <v>0</v>
      </c>
      <c r="G407" s="247" t="b">
        <v>0</v>
      </c>
      <c r="H407" s="242" t="str">
        <f t="shared" si="1"/>
        <v/>
      </c>
      <c r="I407" s="246" t="s">
        <v>2201</v>
      </c>
      <c r="J407" s="279" t="str">
        <f t="shared" si="2"/>
        <v>Collect a stack of all four types of fish (Collect 64 raw cod, raw salmon, pufferfish and tropical fish)</v>
      </c>
      <c r="K407" s="280" t="s">
        <v>2202</v>
      </c>
      <c r="L407" s="281"/>
      <c r="M407" s="280" t="s">
        <v>2203</v>
      </c>
      <c r="N407" s="280" t="s">
        <v>2204</v>
      </c>
      <c r="O407" s="239" t="s">
        <v>2205</v>
      </c>
      <c r="P407" s="282" t="s">
        <v>1602</v>
      </c>
      <c r="Q407" s="283" t="s">
        <v>2206</v>
      </c>
      <c r="R407" s="282" t="s">
        <v>194</v>
      </c>
      <c r="S407" s="283"/>
    </row>
    <row r="408">
      <c r="A408" s="230">
        <v>408.0</v>
      </c>
      <c r="B408" s="230" t="s">
        <v>257</v>
      </c>
      <c r="C408" s="231"/>
      <c r="D408" s="232"/>
      <c r="E408" s="232">
        <f>IFERROR(__xludf.DUMMYFUNCTION("iferror(SPLIT(D408,""/""),split(""0/0"",""/""))"),0.0)</f>
        <v>0</v>
      </c>
      <c r="F408" s="232">
        <f>IFERROR(__xludf.DUMMYFUNCTION("""COMPUTED_VALUE"""),0.0)</f>
        <v>0</v>
      </c>
      <c r="G408" s="247" t="b">
        <v>0</v>
      </c>
      <c r="H408" s="242" t="str">
        <f t="shared" si="1"/>
        <v/>
      </c>
      <c r="I408" s="249" t="s">
        <v>2207</v>
      </c>
      <c r="J408" s="279" t="str">
        <f t="shared" si="2"/>
        <v>Fish out all types of items (See requirement notes below)</v>
      </c>
      <c r="K408" s="280" t="s">
        <v>2208</v>
      </c>
      <c r="L408" s="281"/>
      <c r="M408" s="284" t="s">
        <v>238</v>
      </c>
      <c r="N408" s="280" t="s">
        <v>2209</v>
      </c>
      <c r="O408" s="239" t="s">
        <v>2096</v>
      </c>
      <c r="P408" s="282" t="s">
        <v>1602</v>
      </c>
      <c r="Q408" s="283" t="s">
        <v>2210</v>
      </c>
      <c r="R408" s="282" t="s">
        <v>194</v>
      </c>
      <c r="S408" s="283" t="s">
        <v>262</v>
      </c>
    </row>
    <row r="409">
      <c r="A409" s="230">
        <v>409.0</v>
      </c>
      <c r="B409" s="230" t="s">
        <v>188</v>
      </c>
      <c r="C409" s="231"/>
      <c r="D409" s="232"/>
      <c r="E409" s="232">
        <f>IFERROR(__xludf.DUMMYFUNCTION("iferror(SPLIT(D409,""/""),split(""0/0"",""/""))"),0.0)</f>
        <v>0</v>
      </c>
      <c r="F409" s="232">
        <f>IFERROR(__xludf.DUMMYFUNCTION("""COMPUTED_VALUE"""),0.0)</f>
        <v>0</v>
      </c>
      <c r="G409" s="247" t="b">
        <v>0</v>
      </c>
      <c r="H409" s="242" t="str">
        <f t="shared" si="1"/>
        <v/>
      </c>
      <c r="I409" s="243" t="s">
        <v>2211</v>
      </c>
      <c r="J409" s="279" t="str">
        <f t="shared" si="2"/>
        <v>Kill a turtle for their shells only to find they don't actually drop their shells when killed (Kill a turtle)</v>
      </c>
      <c r="K409" s="280"/>
      <c r="L409" s="281"/>
      <c r="M409" s="280" t="s">
        <v>2212</v>
      </c>
      <c r="N409" s="280" t="s">
        <v>2213</v>
      </c>
      <c r="O409" s="239" t="s">
        <v>2214</v>
      </c>
      <c r="P409" s="282" t="s">
        <v>1602</v>
      </c>
      <c r="Q409" s="283" t="s">
        <v>2215</v>
      </c>
      <c r="R409" s="282" t="s">
        <v>194</v>
      </c>
      <c r="S409" s="283"/>
    </row>
    <row r="410">
      <c r="A410" s="230">
        <v>410.0</v>
      </c>
      <c r="B410" s="230" t="s">
        <v>188</v>
      </c>
      <c r="C410" s="231"/>
      <c r="D410" s="232"/>
      <c r="E410" s="232">
        <f>IFERROR(__xludf.DUMMYFUNCTION("iferror(SPLIT(D410,""/""),split(""0/0"",""/""))"),0.0)</f>
        <v>0</v>
      </c>
      <c r="F410" s="232">
        <f>IFERROR(__xludf.DUMMYFUNCTION("""COMPUTED_VALUE"""),0.0)</f>
        <v>0</v>
      </c>
      <c r="G410" s="247" t="b">
        <v>0</v>
      </c>
      <c r="H410" s="242" t="str">
        <f t="shared" si="1"/>
        <v/>
      </c>
      <c r="I410" s="243" t="s">
        <v>2216</v>
      </c>
      <c r="J410" s="279" t="str">
        <f t="shared" si="2"/>
        <v>Use sea grass to breed a baby turtle</v>
      </c>
      <c r="K410" s="280"/>
      <c r="L410" s="281"/>
      <c r="M410" s="280"/>
      <c r="N410" s="280" t="s">
        <v>2217</v>
      </c>
      <c r="O410" s="239" t="s">
        <v>2218</v>
      </c>
      <c r="P410" s="282" t="s">
        <v>1602</v>
      </c>
      <c r="Q410" s="283" t="s">
        <v>2219</v>
      </c>
      <c r="R410" s="282" t="s">
        <v>194</v>
      </c>
      <c r="S410" s="283"/>
    </row>
    <row r="411">
      <c r="A411" s="230">
        <v>411.0</v>
      </c>
      <c r="B411" s="230" t="s">
        <v>188</v>
      </c>
      <c r="C411" s="231"/>
      <c r="D411" s="232"/>
      <c r="E411" s="232">
        <f>IFERROR(__xludf.DUMMYFUNCTION("iferror(SPLIT(D411,""/""),split(""0/0"",""/""))"),0.0)</f>
        <v>0</v>
      </c>
      <c r="F411" s="232">
        <f>IFERROR(__xludf.DUMMYFUNCTION("""COMPUTED_VALUE"""),0.0)</f>
        <v>0</v>
      </c>
      <c r="G411" s="247" t="b">
        <v>0</v>
      </c>
      <c r="H411" s="242" t="str">
        <f t="shared" si="1"/>
        <v/>
      </c>
      <c r="I411" s="243" t="s">
        <v>2220</v>
      </c>
      <c r="J411" s="279" t="str">
        <f t="shared" si="2"/>
        <v>Get a scute from a baby turtle when it grows up (Obtain a scute)</v>
      </c>
      <c r="K411" s="280" t="s">
        <v>2221</v>
      </c>
      <c r="L411" s="281"/>
      <c r="M411" s="280" t="s">
        <v>2222</v>
      </c>
      <c r="N411" s="280" t="s">
        <v>2223</v>
      </c>
      <c r="O411" s="239" t="s">
        <v>2224</v>
      </c>
      <c r="P411" s="282" t="s">
        <v>1602</v>
      </c>
      <c r="Q411" s="283" t="s">
        <v>2225</v>
      </c>
      <c r="R411" s="282" t="s">
        <v>194</v>
      </c>
      <c r="S411" s="283"/>
    </row>
    <row r="412">
      <c r="A412" s="230">
        <v>412.0</v>
      </c>
      <c r="B412" s="230" t="s">
        <v>188</v>
      </c>
      <c r="C412" s="231"/>
      <c r="D412" s="232"/>
      <c r="E412" s="232">
        <f>IFERROR(__xludf.DUMMYFUNCTION("iferror(SPLIT(D412,""/""),split(""0/0"",""/""))"),0.0)</f>
        <v>0</v>
      </c>
      <c r="F412" s="232">
        <f>IFERROR(__xludf.DUMMYFUNCTION("""COMPUTED_VALUE"""),0.0)</f>
        <v>0</v>
      </c>
      <c r="G412" s="247" t="b">
        <v>0</v>
      </c>
      <c r="H412" s="242" t="str">
        <f t="shared" si="1"/>
        <v/>
      </c>
      <c r="I412" s="246" t="s">
        <v>2226</v>
      </c>
      <c r="J412" s="279" t="str">
        <f t="shared" si="2"/>
        <v>Craft a full turtle shell (Obtain a turtle shell)</v>
      </c>
      <c r="K412" s="280" t="s">
        <v>2221</v>
      </c>
      <c r="L412" s="281"/>
      <c r="M412" s="280" t="s">
        <v>2227</v>
      </c>
      <c r="N412" s="280" t="s">
        <v>2228</v>
      </c>
      <c r="O412" s="239" t="s">
        <v>2229</v>
      </c>
      <c r="P412" s="282" t="s">
        <v>1602</v>
      </c>
      <c r="Q412" s="283" t="s">
        <v>2230</v>
      </c>
      <c r="R412" s="282" t="s">
        <v>194</v>
      </c>
      <c r="S412" s="283"/>
    </row>
    <row r="413">
      <c r="A413" s="230">
        <v>413.0</v>
      </c>
      <c r="B413" s="230" t="s">
        <v>188</v>
      </c>
      <c r="C413" s="231"/>
      <c r="D413" s="232"/>
      <c r="E413" s="232">
        <f>IFERROR(__xludf.DUMMYFUNCTION("iferror(SPLIT(D413,""/""),split(""0/0"",""/""))"),0.0)</f>
        <v>0</v>
      </c>
      <c r="F413" s="232">
        <f>IFERROR(__xludf.DUMMYFUNCTION("""COMPUTED_VALUE"""),0.0)</f>
        <v>0</v>
      </c>
      <c r="G413" s="247" t="b">
        <v>0</v>
      </c>
      <c r="H413" s="242" t="str">
        <f t="shared" si="1"/>
        <v/>
      </c>
      <c r="I413" s="246" t="s">
        <v>2231</v>
      </c>
      <c r="J413" s="279" t="str">
        <f t="shared" si="2"/>
        <v>Collect a stack of turtle eggs</v>
      </c>
      <c r="K413" s="280" t="s">
        <v>2232</v>
      </c>
      <c r="L413" s="281"/>
      <c r="M413" s="280"/>
      <c r="N413" s="280" t="s">
        <v>2233</v>
      </c>
      <c r="O413" s="239" t="s">
        <v>2218</v>
      </c>
      <c r="P413" s="282" t="s">
        <v>1602</v>
      </c>
      <c r="Q413" s="283" t="s">
        <v>2234</v>
      </c>
      <c r="R413" s="282" t="s">
        <v>194</v>
      </c>
      <c r="S413" s="283"/>
    </row>
    <row r="414">
      <c r="A414" s="230">
        <v>414.0</v>
      </c>
      <c r="B414" s="230" t="s">
        <v>188</v>
      </c>
      <c r="C414" s="231"/>
      <c r="D414" s="232"/>
      <c r="E414" s="232">
        <f>IFERROR(__xludf.DUMMYFUNCTION("iferror(SPLIT(D414,""/""),split(""0/0"",""/""))"),0.0)</f>
        <v>0</v>
      </c>
      <c r="F414" s="232">
        <f>IFERROR(__xludf.DUMMYFUNCTION("""COMPUTED_VALUE"""),0.0)</f>
        <v>0</v>
      </c>
      <c r="G414" s="247" t="b">
        <v>0</v>
      </c>
      <c r="H414" s="242" t="str">
        <f t="shared" si="1"/>
        <v/>
      </c>
      <c r="I414" s="246" t="s">
        <v>2235</v>
      </c>
      <c r="J414" s="279" t="str">
        <f t="shared" si="2"/>
        <v>Collect a stack of Turtle Scutes</v>
      </c>
      <c r="K414" s="280" t="s">
        <v>2236</v>
      </c>
      <c r="L414" s="281"/>
      <c r="M414" s="280"/>
      <c r="N414" s="280" t="s">
        <v>2237</v>
      </c>
      <c r="O414" s="239" t="s">
        <v>2238</v>
      </c>
      <c r="P414" s="282" t="s">
        <v>1602</v>
      </c>
      <c r="Q414" s="283" t="s">
        <v>2239</v>
      </c>
      <c r="R414" s="282" t="s">
        <v>194</v>
      </c>
      <c r="S414" s="283"/>
    </row>
    <row r="415">
      <c r="A415" s="230">
        <v>415.0</v>
      </c>
      <c r="B415" s="230" t="s">
        <v>188</v>
      </c>
      <c r="C415" s="231"/>
      <c r="D415" s="232"/>
      <c r="E415" s="232">
        <f>IFERROR(__xludf.DUMMYFUNCTION("iferror(SPLIT(D415,""/""),split(""0/0"",""/""))"),0.0)</f>
        <v>0</v>
      </c>
      <c r="F415" s="232">
        <f>IFERROR(__xludf.DUMMYFUNCTION("""COMPUTED_VALUE"""),0.0)</f>
        <v>0</v>
      </c>
      <c r="G415" s="247" t="b">
        <v>0</v>
      </c>
      <c r="H415" s="242" t="str">
        <f t="shared" si="1"/>
        <v/>
      </c>
      <c r="I415" s="235" t="s">
        <v>2240</v>
      </c>
      <c r="J415" s="288" t="str">
        <f t="shared" si="2"/>
        <v>Battle against the monsters of darkness (Obtain a wood, stone, iron, gold or diamond sword)</v>
      </c>
      <c r="K415" s="289"/>
      <c r="L415" s="290"/>
      <c r="M415" s="289" t="s">
        <v>2241</v>
      </c>
      <c r="N415" s="289" t="s">
        <v>2242</v>
      </c>
      <c r="O415" s="239" t="s">
        <v>2243</v>
      </c>
      <c r="P415" s="291" t="s">
        <v>2240</v>
      </c>
      <c r="Q415" s="292" t="s">
        <v>2244</v>
      </c>
      <c r="R415" s="291" t="s">
        <v>194</v>
      </c>
      <c r="S415" s="292"/>
    </row>
    <row r="416">
      <c r="A416" s="230">
        <v>416.0</v>
      </c>
      <c r="B416" s="230" t="s">
        <v>188</v>
      </c>
      <c r="C416" s="231"/>
      <c r="D416" s="232"/>
      <c r="E416" s="232">
        <f>IFERROR(__xludf.DUMMYFUNCTION("iferror(SPLIT(D416,""/""),split(""0/0"",""/""))"),0.0)</f>
        <v>0</v>
      </c>
      <c r="F416" s="232">
        <f>IFERROR(__xludf.DUMMYFUNCTION("""COMPUTED_VALUE"""),0.0)</f>
        <v>0</v>
      </c>
      <c r="G416" s="247" t="b">
        <v>0</v>
      </c>
      <c r="H416" s="242" t="str">
        <f t="shared" si="1"/>
        <v/>
      </c>
      <c r="I416" s="243" t="s">
        <v>2245</v>
      </c>
      <c r="J416" s="288" t="str">
        <f t="shared" si="2"/>
        <v>Kill any hostile monster (See requirement notes below)</v>
      </c>
      <c r="K416" s="289"/>
      <c r="L416" s="290"/>
      <c r="M416" s="293" t="s">
        <v>238</v>
      </c>
      <c r="N416" s="289" t="s">
        <v>2246</v>
      </c>
      <c r="O416" s="239" t="s">
        <v>1969</v>
      </c>
      <c r="P416" s="291" t="s">
        <v>2240</v>
      </c>
      <c r="Q416" s="292" t="s">
        <v>2247</v>
      </c>
      <c r="R416" s="291" t="s">
        <v>194</v>
      </c>
      <c r="S416" s="292"/>
    </row>
    <row r="417">
      <c r="A417" s="230">
        <v>417.0</v>
      </c>
      <c r="B417" s="230" t="s">
        <v>188</v>
      </c>
      <c r="C417" s="231"/>
      <c r="D417" s="232"/>
      <c r="E417" s="232">
        <f>IFERROR(__xludf.DUMMYFUNCTION("iferror(SPLIT(D417,""/""),split(""0/0"",""/""))"),0.0)</f>
        <v>0</v>
      </c>
      <c r="F417" s="232">
        <f>IFERROR(__xludf.DUMMYFUNCTION("""COMPUTED_VALUE"""),0.0)</f>
        <v>0</v>
      </c>
      <c r="G417" s="247" t="b">
        <v>0</v>
      </c>
      <c r="H417" s="242" t="str">
        <f t="shared" si="1"/>
        <v/>
      </c>
      <c r="I417" s="243" t="s">
        <v>2248</v>
      </c>
      <c r="J417" s="288" t="str">
        <f t="shared" si="2"/>
        <v>Kill a zombie</v>
      </c>
      <c r="K417" s="289" t="s">
        <v>2249</v>
      </c>
      <c r="L417" s="290"/>
      <c r="M417" s="289"/>
      <c r="N417" s="289" t="s">
        <v>2250</v>
      </c>
      <c r="O417" s="239" t="s">
        <v>2029</v>
      </c>
      <c r="P417" s="291" t="s">
        <v>2240</v>
      </c>
      <c r="Q417" s="292" t="s">
        <v>2251</v>
      </c>
      <c r="R417" s="291" t="s">
        <v>194</v>
      </c>
      <c r="S417" s="292"/>
    </row>
    <row r="418">
      <c r="A418" s="230">
        <v>418.0</v>
      </c>
      <c r="B418" s="230" t="s">
        <v>188</v>
      </c>
      <c r="C418" s="231"/>
      <c r="D418" s="232"/>
      <c r="E418" s="232">
        <f>IFERROR(__xludf.DUMMYFUNCTION("iferror(SPLIT(D418,""/""),split(""0/0"",""/""))"),0.0)</f>
        <v>0</v>
      </c>
      <c r="F418" s="232">
        <f>IFERROR(__xludf.DUMMYFUNCTION("""COMPUTED_VALUE"""),0.0)</f>
        <v>0</v>
      </c>
      <c r="G418" s="247" t="b">
        <v>0</v>
      </c>
      <c r="H418" s="242" t="str">
        <f t="shared" si="1"/>
        <v/>
      </c>
      <c r="I418" s="243" t="s">
        <v>2252</v>
      </c>
      <c r="J418" s="288" t="str">
        <f t="shared" si="2"/>
        <v>Kill a zombie villager</v>
      </c>
      <c r="K418" s="289" t="s">
        <v>2249</v>
      </c>
      <c r="L418" s="290"/>
      <c r="M418" s="289"/>
      <c r="N418" s="289" t="s">
        <v>2253</v>
      </c>
      <c r="O418" s="239" t="s">
        <v>525</v>
      </c>
      <c r="P418" s="291" t="s">
        <v>2240</v>
      </c>
      <c r="Q418" s="292" t="s">
        <v>2254</v>
      </c>
      <c r="R418" s="291" t="s">
        <v>194</v>
      </c>
      <c r="S418" s="292"/>
    </row>
    <row r="419">
      <c r="A419" s="230">
        <v>419.0</v>
      </c>
      <c r="B419" s="230" t="s">
        <v>188</v>
      </c>
      <c r="C419" s="231"/>
      <c r="D419" s="232"/>
      <c r="E419" s="232">
        <f>IFERROR(__xludf.DUMMYFUNCTION("iferror(SPLIT(D419,""/""),split(""0/0"",""/""))"),0.0)</f>
        <v>0</v>
      </c>
      <c r="F419" s="232">
        <f>IFERROR(__xludf.DUMMYFUNCTION("""COMPUTED_VALUE"""),0.0)</f>
        <v>0</v>
      </c>
      <c r="G419" s="247" t="b">
        <v>0</v>
      </c>
      <c r="H419" s="242" t="str">
        <f t="shared" si="1"/>
        <v/>
      </c>
      <c r="I419" s="243" t="s">
        <v>2255</v>
      </c>
      <c r="J419" s="288" t="str">
        <f t="shared" si="2"/>
        <v>Stop starvation using rotten flesh (Eat rotten flesh)</v>
      </c>
      <c r="K419" s="289"/>
      <c r="L419" s="290"/>
      <c r="M419" s="289" t="s">
        <v>2256</v>
      </c>
      <c r="N419" s="289" t="s">
        <v>2257</v>
      </c>
      <c r="O419" s="239" t="s">
        <v>2029</v>
      </c>
      <c r="P419" s="291" t="s">
        <v>2240</v>
      </c>
      <c r="Q419" s="292" t="s">
        <v>2258</v>
      </c>
      <c r="R419" s="291" t="s">
        <v>194</v>
      </c>
      <c r="S419" s="292"/>
    </row>
    <row r="420">
      <c r="A420" s="230">
        <v>420.0</v>
      </c>
      <c r="B420" s="230" t="s">
        <v>188</v>
      </c>
      <c r="C420" s="231"/>
      <c r="D420" s="232"/>
      <c r="E420" s="232">
        <f>IFERROR(__xludf.DUMMYFUNCTION("iferror(SPLIT(D420,""/""),split(""0/0"",""/""))"),0.0)</f>
        <v>0</v>
      </c>
      <c r="F420" s="232">
        <f>IFERROR(__xludf.DUMMYFUNCTION("""COMPUTED_VALUE"""),0.0)</f>
        <v>0</v>
      </c>
      <c r="G420" s="247" t="b">
        <v>0</v>
      </c>
      <c r="H420" s="242" t="str">
        <f t="shared" si="1"/>
        <v/>
      </c>
      <c r="I420" s="243" t="s">
        <v>2259</v>
      </c>
      <c r="J420" s="288" t="str">
        <f t="shared" si="2"/>
        <v>Kill a husk</v>
      </c>
      <c r="K420" s="289"/>
      <c r="L420" s="290"/>
      <c r="M420" s="289"/>
      <c r="N420" s="289" t="s">
        <v>2260</v>
      </c>
      <c r="O420" s="239" t="s">
        <v>1334</v>
      </c>
      <c r="P420" s="291" t="s">
        <v>2240</v>
      </c>
      <c r="Q420" s="292" t="s">
        <v>2261</v>
      </c>
      <c r="R420" s="291" t="s">
        <v>194</v>
      </c>
      <c r="S420" s="292"/>
    </row>
    <row r="421">
      <c r="A421" s="230">
        <v>421.0</v>
      </c>
      <c r="B421" s="230" t="s">
        <v>188</v>
      </c>
      <c r="C421" s="231"/>
      <c r="D421" s="232"/>
      <c r="E421" s="232">
        <f>IFERROR(__xludf.DUMMYFUNCTION("iferror(SPLIT(D421,""/""),split(""0/0"",""/""))"),0.0)</f>
        <v>0</v>
      </c>
      <c r="F421" s="232">
        <f>IFERROR(__xludf.DUMMYFUNCTION("""COMPUTED_VALUE"""),0.0)</f>
        <v>0</v>
      </c>
      <c r="G421" s="247" t="b">
        <v>0</v>
      </c>
      <c r="H421" s="242" t="str">
        <f t="shared" si="1"/>
        <v/>
      </c>
      <c r="I421" s="246" t="s">
        <v>2262</v>
      </c>
      <c r="J421" s="288" t="str">
        <f t="shared" si="2"/>
        <v>Collect a stack of rotten flesh</v>
      </c>
      <c r="K421" s="289" t="s">
        <v>2263</v>
      </c>
      <c r="L421" s="290"/>
      <c r="M421" s="289"/>
      <c r="N421" s="289" t="s">
        <v>2264</v>
      </c>
      <c r="O421" s="239" t="s">
        <v>2265</v>
      </c>
      <c r="P421" s="291" t="s">
        <v>2240</v>
      </c>
      <c r="Q421" s="292" t="s">
        <v>2266</v>
      </c>
      <c r="R421" s="291" t="s">
        <v>194</v>
      </c>
      <c r="S421" s="292"/>
    </row>
    <row r="422">
      <c r="A422" s="230">
        <v>422.0</v>
      </c>
      <c r="B422" s="230" t="s">
        <v>257</v>
      </c>
      <c r="C422" s="231"/>
      <c r="D422" s="232"/>
      <c r="E422" s="232">
        <f>IFERROR(__xludf.DUMMYFUNCTION("iferror(SPLIT(D422,""/""),split(""0/0"",""/""))"),0.0)</f>
        <v>0</v>
      </c>
      <c r="F422" s="232">
        <f>IFERROR(__xludf.DUMMYFUNCTION("""COMPUTED_VALUE"""),0.0)</f>
        <v>0</v>
      </c>
      <c r="G422" s="233" t="b">
        <v>0</v>
      </c>
      <c r="H422" s="242" t="str">
        <f t="shared" si="1"/>
        <v/>
      </c>
      <c r="I422" s="276" t="s">
        <v>2267</v>
      </c>
      <c r="J422" s="288" t="str">
        <f t="shared" si="2"/>
        <v>Give a zombie a Totem... so that you have to kill it twice (Have a zombie pick up a Totem of Undying that you dropped)</v>
      </c>
      <c r="K422" s="289"/>
      <c r="L422" s="290"/>
      <c r="M422" s="289" t="s">
        <v>2268</v>
      </c>
      <c r="N422" s="289" t="s">
        <v>2269</v>
      </c>
      <c r="O422" s="239" t="s">
        <v>2078</v>
      </c>
      <c r="P422" s="291" t="s">
        <v>2240</v>
      </c>
      <c r="Q422" s="292" t="s">
        <v>2270</v>
      </c>
      <c r="R422" s="291" t="s">
        <v>194</v>
      </c>
      <c r="S422" s="291" t="s">
        <v>1948</v>
      </c>
    </row>
    <row r="423">
      <c r="A423" s="230">
        <v>423.0</v>
      </c>
      <c r="B423" s="230" t="s">
        <v>257</v>
      </c>
      <c r="C423" s="231"/>
      <c r="D423" s="232"/>
      <c r="E423" s="232">
        <f>IFERROR(__xludf.DUMMYFUNCTION("iferror(SPLIT(D423,""/""),split(""0/0"",""/""))"),0.0)</f>
        <v>0</v>
      </c>
      <c r="F423" s="232">
        <f>IFERROR(__xludf.DUMMYFUNCTION("""COMPUTED_VALUE"""),0.0)</f>
        <v>0</v>
      </c>
      <c r="G423" s="247" t="b">
        <v>0</v>
      </c>
      <c r="H423" s="242" t="str">
        <f t="shared" si="1"/>
        <v/>
      </c>
      <c r="I423" s="249" t="s">
        <v>2271</v>
      </c>
      <c r="J423" s="288" t="str">
        <f t="shared" si="2"/>
        <v>Bring a husk to a tundra biome and then kill it (Kill a husk in a snowy tundra or ice spikes biome above y-level 56)</v>
      </c>
      <c r="K423" s="289" t="s">
        <v>2272</v>
      </c>
      <c r="L423" s="290"/>
      <c r="M423" s="289" t="s">
        <v>2273</v>
      </c>
      <c r="N423" s="289" t="s">
        <v>2274</v>
      </c>
      <c r="O423" s="239" t="s">
        <v>1509</v>
      </c>
      <c r="P423" s="291" t="s">
        <v>2240</v>
      </c>
      <c r="Q423" s="292" t="s">
        <v>2275</v>
      </c>
      <c r="R423" s="291" t="s">
        <v>194</v>
      </c>
      <c r="S423" s="291" t="s">
        <v>1948</v>
      </c>
    </row>
    <row r="424">
      <c r="A424" s="230">
        <v>424.0</v>
      </c>
      <c r="B424" s="230" t="s">
        <v>188</v>
      </c>
      <c r="C424" s="231"/>
      <c r="D424" s="232"/>
      <c r="E424" s="232">
        <f>IFERROR(__xludf.DUMMYFUNCTION("iferror(SPLIT(D424,""/""),split(""0/0"",""/""))"),0.0)</f>
        <v>0</v>
      </c>
      <c r="F424" s="232">
        <f>IFERROR(__xludf.DUMMYFUNCTION("""COMPUTED_VALUE"""),0.0)</f>
        <v>0</v>
      </c>
      <c r="G424" s="233" t="b">
        <v>0</v>
      </c>
      <c r="H424" s="242" t="str">
        <f t="shared" si="1"/>
        <v/>
      </c>
      <c r="I424" s="294" t="s">
        <v>2276</v>
      </c>
      <c r="J424" s="288" t="str">
        <f t="shared" si="2"/>
        <v>Blow up a zombie with a charged creeper to get a zombie head (Obtain a zombie head)</v>
      </c>
      <c r="K424" s="289"/>
      <c r="L424" s="290"/>
      <c r="M424" s="289" t="s">
        <v>2277</v>
      </c>
      <c r="N424" s="289" t="s">
        <v>2278</v>
      </c>
      <c r="O424" s="239" t="s">
        <v>2243</v>
      </c>
      <c r="P424" s="291" t="s">
        <v>2240</v>
      </c>
      <c r="Q424" s="292" t="s">
        <v>2279</v>
      </c>
      <c r="R424" s="291" t="s">
        <v>194</v>
      </c>
      <c r="S424" s="292"/>
    </row>
    <row r="425">
      <c r="A425" s="230">
        <v>425.0</v>
      </c>
      <c r="B425" s="230" t="s">
        <v>257</v>
      </c>
      <c r="C425" s="231"/>
      <c r="D425" s="232"/>
      <c r="E425" s="232">
        <f>IFERROR(__xludf.DUMMYFUNCTION("iferror(SPLIT(D425,""/""),split(""0/0"",""/""))"),0.0)</f>
        <v>0</v>
      </c>
      <c r="F425" s="232">
        <f>IFERROR(__xludf.DUMMYFUNCTION("""COMPUTED_VALUE"""),0.0)</f>
        <v>0</v>
      </c>
      <c r="G425" s="247" t="b">
        <v>0</v>
      </c>
      <c r="H425" s="242" t="str">
        <f t="shared" si="1"/>
        <v/>
      </c>
      <c r="I425" s="249" t="s">
        <v>2280</v>
      </c>
      <c r="J425" s="288" t="str">
        <f t="shared" si="2"/>
        <v>Reunite all zombie variants (and their baby forms) in one place (See requirement notes below)</v>
      </c>
      <c r="K425" s="289" t="s">
        <v>2281</v>
      </c>
      <c r="L425" s="290"/>
      <c r="M425" s="293" t="s">
        <v>238</v>
      </c>
      <c r="N425" s="289" t="s">
        <v>2282</v>
      </c>
      <c r="O425" s="239" t="s">
        <v>2283</v>
      </c>
      <c r="P425" s="291" t="s">
        <v>2240</v>
      </c>
      <c r="Q425" s="292" t="s">
        <v>2284</v>
      </c>
      <c r="R425" s="291" t="s">
        <v>194</v>
      </c>
      <c r="S425" s="291" t="s">
        <v>267</v>
      </c>
    </row>
    <row r="426">
      <c r="A426" s="230">
        <v>426.0</v>
      </c>
      <c r="B426" s="230" t="s">
        <v>257</v>
      </c>
      <c r="C426" s="231"/>
      <c r="D426" s="232"/>
      <c r="E426" s="232">
        <f>IFERROR(__xludf.DUMMYFUNCTION("iferror(SPLIT(D426,""/""),split(""0/0"",""/""))"),0.0)</f>
        <v>0</v>
      </c>
      <c r="F426" s="232">
        <f>IFERROR(__xludf.DUMMYFUNCTION("""COMPUTED_VALUE"""),0.0)</f>
        <v>0</v>
      </c>
      <c r="G426" s="247" t="b">
        <v>0</v>
      </c>
      <c r="H426" s="242" t="str">
        <f t="shared" si="1"/>
        <v/>
      </c>
      <c r="I426" s="249" t="s">
        <v>2285</v>
      </c>
      <c r="J426" s="288" t="str">
        <f t="shared" si="2"/>
        <v>Give a zombie full diamond armor and a diamond sword... then kill it</v>
      </c>
      <c r="K426" s="289" t="s">
        <v>2286</v>
      </c>
      <c r="L426" s="290"/>
      <c r="M426" s="289"/>
      <c r="N426" s="289" t="s">
        <v>2287</v>
      </c>
      <c r="O426" s="239" t="s">
        <v>692</v>
      </c>
      <c r="P426" s="291" t="s">
        <v>2240</v>
      </c>
      <c r="Q426" s="292" t="s">
        <v>2288</v>
      </c>
      <c r="R426" s="291" t="s">
        <v>194</v>
      </c>
      <c r="S426" s="291" t="s">
        <v>1948</v>
      </c>
    </row>
    <row r="427">
      <c r="A427" s="230">
        <v>427.0</v>
      </c>
      <c r="B427" s="230" t="s">
        <v>257</v>
      </c>
      <c r="C427" s="231"/>
      <c r="D427" s="232"/>
      <c r="E427" s="232">
        <f>IFERROR(__xludf.DUMMYFUNCTION("iferror(SPLIT(D427,""/""),split(""0/0"",""/""))"),0.0)</f>
        <v>0</v>
      </c>
      <c r="F427" s="232">
        <f>IFERROR(__xludf.DUMMYFUNCTION("""COMPUTED_VALUE"""),0.0)</f>
        <v>0</v>
      </c>
      <c r="G427" s="247" t="b">
        <v>0</v>
      </c>
      <c r="H427" s="242" t="str">
        <f t="shared" si="1"/>
        <v/>
      </c>
      <c r="I427" s="246" t="s">
        <v>2289</v>
      </c>
      <c r="J427" s="288" t="str">
        <f t="shared" si="2"/>
        <v>Defeat a mob wearing a pumpkin</v>
      </c>
      <c r="K427" s="289" t="s">
        <v>1515</v>
      </c>
      <c r="L427" s="290"/>
      <c r="M427" s="289"/>
      <c r="N427" s="289" t="s">
        <v>2290</v>
      </c>
      <c r="O427" s="239" t="s">
        <v>1518</v>
      </c>
      <c r="P427" s="291" t="s">
        <v>2240</v>
      </c>
      <c r="Q427" s="292" t="s">
        <v>2291</v>
      </c>
      <c r="R427" s="291" t="s">
        <v>194</v>
      </c>
      <c r="S427" s="291" t="s">
        <v>1948</v>
      </c>
    </row>
    <row r="428">
      <c r="A428" s="230">
        <v>428.0</v>
      </c>
      <c r="B428" s="230" t="s">
        <v>188</v>
      </c>
      <c r="C428" s="231"/>
      <c r="D428" s="232"/>
      <c r="E428" s="232">
        <f>IFERROR(__xludf.DUMMYFUNCTION("iferror(SPLIT(D428,""/""),split(""0/0"",""/""))"),0.0)</f>
        <v>0</v>
      </c>
      <c r="F428" s="232">
        <f>IFERROR(__xludf.DUMMYFUNCTION("""COMPUTED_VALUE"""),0.0)</f>
        <v>0</v>
      </c>
      <c r="G428" s="247" t="b">
        <v>0</v>
      </c>
      <c r="H428" s="242" t="str">
        <f t="shared" si="1"/>
        <v/>
      </c>
      <c r="I428" s="295" t="s">
        <v>2292</v>
      </c>
      <c r="J428" s="288" t="str">
        <f t="shared" si="2"/>
        <v>Defeat a Drowned in the briny depths. Gurgle (Kill a drowned)</v>
      </c>
      <c r="K428" s="289"/>
      <c r="L428" s="290"/>
      <c r="M428" s="289" t="s">
        <v>2293</v>
      </c>
      <c r="N428" s="296" t="s">
        <v>2294</v>
      </c>
      <c r="O428" s="239" t="s">
        <v>2214</v>
      </c>
      <c r="P428" s="291" t="s">
        <v>2240</v>
      </c>
      <c r="Q428" s="292" t="s">
        <v>2295</v>
      </c>
      <c r="R428" s="291" t="s">
        <v>194</v>
      </c>
      <c r="S428" s="292"/>
    </row>
    <row r="429">
      <c r="A429" s="230">
        <v>429.0</v>
      </c>
      <c r="B429" s="230" t="s">
        <v>188</v>
      </c>
      <c r="C429" s="231"/>
      <c r="D429" s="232"/>
      <c r="E429" s="232">
        <f>IFERROR(__xludf.DUMMYFUNCTION("iferror(SPLIT(D429,""/""),split(""0/0"",""/""))"),0.0)</f>
        <v>0</v>
      </c>
      <c r="F429" s="232">
        <f>IFERROR(__xludf.DUMMYFUNCTION("""COMPUTED_VALUE"""),0.0)</f>
        <v>0</v>
      </c>
      <c r="G429" s="247" t="b">
        <v>0</v>
      </c>
      <c r="H429" s="242" t="str">
        <f t="shared" si="1"/>
        <v/>
      </c>
      <c r="I429" s="295" t="s">
        <v>2296</v>
      </c>
      <c r="J429" s="288" t="str">
        <f t="shared" si="2"/>
        <v>Block a trident thrown by a Drowned</v>
      </c>
      <c r="K429" s="289"/>
      <c r="L429" s="290"/>
      <c r="M429" s="289"/>
      <c r="N429" s="289" t="s">
        <v>2297</v>
      </c>
      <c r="O429" s="239" t="s">
        <v>2298</v>
      </c>
      <c r="P429" s="291" t="s">
        <v>2240</v>
      </c>
      <c r="Q429" s="292" t="s">
        <v>2299</v>
      </c>
      <c r="R429" s="291" t="s">
        <v>194</v>
      </c>
      <c r="S429" s="292"/>
    </row>
    <row r="430">
      <c r="A430" s="230">
        <v>430.0</v>
      </c>
      <c r="B430" s="230" t="s">
        <v>188</v>
      </c>
      <c r="C430" s="231"/>
      <c r="D430" s="232"/>
      <c r="E430" s="232">
        <f>IFERROR(__xludf.DUMMYFUNCTION("iferror(SPLIT(D430,""/""),split(""0/0"",""/""))"),0.0)</f>
        <v>0</v>
      </c>
      <c r="F430" s="232">
        <f>IFERROR(__xludf.DUMMYFUNCTION("""COMPUTED_VALUE"""),0.0)</f>
        <v>0</v>
      </c>
      <c r="G430" s="247" t="b">
        <v>0</v>
      </c>
      <c r="H430" s="242" t="str">
        <f t="shared" si="1"/>
        <v/>
      </c>
      <c r="I430" s="297" t="s">
        <v>2300</v>
      </c>
      <c r="J430" s="288" t="str">
        <f t="shared" si="2"/>
        <v>Obtain a trident from a Drowned (Obtain a trident)</v>
      </c>
      <c r="K430" s="289"/>
      <c r="L430" s="290"/>
      <c r="M430" s="289" t="s">
        <v>2301</v>
      </c>
      <c r="N430" s="289" t="s">
        <v>2302</v>
      </c>
      <c r="O430" s="239" t="s">
        <v>1716</v>
      </c>
      <c r="P430" s="291" t="s">
        <v>2240</v>
      </c>
      <c r="Q430" s="292" t="s">
        <v>2303</v>
      </c>
      <c r="R430" s="291" t="s">
        <v>194</v>
      </c>
      <c r="S430" s="292"/>
    </row>
    <row r="431">
      <c r="A431" s="230">
        <v>431.0</v>
      </c>
      <c r="B431" s="230" t="s">
        <v>188</v>
      </c>
      <c r="C431" s="231"/>
      <c r="D431" s="232"/>
      <c r="E431" s="232">
        <f>IFERROR(__xludf.DUMMYFUNCTION("iferror(SPLIT(D431,""/""),split(""0/0"",""/""))"),0.0)</f>
        <v>0</v>
      </c>
      <c r="F431" s="232">
        <f>IFERROR(__xludf.DUMMYFUNCTION("""COMPUTED_VALUE"""),0.0)</f>
        <v>0</v>
      </c>
      <c r="G431" s="247" t="b">
        <v>0</v>
      </c>
      <c r="H431" s="242" t="str">
        <f t="shared" si="1"/>
        <v/>
      </c>
      <c r="I431" s="297" t="s">
        <v>2304</v>
      </c>
      <c r="J431" s="288" t="str">
        <f t="shared" si="2"/>
        <v>Defeat a Drowned that is holding a nautilus shell</v>
      </c>
      <c r="K431" s="289" t="s">
        <v>2305</v>
      </c>
      <c r="L431" s="290"/>
      <c r="M431" s="289"/>
      <c r="N431" s="289" t="s">
        <v>2306</v>
      </c>
      <c r="O431" s="239" t="s">
        <v>2195</v>
      </c>
      <c r="P431" s="291" t="s">
        <v>2240</v>
      </c>
      <c r="Q431" s="292" t="s">
        <v>2307</v>
      </c>
      <c r="R431" s="291" t="s">
        <v>194</v>
      </c>
      <c r="S431" s="292"/>
    </row>
    <row r="432">
      <c r="A432" s="230">
        <v>432.0</v>
      </c>
      <c r="B432" s="230" t="s">
        <v>206</v>
      </c>
      <c r="C432" s="231"/>
      <c r="D432" s="232"/>
      <c r="E432" s="232">
        <f>IFERROR(__xludf.DUMMYFUNCTION("iferror(SPLIT(D432,""/""),split(""0/0"",""/""))"),0.0)</f>
        <v>0</v>
      </c>
      <c r="F432" s="232">
        <f>IFERROR(__xludf.DUMMYFUNCTION("""COMPUTED_VALUE"""),0.0)</f>
        <v>0</v>
      </c>
      <c r="G432" s="247" t="b">
        <v>0</v>
      </c>
      <c r="H432" s="242" t="str">
        <f t="shared" si="1"/>
        <v/>
      </c>
      <c r="I432" s="298" t="s">
        <v>2308</v>
      </c>
      <c r="J432" s="288" t="str">
        <f t="shared" si="2"/>
        <v>Defeat a Drowned that is holding a nautilus shell and a trident</v>
      </c>
      <c r="K432" s="289" t="s">
        <v>2309</v>
      </c>
      <c r="L432" s="290"/>
      <c r="M432" s="289"/>
      <c r="N432" s="289" t="s">
        <v>2310</v>
      </c>
      <c r="O432" s="239" t="s">
        <v>1716</v>
      </c>
      <c r="P432" s="291" t="s">
        <v>2240</v>
      </c>
      <c r="Q432" s="292" t="s">
        <v>2311</v>
      </c>
      <c r="R432" s="291" t="s">
        <v>194</v>
      </c>
      <c r="S432" s="291" t="s">
        <v>1343</v>
      </c>
    </row>
    <row r="433">
      <c r="A433" s="230">
        <v>433.0</v>
      </c>
      <c r="B433" s="230" t="s">
        <v>188</v>
      </c>
      <c r="C433" s="231"/>
      <c r="D433" s="232"/>
      <c r="E433" s="232">
        <f>IFERROR(__xludf.DUMMYFUNCTION("iferror(SPLIT(D433,""/""),split(""0/0"",""/""))"),0.0)</f>
        <v>0</v>
      </c>
      <c r="F433" s="232">
        <f>IFERROR(__xludf.DUMMYFUNCTION("""COMPUTED_VALUE"""),0.0)</f>
        <v>0</v>
      </c>
      <c r="G433" s="247" t="b">
        <v>0</v>
      </c>
      <c r="H433" s="242" t="str">
        <f t="shared" si="1"/>
        <v/>
      </c>
      <c r="I433" s="295" t="s">
        <v>2312</v>
      </c>
      <c r="J433" s="288" t="str">
        <f t="shared" si="2"/>
        <v>Kill a baby zombie (Kill a baby zombie, zombie villager, husk, drowned or zombie pigman)</v>
      </c>
      <c r="K433" s="289"/>
      <c r="L433" s="290"/>
      <c r="M433" s="289" t="s">
        <v>2313</v>
      </c>
      <c r="N433" s="289" t="s">
        <v>2314</v>
      </c>
      <c r="O433" s="239" t="s">
        <v>2315</v>
      </c>
      <c r="P433" s="291" t="s">
        <v>2240</v>
      </c>
      <c r="Q433" s="292" t="s">
        <v>2316</v>
      </c>
      <c r="R433" s="291" t="s">
        <v>194</v>
      </c>
      <c r="S433" s="292"/>
    </row>
    <row r="434">
      <c r="A434" s="230">
        <v>434.0</v>
      </c>
      <c r="B434" s="230" t="s">
        <v>283</v>
      </c>
      <c r="C434" s="231"/>
      <c r="D434" s="232"/>
      <c r="E434" s="232">
        <f>IFERROR(__xludf.DUMMYFUNCTION("iferror(SPLIT(D434,""/""),split(""0/0"",""/""))"),0.0)</f>
        <v>0</v>
      </c>
      <c r="F434" s="232">
        <f>IFERROR(__xludf.DUMMYFUNCTION("""COMPUTED_VALUE"""),0.0)</f>
        <v>0</v>
      </c>
      <c r="G434" s="233" t="b">
        <v>0</v>
      </c>
      <c r="H434" s="242" t="str">
        <f t="shared" si="1"/>
        <v/>
      </c>
      <c r="I434" s="299" t="s">
        <v>2317</v>
      </c>
      <c r="J434" s="288" t="str">
        <f t="shared" si="2"/>
        <v>Kill one of each of a baby zombie, zombie villager, husk, drowned and zombie pigman</v>
      </c>
      <c r="K434" s="289"/>
      <c r="L434" s="290"/>
      <c r="M434" s="289"/>
      <c r="N434" s="289" t="s">
        <v>2318</v>
      </c>
      <c r="O434" s="239" t="s">
        <v>2319</v>
      </c>
      <c r="P434" s="291" t="s">
        <v>2240</v>
      </c>
      <c r="Q434" s="292" t="s">
        <v>2320</v>
      </c>
      <c r="R434" s="291" t="s">
        <v>194</v>
      </c>
      <c r="S434" s="291" t="s">
        <v>267</v>
      </c>
    </row>
    <row r="435">
      <c r="A435" s="230">
        <v>435.0</v>
      </c>
      <c r="B435" s="230" t="s">
        <v>206</v>
      </c>
      <c r="C435" s="231"/>
      <c r="D435" s="232"/>
      <c r="E435" s="232">
        <f>IFERROR(__xludf.DUMMYFUNCTION("iferror(SPLIT(D435,""/""),split(""0/0"",""/""))"),0.0)</f>
        <v>0</v>
      </c>
      <c r="F435" s="232">
        <f>IFERROR(__xludf.DUMMYFUNCTION("""COMPUTED_VALUE"""),0.0)</f>
        <v>0</v>
      </c>
      <c r="G435" s="247" t="b">
        <v>0</v>
      </c>
      <c r="H435" s="242" t="str">
        <f t="shared" si="1"/>
        <v/>
      </c>
      <c r="I435" s="297" t="s">
        <v>2321</v>
      </c>
      <c r="J435" s="288" t="str">
        <f t="shared" si="2"/>
        <v>Slay the elusive Chicken Jockey (Kill a chicken being ridden by a zombie, zombie villager, husk or drowned, or vice versa)</v>
      </c>
      <c r="K435" s="289" t="s">
        <v>1764</v>
      </c>
      <c r="L435" s="290"/>
      <c r="M435" s="289" t="s">
        <v>2322</v>
      </c>
      <c r="N435" s="289" t="s">
        <v>2323</v>
      </c>
      <c r="O435" s="239" t="s">
        <v>2283</v>
      </c>
      <c r="P435" s="291" t="s">
        <v>2240</v>
      </c>
      <c r="Q435" s="292" t="s">
        <v>2324</v>
      </c>
      <c r="R435" s="291" t="s">
        <v>194</v>
      </c>
      <c r="S435" s="292"/>
    </row>
    <row r="436">
      <c r="A436" s="230">
        <v>436.0</v>
      </c>
      <c r="B436" s="230" t="s">
        <v>188</v>
      </c>
      <c r="C436" s="231"/>
      <c r="D436" s="232"/>
      <c r="E436" s="232">
        <f>IFERROR(__xludf.DUMMYFUNCTION("iferror(SPLIT(D436,""/""),split(""0/0"",""/""))"),0.0)</f>
        <v>0</v>
      </c>
      <c r="F436" s="232">
        <f>IFERROR(__xludf.DUMMYFUNCTION("""COMPUTED_VALUE"""),0.0)</f>
        <v>0</v>
      </c>
      <c r="G436" s="247" t="b">
        <v>0</v>
      </c>
      <c r="H436" s="242" t="str">
        <f t="shared" si="1"/>
        <v/>
      </c>
      <c r="I436" s="295" t="s">
        <v>2325</v>
      </c>
      <c r="J436" s="288" t="str">
        <f t="shared" si="2"/>
        <v>Kill a skeleton</v>
      </c>
      <c r="K436" s="289" t="s">
        <v>2326</v>
      </c>
      <c r="L436" s="290"/>
      <c r="M436" s="289"/>
      <c r="N436" s="289" t="s">
        <v>2327</v>
      </c>
      <c r="O436" s="239" t="s">
        <v>2024</v>
      </c>
      <c r="P436" s="291" t="s">
        <v>2240</v>
      </c>
      <c r="Q436" s="292" t="s">
        <v>2328</v>
      </c>
      <c r="R436" s="291" t="s">
        <v>194</v>
      </c>
      <c r="S436" s="292"/>
    </row>
    <row r="437">
      <c r="A437" s="230">
        <v>437.0</v>
      </c>
      <c r="B437" s="230" t="s">
        <v>188</v>
      </c>
      <c r="C437" s="231"/>
      <c r="D437" s="232"/>
      <c r="E437" s="232">
        <f>IFERROR(__xludf.DUMMYFUNCTION("iferror(SPLIT(D437,""/""),split(""0/0"",""/""))"),0.0)</f>
        <v>0</v>
      </c>
      <c r="F437" s="232">
        <f>IFERROR(__xludf.DUMMYFUNCTION("""COMPUTED_VALUE"""),0.0)</f>
        <v>0</v>
      </c>
      <c r="G437" s="247" t="b">
        <v>0</v>
      </c>
      <c r="H437" s="242" t="str">
        <f t="shared" si="1"/>
        <v/>
      </c>
      <c r="I437" s="295" t="s">
        <v>2329</v>
      </c>
      <c r="J437" s="288" t="str">
        <f t="shared" si="2"/>
        <v>Grind up some bones into bone meal (Craft bone meal from either bones or bone blocks)</v>
      </c>
      <c r="K437" s="289" t="s">
        <v>227</v>
      </c>
      <c r="L437" s="290"/>
      <c r="M437" s="289" t="s">
        <v>2330</v>
      </c>
      <c r="N437" s="289" t="s">
        <v>2331</v>
      </c>
      <c r="O437" s="239" t="s">
        <v>1565</v>
      </c>
      <c r="P437" s="291" t="s">
        <v>2240</v>
      </c>
      <c r="Q437" s="292" t="s">
        <v>2332</v>
      </c>
      <c r="R437" s="291" t="s">
        <v>194</v>
      </c>
      <c r="S437" s="292"/>
    </row>
    <row r="438">
      <c r="A438" s="230">
        <v>438.0</v>
      </c>
      <c r="B438" s="230" t="s">
        <v>188</v>
      </c>
      <c r="C438" s="231"/>
      <c r="D438" s="232"/>
      <c r="E438" s="232">
        <f>IFERROR(__xludf.DUMMYFUNCTION("iferror(SPLIT(D438,""/""),split(""0/0"",""/""))"),0.0)</f>
        <v>0</v>
      </c>
      <c r="F438" s="232">
        <f>IFERROR(__xludf.DUMMYFUNCTION("""COMPUTED_VALUE"""),0.0)</f>
        <v>0</v>
      </c>
      <c r="G438" s="247" t="b">
        <v>0</v>
      </c>
      <c r="H438" s="242" t="str">
        <f t="shared" si="1"/>
        <v/>
      </c>
      <c r="I438" s="295" t="s">
        <v>2333</v>
      </c>
      <c r="J438" s="288" t="str">
        <f t="shared" si="2"/>
        <v>Deflect an arrow with a shield (Block an arrow shot by either a skeleton or a stray)</v>
      </c>
      <c r="K438" s="289"/>
      <c r="L438" s="290"/>
      <c r="M438" s="289" t="s">
        <v>2334</v>
      </c>
      <c r="N438" s="289" t="s">
        <v>2335</v>
      </c>
      <c r="O438" s="239" t="s">
        <v>2298</v>
      </c>
      <c r="P438" s="291" t="s">
        <v>2240</v>
      </c>
      <c r="Q438" s="292" t="s">
        <v>2336</v>
      </c>
      <c r="R438" s="291" t="s">
        <v>194</v>
      </c>
      <c r="S438" s="292"/>
    </row>
    <row r="439">
      <c r="A439" s="230">
        <v>439.0</v>
      </c>
      <c r="B439" s="230" t="s">
        <v>188</v>
      </c>
      <c r="C439" s="231"/>
      <c r="D439" s="232"/>
      <c r="E439" s="232">
        <f>IFERROR(__xludf.DUMMYFUNCTION("iferror(SPLIT(D439,""/""),split(""0/0"",""/""))"),0.0)</f>
        <v>0</v>
      </c>
      <c r="F439" s="232">
        <f>IFERROR(__xludf.DUMMYFUNCTION("""COMPUTED_VALUE"""),0.0)</f>
        <v>0</v>
      </c>
      <c r="G439" s="247" t="b">
        <v>0</v>
      </c>
      <c r="H439" s="242" t="str">
        <f t="shared" si="1"/>
        <v/>
      </c>
      <c r="I439" s="297" t="s">
        <v>2337</v>
      </c>
      <c r="J439" s="288" t="str">
        <f t="shared" si="2"/>
        <v>Collect a stack of bones</v>
      </c>
      <c r="K439" s="289" t="s">
        <v>2338</v>
      </c>
      <c r="L439" s="290"/>
      <c r="M439" s="289"/>
      <c r="N439" s="289" t="s">
        <v>2339</v>
      </c>
      <c r="O439" s="239" t="s">
        <v>2340</v>
      </c>
      <c r="P439" s="291" t="s">
        <v>2240</v>
      </c>
      <c r="Q439" s="292" t="s">
        <v>2341</v>
      </c>
      <c r="R439" s="291" t="s">
        <v>194</v>
      </c>
      <c r="S439" s="292"/>
    </row>
    <row r="440">
      <c r="A440" s="230">
        <v>440.0</v>
      </c>
      <c r="B440" s="230" t="s">
        <v>188</v>
      </c>
      <c r="C440" s="231"/>
      <c r="D440" s="232"/>
      <c r="E440" s="232">
        <f>IFERROR(__xludf.DUMMYFUNCTION("iferror(SPLIT(D440,""/""),split(""0/0"",""/""))"),0.0)</f>
        <v>0</v>
      </c>
      <c r="F440" s="232">
        <f>IFERROR(__xludf.DUMMYFUNCTION("""COMPUTED_VALUE"""),0.0)</f>
        <v>0</v>
      </c>
      <c r="G440" s="247" t="b">
        <v>0</v>
      </c>
      <c r="H440" s="242" t="str">
        <f t="shared" si="1"/>
        <v/>
      </c>
      <c r="I440" s="297" t="s">
        <v>2342</v>
      </c>
      <c r="J440" s="288" t="str">
        <f t="shared" si="2"/>
        <v>Craft or mine a stack of bone blocks</v>
      </c>
      <c r="K440" s="289" t="s">
        <v>2343</v>
      </c>
      <c r="L440" s="290"/>
      <c r="M440" s="289"/>
      <c r="N440" s="289" t="s">
        <v>2344</v>
      </c>
      <c r="O440" s="239" t="s">
        <v>2345</v>
      </c>
      <c r="P440" s="291" t="s">
        <v>2240</v>
      </c>
      <c r="Q440" s="292" t="s">
        <v>2346</v>
      </c>
      <c r="R440" s="291" t="s">
        <v>194</v>
      </c>
      <c r="S440" s="292"/>
    </row>
    <row r="441">
      <c r="A441" s="230">
        <v>441.0</v>
      </c>
      <c r="B441" s="230" t="s">
        <v>188</v>
      </c>
      <c r="C441" s="231"/>
      <c r="D441" s="232"/>
      <c r="E441" s="232">
        <f>IFERROR(__xludf.DUMMYFUNCTION("iferror(SPLIT(D441,""/""),split(""0/0"",""/""))"),0.0)</f>
        <v>0</v>
      </c>
      <c r="F441" s="232">
        <f>IFERROR(__xludf.DUMMYFUNCTION("""COMPUTED_VALUE"""),0.0)</f>
        <v>0</v>
      </c>
      <c r="G441" s="247" t="b">
        <v>0</v>
      </c>
      <c r="H441" s="242" t="str">
        <f t="shared" si="1"/>
        <v/>
      </c>
      <c r="I441" s="295" t="s">
        <v>2347</v>
      </c>
      <c r="J441" s="288" t="str">
        <f t="shared" si="2"/>
        <v>Kill a stray</v>
      </c>
      <c r="K441" s="289" t="s">
        <v>2348</v>
      </c>
      <c r="L441" s="290"/>
      <c r="M441" s="289"/>
      <c r="N441" s="289" t="s">
        <v>2349</v>
      </c>
      <c r="O441" s="239" t="s">
        <v>2350</v>
      </c>
      <c r="P441" s="291" t="s">
        <v>2240</v>
      </c>
      <c r="Q441" s="292" t="s">
        <v>2351</v>
      </c>
      <c r="R441" s="291" t="s">
        <v>194</v>
      </c>
      <c r="S441" s="292"/>
    </row>
    <row r="442">
      <c r="A442" s="230">
        <v>442.0</v>
      </c>
      <c r="B442" s="230" t="s">
        <v>188</v>
      </c>
      <c r="C442" s="231"/>
      <c r="D442" s="232"/>
      <c r="E442" s="232">
        <f>IFERROR(__xludf.DUMMYFUNCTION("iferror(SPLIT(D442,""/""),split(""0/0"",""/""))"),0.0)</f>
        <v>0</v>
      </c>
      <c r="F442" s="232">
        <f>IFERROR(__xludf.DUMMYFUNCTION("""COMPUTED_VALUE"""),0.0)</f>
        <v>0</v>
      </c>
      <c r="G442" s="247" t="b">
        <v>0</v>
      </c>
      <c r="H442" s="242" t="str">
        <f t="shared" si="1"/>
        <v/>
      </c>
      <c r="I442" s="295" t="s">
        <v>2352</v>
      </c>
      <c r="J442" s="288" t="str">
        <f t="shared" si="2"/>
        <v>Kill a Bogged. Watch those poison arrows!</v>
      </c>
      <c r="K442" s="289" t="s">
        <v>2353</v>
      </c>
      <c r="L442" s="290"/>
      <c r="M442" s="289"/>
      <c r="N442" s="289" t="s">
        <v>2354</v>
      </c>
      <c r="O442" s="239" t="s">
        <v>1389</v>
      </c>
      <c r="P442" s="291" t="s">
        <v>2240</v>
      </c>
      <c r="Q442" s="292" t="s">
        <v>2355</v>
      </c>
      <c r="R442" s="291" t="s">
        <v>194</v>
      </c>
      <c r="S442" s="292"/>
    </row>
    <row r="443">
      <c r="A443" s="230">
        <v>443.0</v>
      </c>
      <c r="B443" s="230" t="s">
        <v>283</v>
      </c>
      <c r="C443" s="231"/>
      <c r="D443" s="232"/>
      <c r="E443" s="232">
        <f>IFERROR(__xludf.DUMMYFUNCTION("iferror(SPLIT(D443,""/""),split(""0/0"",""/""))"),0.0)</f>
        <v>0</v>
      </c>
      <c r="F443" s="232">
        <f>IFERROR(__xludf.DUMMYFUNCTION("""COMPUTED_VALUE"""),0.0)</f>
        <v>0</v>
      </c>
      <c r="G443" s="247" t="b">
        <v>0</v>
      </c>
      <c r="H443" s="242" t="str">
        <f t="shared" si="1"/>
        <v/>
      </c>
      <c r="I443" s="295" t="s">
        <v>2356</v>
      </c>
      <c r="J443" s="288" t="str">
        <f t="shared" si="2"/>
        <v>Shoot a mob with a Tipped Arrow of Poison</v>
      </c>
      <c r="K443" s="289" t="s">
        <v>2357</v>
      </c>
      <c r="L443" s="290"/>
      <c r="M443" s="289"/>
      <c r="N443" s="289" t="s">
        <v>2358</v>
      </c>
      <c r="O443" s="239" t="s">
        <v>2359</v>
      </c>
      <c r="P443" s="291" t="s">
        <v>2240</v>
      </c>
      <c r="Q443" s="292" t="s">
        <v>2360</v>
      </c>
      <c r="R443" s="291" t="s">
        <v>194</v>
      </c>
      <c r="S443" s="292"/>
    </row>
    <row r="444">
      <c r="A444" s="230">
        <v>444.0</v>
      </c>
      <c r="B444" s="230" t="s">
        <v>206</v>
      </c>
      <c r="C444" s="231"/>
      <c r="D444" s="232"/>
      <c r="E444" s="232">
        <f>IFERROR(__xludf.DUMMYFUNCTION("iferror(SPLIT(D444,""/""),split(""0/0"",""/""))"),0.0)</f>
        <v>0</v>
      </c>
      <c r="F444" s="232">
        <f>IFERROR(__xludf.DUMMYFUNCTION("""COMPUTED_VALUE"""),0.0)</f>
        <v>0</v>
      </c>
      <c r="G444" s="247" t="b">
        <v>0</v>
      </c>
      <c r="H444" s="242" t="str">
        <f t="shared" si="1"/>
        <v/>
      </c>
      <c r="I444" s="297" t="s">
        <v>2361</v>
      </c>
      <c r="J444" s="288" t="str">
        <f t="shared" si="2"/>
        <v>Ride a Skeleton Horse</v>
      </c>
      <c r="K444" s="289" t="s">
        <v>2362</v>
      </c>
      <c r="L444" s="290"/>
      <c r="M444" s="289"/>
      <c r="N444" s="289" t="s">
        <v>2363</v>
      </c>
      <c r="O444" s="239" t="s">
        <v>2024</v>
      </c>
      <c r="P444" s="291" t="s">
        <v>2240</v>
      </c>
      <c r="Q444" s="292" t="s">
        <v>2364</v>
      </c>
      <c r="R444" s="291" t="s">
        <v>194</v>
      </c>
      <c r="S444" s="292"/>
    </row>
    <row r="445">
      <c r="A445" s="230">
        <v>445.0</v>
      </c>
      <c r="B445" s="230" t="s">
        <v>257</v>
      </c>
      <c r="C445" s="231"/>
      <c r="D445" s="232"/>
      <c r="E445" s="232">
        <f>IFERROR(__xludf.DUMMYFUNCTION("iferror(SPLIT(D445,""/""),split(""0/0"",""/""))"),0.0)</f>
        <v>0</v>
      </c>
      <c r="F445" s="232">
        <f>IFERROR(__xludf.DUMMYFUNCTION("""COMPUTED_VALUE"""),0.0)</f>
        <v>0</v>
      </c>
      <c r="G445" s="247" t="b">
        <v>0</v>
      </c>
      <c r="H445" s="242" t="str">
        <f t="shared" si="1"/>
        <v/>
      </c>
      <c r="I445" s="298" t="s">
        <v>2365</v>
      </c>
      <c r="J445" s="288" t="str">
        <f t="shared" si="2"/>
        <v>Bring a stray to a desert biome and then kill it (Kill a stray in a desert biome above y-level 56)</v>
      </c>
      <c r="K445" s="289" t="s">
        <v>2366</v>
      </c>
      <c r="L445" s="290"/>
      <c r="M445" s="289" t="s">
        <v>2367</v>
      </c>
      <c r="N445" s="289" t="s">
        <v>2368</v>
      </c>
      <c r="O445" s="239" t="s">
        <v>1094</v>
      </c>
      <c r="P445" s="291" t="s">
        <v>2240</v>
      </c>
      <c r="Q445" s="292" t="s">
        <v>2369</v>
      </c>
      <c r="R445" s="291" t="s">
        <v>194</v>
      </c>
      <c r="S445" s="291" t="s">
        <v>1948</v>
      </c>
    </row>
    <row r="446">
      <c r="A446" s="230">
        <v>446.0</v>
      </c>
      <c r="B446" s="230" t="s">
        <v>188</v>
      </c>
      <c r="C446" s="231"/>
      <c r="D446" s="232"/>
      <c r="E446" s="232">
        <f>IFERROR(__xludf.DUMMYFUNCTION("iferror(SPLIT(D446,""/""),split(""0/0"",""/""))"),0.0)</f>
        <v>0</v>
      </c>
      <c r="F446" s="232">
        <f>IFERROR(__xludf.DUMMYFUNCTION("""COMPUTED_VALUE"""),0.0)</f>
        <v>0</v>
      </c>
      <c r="G446" s="247" t="b">
        <v>0</v>
      </c>
      <c r="H446" s="242" t="str">
        <f t="shared" si="1"/>
        <v/>
      </c>
      <c r="I446" s="298" t="s">
        <v>2370</v>
      </c>
      <c r="J446" s="288" t="str">
        <f t="shared" si="2"/>
        <v>Blow up a skeleton with a charged creeper to get a skeleton skull (Obtain a skeleton skull)</v>
      </c>
      <c r="K446" s="289"/>
      <c r="L446" s="290"/>
      <c r="M446" s="289" t="s">
        <v>2371</v>
      </c>
      <c r="N446" s="289" t="s">
        <v>2372</v>
      </c>
      <c r="O446" s="239" t="s">
        <v>2373</v>
      </c>
      <c r="P446" s="291" t="s">
        <v>2240</v>
      </c>
      <c r="Q446" s="292" t="s">
        <v>2374</v>
      </c>
      <c r="R446" s="291" t="s">
        <v>194</v>
      </c>
      <c r="S446" s="292"/>
    </row>
    <row r="447">
      <c r="A447" s="230">
        <v>447.0</v>
      </c>
      <c r="B447" s="230" t="s">
        <v>257</v>
      </c>
      <c r="C447" s="231"/>
      <c r="D447" s="232"/>
      <c r="E447" s="232">
        <f>IFERROR(__xludf.DUMMYFUNCTION("iferror(SPLIT(D447,""/""),split(""0/0"",""/""))"),0.0)</f>
        <v>0</v>
      </c>
      <c r="F447" s="232">
        <f>IFERROR(__xludf.DUMMYFUNCTION("""COMPUTED_VALUE"""),0.0)</f>
        <v>0</v>
      </c>
      <c r="G447" s="247" t="b">
        <v>0</v>
      </c>
      <c r="H447" s="242" t="str">
        <f t="shared" si="1"/>
        <v/>
      </c>
      <c r="I447" s="298" t="s">
        <v>38</v>
      </c>
      <c r="J447" s="288" t="str">
        <f t="shared" si="2"/>
        <v>Reunite all skeleton variants and their three-headed overlord in one place (See requirement notes below)</v>
      </c>
      <c r="K447" s="289" t="s">
        <v>2375</v>
      </c>
      <c r="L447" s="290"/>
      <c r="M447" s="293" t="s">
        <v>238</v>
      </c>
      <c r="N447" s="289" t="s">
        <v>2376</v>
      </c>
      <c r="O447" s="239" t="s">
        <v>2283</v>
      </c>
      <c r="P447" s="291" t="s">
        <v>2240</v>
      </c>
      <c r="Q447" s="292" t="s">
        <v>2377</v>
      </c>
      <c r="R447" s="291" t="s">
        <v>194</v>
      </c>
      <c r="S447" s="291" t="s">
        <v>267</v>
      </c>
    </row>
    <row r="448">
      <c r="A448" s="230">
        <v>448.0</v>
      </c>
      <c r="B448" s="230" t="s">
        <v>188</v>
      </c>
      <c r="C448" s="231"/>
      <c r="D448" s="232"/>
      <c r="E448" s="232">
        <f>IFERROR(__xludf.DUMMYFUNCTION("iferror(SPLIT(D448,""/""),split(""0/0"",""/""))"),0.0)</f>
        <v>0</v>
      </c>
      <c r="F448" s="232">
        <f>IFERROR(__xludf.DUMMYFUNCTION("""COMPUTED_VALUE"""),0.0)</f>
        <v>0</v>
      </c>
      <c r="G448" s="233" t="b">
        <v>0</v>
      </c>
      <c r="H448" s="242" t="str">
        <f t="shared" si="1"/>
        <v/>
      </c>
      <c r="I448" s="300" t="s">
        <v>2378</v>
      </c>
      <c r="J448" s="288" t="str">
        <f t="shared" si="2"/>
        <v>Kill a spider</v>
      </c>
      <c r="K448" s="289" t="s">
        <v>2379</v>
      </c>
      <c r="L448" s="290"/>
      <c r="M448" s="289"/>
      <c r="N448" s="289" t="s">
        <v>2380</v>
      </c>
      <c r="O448" s="239" t="s">
        <v>2381</v>
      </c>
      <c r="P448" s="291" t="s">
        <v>2240</v>
      </c>
      <c r="Q448" s="292" t="s">
        <v>2382</v>
      </c>
      <c r="R448" s="291" t="s">
        <v>194</v>
      </c>
      <c r="S448" s="292"/>
    </row>
    <row r="449">
      <c r="A449" s="230">
        <v>449.0</v>
      </c>
      <c r="B449" s="230" t="s">
        <v>188</v>
      </c>
      <c r="C449" s="231"/>
      <c r="D449" s="232"/>
      <c r="E449" s="232">
        <f>IFERROR(__xludf.DUMMYFUNCTION("iferror(SPLIT(D449,""/""),split(""0/0"",""/""))"),0.0)</f>
        <v>0</v>
      </c>
      <c r="F449" s="232">
        <f>IFERROR(__xludf.DUMMYFUNCTION("""COMPUTED_VALUE"""),0.0)</f>
        <v>0</v>
      </c>
      <c r="G449" s="247" t="b">
        <v>0</v>
      </c>
      <c r="H449" s="242" t="str">
        <f t="shared" si="1"/>
        <v/>
      </c>
      <c r="I449" s="295" t="s">
        <v>2383</v>
      </c>
      <c r="J449" s="288" t="str">
        <f t="shared" si="2"/>
        <v>Kill a cave spider</v>
      </c>
      <c r="K449" s="289" t="s">
        <v>2384</v>
      </c>
      <c r="L449" s="290"/>
      <c r="M449" s="289"/>
      <c r="N449" s="289" t="s">
        <v>2385</v>
      </c>
      <c r="O449" s="239" t="s">
        <v>2040</v>
      </c>
      <c r="P449" s="291" t="s">
        <v>2240</v>
      </c>
      <c r="Q449" s="292" t="s">
        <v>2386</v>
      </c>
      <c r="R449" s="291" t="s">
        <v>194</v>
      </c>
      <c r="S449" s="292"/>
    </row>
    <row r="450">
      <c r="A450" s="230">
        <v>450.0</v>
      </c>
      <c r="B450" s="230" t="s">
        <v>188</v>
      </c>
      <c r="C450" s="231"/>
      <c r="D450" s="232"/>
      <c r="E450" s="232">
        <f>IFERROR(__xludf.DUMMYFUNCTION("iferror(SPLIT(D450,""/""),split(""0/0"",""/""))"),0.0)</f>
        <v>0</v>
      </c>
      <c r="F450" s="232">
        <f>IFERROR(__xludf.DUMMYFUNCTION("""COMPUTED_VALUE"""),0.0)</f>
        <v>0</v>
      </c>
      <c r="G450" s="247" t="b">
        <v>0</v>
      </c>
      <c r="H450" s="242" t="str">
        <f t="shared" si="1"/>
        <v/>
      </c>
      <c r="I450" s="297" t="s">
        <v>2387</v>
      </c>
      <c r="J450" s="288" t="str">
        <f t="shared" si="2"/>
        <v>Collect a stack of string from spiders or cobwebs</v>
      </c>
      <c r="K450" s="289" t="s">
        <v>2388</v>
      </c>
      <c r="L450" s="290"/>
      <c r="M450" s="289"/>
      <c r="N450" s="289" t="s">
        <v>2389</v>
      </c>
      <c r="O450" s="239" t="s">
        <v>2390</v>
      </c>
      <c r="P450" s="291" t="s">
        <v>2240</v>
      </c>
      <c r="Q450" s="292" t="s">
        <v>2391</v>
      </c>
      <c r="R450" s="291" t="s">
        <v>194</v>
      </c>
      <c r="S450" s="292"/>
    </row>
    <row r="451">
      <c r="A451" s="230">
        <v>451.0</v>
      </c>
      <c r="B451" s="230" t="s">
        <v>206</v>
      </c>
      <c r="C451" s="231"/>
      <c r="D451" s="232"/>
      <c r="E451" s="232">
        <f>IFERROR(__xludf.DUMMYFUNCTION("iferror(SPLIT(D451,""/""),split(""0/0"",""/""))"),0.0)</f>
        <v>0</v>
      </c>
      <c r="F451" s="232">
        <f>IFERROR(__xludf.DUMMYFUNCTION("""COMPUTED_VALUE"""),0.0)</f>
        <v>0</v>
      </c>
      <c r="G451" s="247" t="b">
        <v>0</v>
      </c>
      <c r="H451" s="242" t="str">
        <f t="shared" si="1"/>
        <v/>
      </c>
      <c r="I451" s="297" t="s">
        <v>2392</v>
      </c>
      <c r="J451" s="288" t="str">
        <f t="shared" si="2"/>
        <v>Does whatever a spider can (Kill either the spider or skeleton segment of a spider jockey)</v>
      </c>
      <c r="K451" s="289" t="s">
        <v>2393</v>
      </c>
      <c r="L451" s="290"/>
      <c r="M451" s="289" t="s">
        <v>2394</v>
      </c>
      <c r="N451" s="289" t="s">
        <v>2395</v>
      </c>
      <c r="O451" s="239" t="s">
        <v>311</v>
      </c>
      <c r="P451" s="291" t="s">
        <v>2240</v>
      </c>
      <c r="Q451" s="292" t="s">
        <v>2396</v>
      </c>
      <c r="R451" s="291" t="s">
        <v>194</v>
      </c>
      <c r="S451" s="292"/>
    </row>
    <row r="452">
      <c r="A452" s="230">
        <v>452.0</v>
      </c>
      <c r="B452" s="230" t="s">
        <v>257</v>
      </c>
      <c r="C452" s="231"/>
      <c r="D452" s="232"/>
      <c r="E452" s="232">
        <f>IFERROR(__xludf.DUMMYFUNCTION("iferror(SPLIT(D452,""/""),split(""0/0"",""/""))"),0.0)</f>
        <v>0</v>
      </c>
      <c r="F452" s="232">
        <f>IFERROR(__xludf.DUMMYFUNCTION("""COMPUTED_VALUE"""),0.0)</f>
        <v>0</v>
      </c>
      <c r="G452" s="247" t="b">
        <v>0</v>
      </c>
      <c r="H452" s="242" t="str">
        <f t="shared" si="1"/>
        <v/>
      </c>
      <c r="I452" s="298" t="s">
        <v>2397</v>
      </c>
      <c r="J452" s="288" t="str">
        <f t="shared" si="2"/>
        <v>Kill an invisible spider (Kill an invisible spider or cave spider)</v>
      </c>
      <c r="K452" s="289" t="s">
        <v>2398</v>
      </c>
      <c r="L452" s="290"/>
      <c r="M452" s="289" t="s">
        <v>2399</v>
      </c>
      <c r="N452" s="289" t="s">
        <v>2400</v>
      </c>
      <c r="O452" s="239" t="s">
        <v>2401</v>
      </c>
      <c r="P452" s="291" t="s">
        <v>2240</v>
      </c>
      <c r="Q452" s="292" t="s">
        <v>2402</v>
      </c>
      <c r="R452" s="291" t="s">
        <v>194</v>
      </c>
      <c r="S452" s="291" t="s">
        <v>1948</v>
      </c>
    </row>
    <row r="453">
      <c r="A453" s="230">
        <v>453.0</v>
      </c>
      <c r="B453" s="230" t="s">
        <v>257</v>
      </c>
      <c r="C453" s="231"/>
      <c r="D453" s="232"/>
      <c r="E453" s="232">
        <f>IFERROR(__xludf.DUMMYFUNCTION("iferror(SPLIT(D453,""/""),split(""0/0"",""/""))"),0.0)</f>
        <v>0</v>
      </c>
      <c r="F453" s="232">
        <f>IFERROR(__xludf.DUMMYFUNCTION("""COMPUTED_VALUE"""),0.0)</f>
        <v>0</v>
      </c>
      <c r="G453" s="247" t="b">
        <v>0</v>
      </c>
      <c r="H453" s="242" t="str">
        <f t="shared" si="1"/>
        <v/>
      </c>
      <c r="I453" s="298" t="s">
        <v>2403</v>
      </c>
      <c r="J453" s="288" t="str">
        <f t="shared" si="2"/>
        <v>Eat 1000 Spider Eyes</v>
      </c>
      <c r="K453" s="289" t="s">
        <v>2404</v>
      </c>
      <c r="L453" s="290"/>
      <c r="M453" s="289"/>
      <c r="N453" s="289" t="s">
        <v>2405</v>
      </c>
      <c r="O453" s="239" t="s">
        <v>2040</v>
      </c>
      <c r="P453" s="291" t="s">
        <v>2240</v>
      </c>
      <c r="Q453" s="292" t="s">
        <v>2406</v>
      </c>
      <c r="R453" s="291" t="s">
        <v>194</v>
      </c>
      <c r="S453" s="292" t="s">
        <v>1437</v>
      </c>
    </row>
    <row r="454">
      <c r="A454" s="230">
        <v>454.0</v>
      </c>
      <c r="B454" s="230" t="s">
        <v>188</v>
      </c>
      <c r="C454" s="231"/>
      <c r="D454" s="232"/>
      <c r="E454" s="232">
        <f>IFERROR(__xludf.DUMMYFUNCTION("iferror(SPLIT(D454,""/""),split(""0/0"",""/""))"),0.0)</f>
        <v>0</v>
      </c>
      <c r="F454" s="232">
        <f>IFERROR(__xludf.DUMMYFUNCTION("""COMPUTED_VALUE"""),0.0)</f>
        <v>0</v>
      </c>
      <c r="G454" s="247" t="b">
        <v>0</v>
      </c>
      <c r="H454" s="242" t="str">
        <f t="shared" si="1"/>
        <v/>
      </c>
      <c r="I454" s="295" t="s">
        <v>2407</v>
      </c>
      <c r="J454" s="288" t="str">
        <f t="shared" si="2"/>
        <v>Kill a creeper</v>
      </c>
      <c r="K454" s="289" t="s">
        <v>2408</v>
      </c>
      <c r="L454" s="290"/>
      <c r="M454" s="289"/>
      <c r="N454" s="289" t="s">
        <v>2409</v>
      </c>
      <c r="O454" s="239" t="s">
        <v>2410</v>
      </c>
      <c r="P454" s="291" t="s">
        <v>2240</v>
      </c>
      <c r="Q454" s="292" t="s">
        <v>2411</v>
      </c>
      <c r="R454" s="291" t="s">
        <v>194</v>
      </c>
      <c r="S454" s="292"/>
    </row>
    <row r="455">
      <c r="A455" s="230">
        <v>455.0</v>
      </c>
      <c r="B455" s="230" t="s">
        <v>188</v>
      </c>
      <c r="C455" s="231"/>
      <c r="D455" s="232"/>
      <c r="E455" s="232">
        <f>IFERROR(__xludf.DUMMYFUNCTION("iferror(SPLIT(D455,""/""),split(""0/0"",""/""))"),0.0)</f>
        <v>0</v>
      </c>
      <c r="F455" s="232">
        <f>IFERROR(__xludf.DUMMYFUNCTION("""COMPUTED_VALUE"""),0.0)</f>
        <v>0</v>
      </c>
      <c r="G455" s="247" t="b">
        <v>0</v>
      </c>
      <c r="H455" s="242" t="str">
        <f t="shared" si="1"/>
        <v/>
      </c>
      <c r="I455" s="295" t="s">
        <v>2412</v>
      </c>
      <c r="J455" s="288" t="str">
        <f t="shared" si="2"/>
        <v>Kill a Creeper with arrows (Also works with spectral and tipped arrows)</v>
      </c>
      <c r="K455" s="289" t="s">
        <v>2413</v>
      </c>
      <c r="L455" s="290"/>
      <c r="M455" s="289" t="s">
        <v>2414</v>
      </c>
      <c r="N455" s="289" t="s">
        <v>2415</v>
      </c>
      <c r="O455" s="239" t="s">
        <v>1946</v>
      </c>
      <c r="P455" s="291" t="s">
        <v>2240</v>
      </c>
      <c r="Q455" s="292" t="s">
        <v>2416</v>
      </c>
      <c r="R455" s="291" t="s">
        <v>194</v>
      </c>
      <c r="S455" s="292"/>
    </row>
    <row r="456">
      <c r="A456" s="230">
        <v>456.0</v>
      </c>
      <c r="B456" s="230" t="s">
        <v>188</v>
      </c>
      <c r="C456" s="231"/>
      <c r="D456" s="232"/>
      <c r="E456" s="232">
        <f>IFERROR(__xludf.DUMMYFUNCTION("iferror(SPLIT(D456,""/""),split(""0/0"",""/""))"),0.0)</f>
        <v>0</v>
      </c>
      <c r="F456" s="232">
        <f>IFERROR(__xludf.DUMMYFUNCTION("""COMPUTED_VALUE"""),0.0)</f>
        <v>0</v>
      </c>
      <c r="G456" s="247" t="b">
        <v>0</v>
      </c>
      <c r="H456" s="242" t="str">
        <f t="shared" si="1"/>
        <v/>
      </c>
      <c r="I456" s="295" t="s">
        <v>2417</v>
      </c>
      <c r="J456" s="288" t="str">
        <f t="shared" si="2"/>
        <v>Survive a creeper's blast with your shield (Block a creeper's explosion)</v>
      </c>
      <c r="K456" s="289" t="s">
        <v>2418</v>
      </c>
      <c r="L456" s="290"/>
      <c r="M456" s="289" t="s">
        <v>2419</v>
      </c>
      <c r="N456" s="289" t="s">
        <v>2420</v>
      </c>
      <c r="O456" s="239" t="s">
        <v>2298</v>
      </c>
      <c r="P456" s="291" t="s">
        <v>2240</v>
      </c>
      <c r="Q456" s="292" t="s">
        <v>2421</v>
      </c>
      <c r="R456" s="291" t="s">
        <v>194</v>
      </c>
      <c r="S456" s="292"/>
    </row>
    <row r="457">
      <c r="A457" s="230">
        <v>457.0</v>
      </c>
      <c r="B457" s="230" t="s">
        <v>206</v>
      </c>
      <c r="C457" s="231"/>
      <c r="D457" s="232"/>
      <c r="E457" s="232">
        <f>IFERROR(__xludf.DUMMYFUNCTION("iferror(SPLIT(D457,""/""),split(""0/0"",""/""))"),0.0)</f>
        <v>0</v>
      </c>
      <c r="F457" s="232">
        <f>IFERROR(__xludf.DUMMYFUNCTION("""COMPUTED_VALUE"""),0.0)</f>
        <v>0</v>
      </c>
      <c r="G457" s="247" t="b">
        <v>0</v>
      </c>
      <c r="H457" s="242" t="str">
        <f t="shared" si="1"/>
        <v/>
      </c>
      <c r="I457" s="295" t="s">
        <v>2422</v>
      </c>
      <c r="J457" s="288" t="str">
        <f t="shared" si="2"/>
        <v>Persuade a Creeper to blow up using Flint and Steel (Right-click a creeper using Flint and Steel OR a Fire Charge)</v>
      </c>
      <c r="K457" s="289" t="s">
        <v>2413</v>
      </c>
      <c r="L457" s="290"/>
      <c r="M457" s="289" t="s">
        <v>2423</v>
      </c>
      <c r="N457" s="289" t="s">
        <v>2424</v>
      </c>
      <c r="O457" s="239" t="s">
        <v>277</v>
      </c>
      <c r="P457" s="291" t="s">
        <v>2240</v>
      </c>
      <c r="Q457" s="292" t="s">
        <v>2425</v>
      </c>
      <c r="R457" s="291" t="s">
        <v>194</v>
      </c>
      <c r="S457" s="292"/>
    </row>
    <row r="458">
      <c r="A458" s="230">
        <v>458.0</v>
      </c>
      <c r="B458" s="230" t="s">
        <v>188</v>
      </c>
      <c r="C458" s="231"/>
      <c r="D458" s="232"/>
      <c r="E458" s="232">
        <f>IFERROR(__xludf.DUMMYFUNCTION("iferror(SPLIT(D458,""/""),split(""0/0"",""/""))"),0.0)</f>
        <v>0</v>
      </c>
      <c r="F458" s="232">
        <f>IFERROR(__xludf.DUMMYFUNCTION("""COMPUTED_VALUE"""),0.0)</f>
        <v>0</v>
      </c>
      <c r="G458" s="233" t="b">
        <v>0</v>
      </c>
      <c r="H458" s="242" t="str">
        <f t="shared" si="1"/>
        <v/>
      </c>
      <c r="I458" s="300" t="s">
        <v>2426</v>
      </c>
      <c r="J458" s="288" t="str">
        <f t="shared" si="2"/>
        <v>That was a nice life you had. Shame it had to end at this time time time (Get killed by a creeper's explosion)</v>
      </c>
      <c r="K458" s="289"/>
      <c r="L458" s="290"/>
      <c r="M458" s="289" t="s">
        <v>2427</v>
      </c>
      <c r="N458" s="289" t="s">
        <v>2428</v>
      </c>
      <c r="O458" s="239" t="s">
        <v>2283</v>
      </c>
      <c r="P458" s="291" t="s">
        <v>2240</v>
      </c>
      <c r="Q458" s="292" t="s">
        <v>2429</v>
      </c>
      <c r="R458" s="291" t="s">
        <v>194</v>
      </c>
      <c r="S458" s="292"/>
    </row>
    <row r="459">
      <c r="A459" s="230">
        <v>459.0</v>
      </c>
      <c r="B459" s="230" t="s">
        <v>188</v>
      </c>
      <c r="C459" s="231"/>
      <c r="D459" s="232"/>
      <c r="E459" s="232">
        <f>IFERROR(__xludf.DUMMYFUNCTION("iferror(SPLIT(D459,""/""),split(""0/0"",""/""))"),0.0)</f>
        <v>0</v>
      </c>
      <c r="F459" s="232">
        <f>IFERROR(__xludf.DUMMYFUNCTION("""COMPUTED_VALUE"""),0.0)</f>
        <v>0</v>
      </c>
      <c r="G459" s="247" t="b">
        <v>0</v>
      </c>
      <c r="H459" s="242" t="str">
        <f t="shared" si="1"/>
        <v/>
      </c>
      <c r="I459" s="297" t="s">
        <v>2430</v>
      </c>
      <c r="J459" s="288" t="str">
        <f t="shared" si="2"/>
        <v>Collect a stack of gunpowder</v>
      </c>
      <c r="K459" s="289" t="s">
        <v>2431</v>
      </c>
      <c r="L459" s="290"/>
      <c r="M459" s="289"/>
      <c r="N459" s="289" t="s">
        <v>2432</v>
      </c>
      <c r="O459" s="239" t="s">
        <v>2433</v>
      </c>
      <c r="P459" s="291" t="s">
        <v>2240</v>
      </c>
      <c r="Q459" s="292" t="s">
        <v>2434</v>
      </c>
      <c r="R459" s="291" t="s">
        <v>194</v>
      </c>
      <c r="S459" s="292"/>
    </row>
    <row r="460">
      <c r="A460" s="230">
        <v>460.0</v>
      </c>
      <c r="B460" s="230" t="s">
        <v>188</v>
      </c>
      <c r="C460" s="231"/>
      <c r="D460" s="232"/>
      <c r="E460" s="232">
        <f>IFERROR(__xludf.DUMMYFUNCTION("iferror(SPLIT(D460,""/""),split(""0/0"",""/""))"),0.0)</f>
        <v>0</v>
      </c>
      <c r="F460" s="232">
        <f>IFERROR(__xludf.DUMMYFUNCTION("""COMPUTED_VALUE"""),0.0)</f>
        <v>0</v>
      </c>
      <c r="G460" s="233" t="b">
        <v>0</v>
      </c>
      <c r="H460" s="242" t="str">
        <f t="shared" si="1"/>
        <v/>
      </c>
      <c r="I460" s="301" t="s">
        <v>2435</v>
      </c>
      <c r="J460" s="288" t="str">
        <f t="shared" si="2"/>
        <v>Blow up a creeper with a charged creeper to get a creeper head (Obtain a creeper head)</v>
      </c>
      <c r="K460" s="289"/>
      <c r="L460" s="290"/>
      <c r="M460" s="289" t="s">
        <v>2436</v>
      </c>
      <c r="N460" s="289" t="s">
        <v>2437</v>
      </c>
      <c r="O460" s="239" t="s">
        <v>2438</v>
      </c>
      <c r="P460" s="291" t="s">
        <v>2240</v>
      </c>
      <c r="Q460" s="292" t="s">
        <v>2439</v>
      </c>
      <c r="R460" s="291" t="s">
        <v>194</v>
      </c>
      <c r="S460" s="292"/>
    </row>
    <row r="461">
      <c r="A461" s="230">
        <v>461.0</v>
      </c>
      <c r="B461" s="230" t="s">
        <v>257</v>
      </c>
      <c r="C461" s="231"/>
      <c r="D461" s="232"/>
      <c r="E461" s="232">
        <f>IFERROR(__xludf.DUMMYFUNCTION("iferror(SPLIT(D461,""/""),split(""0/0"",""/""))"),0.0)</f>
        <v>0</v>
      </c>
      <c r="F461" s="232">
        <f>IFERROR(__xludf.DUMMYFUNCTION("""COMPUTED_VALUE"""),0.0)</f>
        <v>0</v>
      </c>
      <c r="G461" s="247" t="b">
        <v>0</v>
      </c>
      <c r="H461" s="242" t="str">
        <f t="shared" si="1"/>
        <v/>
      </c>
      <c r="I461" s="298" t="s">
        <v>2440</v>
      </c>
      <c r="J461" s="288" t="str">
        <f t="shared" si="2"/>
        <v>Kill a mob while wearing the same type of mob head (This works for: Creepers, Zombies, Skeletons, Wither Skeletons and Piglins)</v>
      </c>
      <c r="K461" s="289" t="s">
        <v>2441</v>
      </c>
      <c r="L461" s="290"/>
      <c r="M461" s="289" t="s">
        <v>2442</v>
      </c>
      <c r="N461" s="289" t="s">
        <v>2443</v>
      </c>
      <c r="O461" s="239" t="s">
        <v>2444</v>
      </c>
      <c r="P461" s="291" t="s">
        <v>2240</v>
      </c>
      <c r="Q461" s="292" t="s">
        <v>2445</v>
      </c>
      <c r="R461" s="291" t="s">
        <v>194</v>
      </c>
      <c r="S461" s="291" t="s">
        <v>1948</v>
      </c>
    </row>
    <row r="462">
      <c r="A462" s="230">
        <v>462.0</v>
      </c>
      <c r="B462" s="230" t="s">
        <v>188</v>
      </c>
      <c r="C462" s="231"/>
      <c r="D462" s="232"/>
      <c r="E462" s="232">
        <f>IFERROR(__xludf.DUMMYFUNCTION("iferror(SPLIT(D462,""/""),split(""0/0"",""/""))"),0.0)</f>
        <v>0</v>
      </c>
      <c r="F462" s="232">
        <f>IFERROR(__xludf.DUMMYFUNCTION("""COMPUTED_VALUE"""),0.0)</f>
        <v>0</v>
      </c>
      <c r="G462" s="247" t="b">
        <v>0</v>
      </c>
      <c r="H462" s="242" t="str">
        <f t="shared" si="1"/>
        <v/>
      </c>
      <c r="I462" s="295" t="s">
        <v>2446</v>
      </c>
      <c r="J462" s="288" t="str">
        <f t="shared" si="2"/>
        <v>Kill an enderman</v>
      </c>
      <c r="K462" s="289" t="s">
        <v>2447</v>
      </c>
      <c r="L462" s="290"/>
      <c r="M462" s="289"/>
      <c r="N462" s="289" t="s">
        <v>2448</v>
      </c>
      <c r="O462" s="239" t="s">
        <v>2449</v>
      </c>
      <c r="P462" s="291" t="s">
        <v>2240</v>
      </c>
      <c r="Q462" s="292" t="s">
        <v>2450</v>
      </c>
      <c r="R462" s="291" t="s">
        <v>194</v>
      </c>
      <c r="S462" s="292"/>
    </row>
    <row r="463">
      <c r="A463" s="230">
        <v>463.0</v>
      </c>
      <c r="B463" s="230" t="s">
        <v>188</v>
      </c>
      <c r="C463" s="231"/>
      <c r="D463" s="232"/>
      <c r="E463" s="232">
        <f>IFERROR(__xludf.DUMMYFUNCTION("iferror(SPLIT(D463,""/""),split(""0/0"",""/""))"),0.0)</f>
        <v>0</v>
      </c>
      <c r="F463" s="232">
        <f>IFERROR(__xludf.DUMMYFUNCTION("""COMPUTED_VALUE"""),0.0)</f>
        <v>0</v>
      </c>
      <c r="G463" s="247" t="b">
        <v>0</v>
      </c>
      <c r="H463" s="242" t="str">
        <f t="shared" si="1"/>
        <v/>
      </c>
      <c r="I463" s="295" t="s">
        <v>2451</v>
      </c>
      <c r="J463" s="288" t="str">
        <f t="shared" si="2"/>
        <v>Prevent an Endermite from maturing (Kill an endermite)</v>
      </c>
      <c r="K463" s="289" t="s">
        <v>2447</v>
      </c>
      <c r="L463" s="290"/>
      <c r="M463" s="289" t="s">
        <v>2452</v>
      </c>
      <c r="N463" s="289" t="s">
        <v>2453</v>
      </c>
      <c r="O463" s="239" t="s">
        <v>2454</v>
      </c>
      <c r="P463" s="291" t="s">
        <v>2240</v>
      </c>
      <c r="Q463" s="292" t="s">
        <v>2455</v>
      </c>
      <c r="R463" s="291" t="s">
        <v>194</v>
      </c>
      <c r="S463" s="292"/>
    </row>
    <row r="464">
      <c r="A464" s="230">
        <v>464.0</v>
      </c>
      <c r="B464" s="230" t="s">
        <v>206</v>
      </c>
      <c r="C464" s="231"/>
      <c r="D464" s="232"/>
      <c r="E464" s="232">
        <f>IFERROR(__xludf.DUMMYFUNCTION("iferror(SPLIT(D464,""/""),split(""0/0"",""/""))"),0.0)</f>
        <v>0</v>
      </c>
      <c r="F464" s="232">
        <f>IFERROR(__xludf.DUMMYFUNCTION("""COMPUTED_VALUE"""),0.0)</f>
        <v>0</v>
      </c>
      <c r="G464" s="247" t="b">
        <v>0</v>
      </c>
      <c r="H464" s="242" t="str">
        <f t="shared" si="1"/>
        <v/>
      </c>
      <c r="I464" s="295" t="s">
        <v>2456</v>
      </c>
      <c r="J464" s="288" t="str">
        <f t="shared" si="2"/>
        <v>Damage a mob by teleporting into it (Throw an ender pearl such that it hits a mob)</v>
      </c>
      <c r="K464" s="289" t="s">
        <v>2457</v>
      </c>
      <c r="L464" s="290"/>
      <c r="M464" s="289" t="s">
        <v>2458</v>
      </c>
      <c r="N464" s="289" t="s">
        <v>2459</v>
      </c>
      <c r="O464" s="239" t="s">
        <v>2449</v>
      </c>
      <c r="P464" s="291" t="s">
        <v>2240</v>
      </c>
      <c r="Q464" s="292" t="s">
        <v>2460</v>
      </c>
      <c r="R464" s="291" t="s">
        <v>194</v>
      </c>
      <c r="S464" s="292"/>
    </row>
    <row r="465">
      <c r="A465" s="230">
        <v>465.0</v>
      </c>
      <c r="B465" s="230" t="s">
        <v>188</v>
      </c>
      <c r="C465" s="231"/>
      <c r="D465" s="232"/>
      <c r="E465" s="232">
        <f>IFERROR(__xludf.DUMMYFUNCTION("iferror(SPLIT(D465,""/""),split(""0/0"",""/""))"),0.0)</f>
        <v>0</v>
      </c>
      <c r="F465" s="232">
        <f>IFERROR(__xludf.DUMMYFUNCTION("""COMPUTED_VALUE"""),0.0)</f>
        <v>0</v>
      </c>
      <c r="G465" s="247" t="b">
        <v>0</v>
      </c>
      <c r="H465" s="242" t="str">
        <f t="shared" si="1"/>
        <v/>
      </c>
      <c r="I465" s="297" t="s">
        <v>2461</v>
      </c>
      <c r="J465" s="288" t="str">
        <f t="shared" si="2"/>
        <v>Collect a stack of ender pearls</v>
      </c>
      <c r="K465" s="289" t="s">
        <v>2462</v>
      </c>
      <c r="L465" s="290"/>
      <c r="M465" s="289"/>
      <c r="N465" s="289" t="s">
        <v>2463</v>
      </c>
      <c r="O465" s="239" t="s">
        <v>2464</v>
      </c>
      <c r="P465" s="291" t="s">
        <v>2240</v>
      </c>
      <c r="Q465" s="292" t="s">
        <v>2465</v>
      </c>
      <c r="R465" s="291" t="s">
        <v>194</v>
      </c>
      <c r="S465" s="292"/>
    </row>
    <row r="466">
      <c r="A466" s="230">
        <v>466.0</v>
      </c>
      <c r="B466" s="230" t="s">
        <v>257</v>
      </c>
      <c r="C466" s="231"/>
      <c r="D466" s="232"/>
      <c r="E466" s="232">
        <f>IFERROR(__xludf.DUMMYFUNCTION("iferror(SPLIT(D466,""/""),split(""0/0"",""/""))"),0.0)</f>
        <v>0</v>
      </c>
      <c r="F466" s="232">
        <f>IFERROR(__xludf.DUMMYFUNCTION("""COMPUTED_VALUE"""),0.0)</f>
        <v>0</v>
      </c>
      <c r="G466" s="247" t="b">
        <v>0</v>
      </c>
      <c r="H466" s="242" t="str">
        <f t="shared" si="1"/>
        <v/>
      </c>
      <c r="I466" s="297" t="s">
        <v>2466</v>
      </c>
      <c r="J466" s="288" t="str">
        <f t="shared" si="2"/>
        <v>Find and kill an enderman in all three dimensions</v>
      </c>
      <c r="K466" s="289" t="s">
        <v>2467</v>
      </c>
      <c r="L466" s="290"/>
      <c r="M466" s="289"/>
      <c r="N466" s="289" t="s">
        <v>2468</v>
      </c>
      <c r="O466" s="239" t="s">
        <v>922</v>
      </c>
      <c r="P466" s="291" t="s">
        <v>2240</v>
      </c>
      <c r="Q466" s="292" t="s">
        <v>2469</v>
      </c>
      <c r="R466" s="291" t="s">
        <v>194</v>
      </c>
      <c r="S466" s="292" t="s">
        <v>267</v>
      </c>
    </row>
    <row r="467">
      <c r="A467" s="230">
        <v>467.0</v>
      </c>
      <c r="B467" s="230" t="s">
        <v>283</v>
      </c>
      <c r="C467" s="231"/>
      <c r="D467" s="232"/>
      <c r="E467" s="232">
        <f>IFERROR(__xludf.DUMMYFUNCTION("iferror(SPLIT(D467,""/""),split(""0/0"",""/""))"),0.0)</f>
        <v>0</v>
      </c>
      <c r="F467" s="232">
        <f>IFERROR(__xludf.DUMMYFUNCTION("""COMPUTED_VALUE"""),0.0)</f>
        <v>0</v>
      </c>
      <c r="G467" s="247" t="b">
        <v>0</v>
      </c>
      <c r="H467" s="242" t="str">
        <f t="shared" si="1"/>
        <v/>
      </c>
      <c r="I467" s="298" t="s">
        <v>2470</v>
      </c>
      <c r="J467" s="288" t="str">
        <f t="shared" si="2"/>
        <v>Kill an Enderman with an arrow (Kill an Enderman while you are holding an arrow :P Also works with spectral and tipped arrows)</v>
      </c>
      <c r="K467" s="289" t="s">
        <v>2471</v>
      </c>
      <c r="L467" s="290"/>
      <c r="M467" s="289" t="s">
        <v>2472</v>
      </c>
      <c r="N467" s="289" t="s">
        <v>2473</v>
      </c>
      <c r="O467" s="239" t="s">
        <v>2474</v>
      </c>
      <c r="P467" s="291" t="s">
        <v>2240</v>
      </c>
      <c r="Q467" s="292" t="s">
        <v>2475</v>
      </c>
      <c r="R467" s="291" t="s">
        <v>194</v>
      </c>
      <c r="S467" s="292" t="s">
        <v>267</v>
      </c>
    </row>
    <row r="468">
      <c r="A468" s="230">
        <v>468.0</v>
      </c>
      <c r="B468" s="230" t="s">
        <v>257</v>
      </c>
      <c r="C468" s="231"/>
      <c r="D468" s="232"/>
      <c r="E468" s="232">
        <f>IFERROR(__xludf.DUMMYFUNCTION("iferror(SPLIT(D468,""/""),split(""0/0"",""/""))"),0.0)</f>
        <v>0</v>
      </c>
      <c r="F468" s="232">
        <f>IFERROR(__xludf.DUMMYFUNCTION("""COMPUTED_VALUE"""),0.0)</f>
        <v>0</v>
      </c>
      <c r="G468" s="247" t="b">
        <v>0</v>
      </c>
      <c r="H468" s="242" t="str">
        <f t="shared" si="1"/>
        <v/>
      </c>
      <c r="I468" s="298" t="s">
        <v>2476</v>
      </c>
      <c r="J468" s="288" t="str">
        <f t="shared" si="2"/>
        <v>Kill Endermen that are holding every block that they can hold (See requirement notes below)</v>
      </c>
      <c r="K468" s="289"/>
      <c r="L468" s="290"/>
      <c r="M468" s="293" t="s">
        <v>238</v>
      </c>
      <c r="N468" s="289" t="s">
        <v>2477</v>
      </c>
      <c r="O468" s="239" t="s">
        <v>2478</v>
      </c>
      <c r="P468" s="291" t="s">
        <v>2240</v>
      </c>
      <c r="Q468" s="292" t="s">
        <v>2479</v>
      </c>
      <c r="R468" s="291" t="s">
        <v>194</v>
      </c>
      <c r="S468" s="291" t="s">
        <v>1178</v>
      </c>
    </row>
    <row r="469">
      <c r="A469" s="230">
        <v>469.0</v>
      </c>
      <c r="B469" s="230" t="s">
        <v>188</v>
      </c>
      <c r="C469" s="231"/>
      <c r="D469" s="232"/>
      <c r="E469" s="232">
        <f>IFERROR(__xludf.DUMMYFUNCTION("iferror(SPLIT(D469,""/""),split(""0/0"",""/""))"),0.0)</f>
        <v>0</v>
      </c>
      <c r="F469" s="232">
        <f>IFERROR(__xludf.DUMMYFUNCTION("""COMPUTED_VALUE"""),0.0)</f>
        <v>0</v>
      </c>
      <c r="G469" s="247" t="b">
        <v>0</v>
      </c>
      <c r="H469" s="242" t="str">
        <f t="shared" si="1"/>
        <v/>
      </c>
      <c r="I469" s="295" t="s">
        <v>2480</v>
      </c>
      <c r="J469" s="288" t="str">
        <f t="shared" si="2"/>
        <v>Kill a witch</v>
      </c>
      <c r="K469" s="289"/>
      <c r="L469" s="290"/>
      <c r="M469" s="289"/>
      <c r="N469" s="289" t="s">
        <v>2481</v>
      </c>
      <c r="O469" s="239" t="s">
        <v>2482</v>
      </c>
      <c r="P469" s="291" t="s">
        <v>2240</v>
      </c>
      <c r="Q469" s="292" t="s">
        <v>2483</v>
      </c>
      <c r="R469" s="291" t="s">
        <v>194</v>
      </c>
      <c r="S469" s="292"/>
    </row>
    <row r="470">
      <c r="A470" s="230">
        <v>470.0</v>
      </c>
      <c r="B470" s="230" t="s">
        <v>257</v>
      </c>
      <c r="C470" s="231"/>
      <c r="D470" s="232"/>
      <c r="E470" s="232">
        <f>IFERROR(__xludf.DUMMYFUNCTION("iferror(SPLIT(D470,""/""),split(""0/0"",""/""))"),0.0)</f>
        <v>0</v>
      </c>
      <c r="F470" s="232">
        <f>IFERROR(__xludf.DUMMYFUNCTION("""COMPUTED_VALUE"""),0.0)</f>
        <v>0</v>
      </c>
      <c r="G470" s="247" t="b">
        <v>0</v>
      </c>
      <c r="H470" s="242" t="str">
        <f t="shared" si="1"/>
        <v/>
      </c>
      <c r="I470" s="297" t="s">
        <v>2484</v>
      </c>
      <c r="J470" s="288" t="str">
        <f t="shared" si="2"/>
        <v>Drink milk or honey to cure poison when on half a heart (Drink milk or honey when poisoned AND on half a heart of health)</v>
      </c>
      <c r="K470" s="289"/>
      <c r="L470" s="290"/>
      <c r="M470" s="289" t="s">
        <v>2485</v>
      </c>
      <c r="N470" s="289" t="s">
        <v>2486</v>
      </c>
      <c r="O470" s="239" t="s">
        <v>1905</v>
      </c>
      <c r="P470" s="291" t="s">
        <v>2240</v>
      </c>
      <c r="Q470" s="292" t="s">
        <v>2487</v>
      </c>
      <c r="R470" s="291" t="s">
        <v>194</v>
      </c>
      <c r="S470" s="292" t="s">
        <v>262</v>
      </c>
    </row>
    <row r="471">
      <c r="A471" s="230">
        <v>471.0</v>
      </c>
      <c r="B471" s="230" t="s">
        <v>188</v>
      </c>
      <c r="C471" s="231"/>
      <c r="D471" s="232"/>
      <c r="E471" s="232">
        <f>IFERROR(__xludf.DUMMYFUNCTION("iferror(SPLIT(D471,""/""),split(""0/0"",""/""))"),0.0)</f>
        <v>0</v>
      </c>
      <c r="F471" s="232">
        <f>IFERROR(__xludf.DUMMYFUNCTION("""COMPUTED_VALUE"""),0.0)</f>
        <v>0</v>
      </c>
      <c r="G471" s="247" t="b">
        <v>0</v>
      </c>
      <c r="H471" s="242" t="str">
        <f t="shared" si="1"/>
        <v/>
      </c>
      <c r="I471" s="298" t="s">
        <v>2488</v>
      </c>
      <c r="J471" s="288" t="str">
        <f t="shared" si="2"/>
        <v>Kill a witch with a splash potion</v>
      </c>
      <c r="K471" s="289"/>
      <c r="L471" s="290"/>
      <c r="M471" s="289"/>
      <c r="N471" s="289" t="s">
        <v>2489</v>
      </c>
      <c r="O471" s="239" t="s">
        <v>2490</v>
      </c>
      <c r="P471" s="291" t="s">
        <v>2240</v>
      </c>
      <c r="Q471" s="292" t="s">
        <v>2491</v>
      </c>
      <c r="R471" s="291" t="s">
        <v>194</v>
      </c>
      <c r="S471" s="292"/>
    </row>
    <row r="472">
      <c r="A472" s="230">
        <v>472.0</v>
      </c>
      <c r="B472" s="230" t="s">
        <v>188</v>
      </c>
      <c r="C472" s="231"/>
      <c r="D472" s="232"/>
      <c r="E472" s="232">
        <f>IFERROR(__xludf.DUMMYFUNCTION("iferror(SPLIT(D472,""/""),split(""0/0"",""/""))"),0.0)</f>
        <v>0</v>
      </c>
      <c r="F472" s="232">
        <f>IFERROR(__xludf.DUMMYFUNCTION("""COMPUTED_VALUE"""),0.0)</f>
        <v>0</v>
      </c>
      <c r="G472" s="247" t="b">
        <v>0</v>
      </c>
      <c r="H472" s="242" t="str">
        <f t="shared" si="1"/>
        <v/>
      </c>
      <c r="I472" s="295" t="s">
        <v>2492</v>
      </c>
      <c r="J472" s="288" t="str">
        <f t="shared" si="2"/>
        <v>Kill a slime</v>
      </c>
      <c r="K472" s="289" t="s">
        <v>2493</v>
      </c>
      <c r="L472" s="290"/>
      <c r="M472" s="289"/>
      <c r="N472" s="289" t="s">
        <v>2494</v>
      </c>
      <c r="O472" s="239" t="s">
        <v>1389</v>
      </c>
      <c r="P472" s="291" t="s">
        <v>2240</v>
      </c>
      <c r="Q472" s="292" t="s">
        <v>2495</v>
      </c>
      <c r="R472" s="291" t="s">
        <v>194</v>
      </c>
      <c r="S472" s="292"/>
    </row>
    <row r="473">
      <c r="A473" s="230">
        <v>473.0</v>
      </c>
      <c r="B473" s="230" t="s">
        <v>257</v>
      </c>
      <c r="C473" s="231"/>
      <c r="D473" s="232"/>
      <c r="E473" s="232">
        <f>IFERROR(__xludf.DUMMYFUNCTION("iferror(SPLIT(D473,""/""),split(""0/0"",""/""))"),0.0)</f>
        <v>0</v>
      </c>
      <c r="F473" s="232">
        <f>IFERROR(__xludf.DUMMYFUNCTION("""COMPUTED_VALUE"""),0.0)</f>
        <v>0</v>
      </c>
      <c r="G473" s="247" t="b">
        <v>0</v>
      </c>
      <c r="H473" s="242" t="str">
        <f t="shared" si="1"/>
        <v/>
      </c>
      <c r="I473" s="295" t="s">
        <v>2496</v>
      </c>
      <c r="J473" s="288" t="str">
        <f t="shared" si="2"/>
        <v>Bounce onto a slime block from at least 30 blocks high (Land on a slime block after falling at least 30 blocks)</v>
      </c>
      <c r="K473" s="289"/>
      <c r="L473" s="290"/>
      <c r="M473" s="289" t="s">
        <v>2497</v>
      </c>
      <c r="N473" s="289" t="s">
        <v>2498</v>
      </c>
      <c r="O473" s="239" t="s">
        <v>2499</v>
      </c>
      <c r="P473" s="291" t="s">
        <v>2240</v>
      </c>
      <c r="Q473" s="292" t="s">
        <v>2500</v>
      </c>
      <c r="R473" s="291" t="s">
        <v>194</v>
      </c>
      <c r="S473" s="292" t="s">
        <v>262</v>
      </c>
    </row>
    <row r="474">
      <c r="A474" s="230">
        <v>474.0</v>
      </c>
      <c r="B474" s="230" t="s">
        <v>188</v>
      </c>
      <c r="C474" s="231"/>
      <c r="D474" s="232"/>
      <c r="E474" s="232">
        <f>IFERROR(__xludf.DUMMYFUNCTION("iferror(SPLIT(D474,""/""),split(""0/0"",""/""))"),0.0)</f>
        <v>0</v>
      </c>
      <c r="F474" s="232">
        <f>IFERROR(__xludf.DUMMYFUNCTION("""COMPUTED_VALUE"""),0.0)</f>
        <v>0</v>
      </c>
      <c r="G474" s="247" t="b">
        <v>0</v>
      </c>
      <c r="H474" s="242" t="str">
        <f t="shared" si="1"/>
        <v/>
      </c>
      <c r="I474" s="297" t="s">
        <v>2501</v>
      </c>
      <c r="J474" s="288" t="str">
        <f t="shared" si="2"/>
        <v>Collect a stack of slimeballs</v>
      </c>
      <c r="K474" s="289" t="s">
        <v>2090</v>
      </c>
      <c r="L474" s="290"/>
      <c r="M474" s="289"/>
      <c r="N474" s="289" t="s">
        <v>2502</v>
      </c>
      <c r="O474" s="239" t="s">
        <v>2503</v>
      </c>
      <c r="P474" s="291" t="s">
        <v>2240</v>
      </c>
      <c r="Q474" s="292" t="s">
        <v>2504</v>
      </c>
      <c r="R474" s="291" t="s">
        <v>194</v>
      </c>
      <c r="S474" s="292"/>
    </row>
    <row r="475">
      <c r="A475" s="230">
        <v>475.0</v>
      </c>
      <c r="B475" s="230" t="s">
        <v>188</v>
      </c>
      <c r="C475" s="231"/>
      <c r="D475" s="232"/>
      <c r="E475" s="232">
        <f>IFERROR(__xludf.DUMMYFUNCTION("iferror(SPLIT(D475,""/""),split(""0/0"",""/""))"),0.0)</f>
        <v>0</v>
      </c>
      <c r="F475" s="232">
        <f>IFERROR(__xludf.DUMMYFUNCTION("""COMPUTED_VALUE"""),0.0)</f>
        <v>0</v>
      </c>
      <c r="G475" s="247" t="b">
        <v>0</v>
      </c>
      <c r="H475" s="242" t="str">
        <f t="shared" si="1"/>
        <v/>
      </c>
      <c r="I475" s="298" t="s">
        <v>2505</v>
      </c>
      <c r="J475" s="288" t="str">
        <f t="shared" si="2"/>
        <v>Collect enough slimeballs to craft a stack of slime blocks</v>
      </c>
      <c r="K475" s="289" t="s">
        <v>2506</v>
      </c>
      <c r="L475" s="290"/>
      <c r="M475" s="289"/>
      <c r="N475" s="289" t="s">
        <v>2507</v>
      </c>
      <c r="O475" s="239" t="s">
        <v>2283</v>
      </c>
      <c r="P475" s="291" t="s">
        <v>2240</v>
      </c>
      <c r="Q475" s="292" t="s">
        <v>2508</v>
      </c>
      <c r="R475" s="291" t="s">
        <v>194</v>
      </c>
      <c r="S475" s="292"/>
    </row>
    <row r="476">
      <c r="A476" s="230">
        <v>476.0</v>
      </c>
      <c r="B476" s="230" t="s">
        <v>188</v>
      </c>
      <c r="C476" s="231"/>
      <c r="D476" s="232"/>
      <c r="E476" s="232">
        <f>IFERROR(__xludf.DUMMYFUNCTION("iferror(SPLIT(D476,""/""),split(""0/0"",""/""))"),0.0)</f>
        <v>0</v>
      </c>
      <c r="F476" s="232">
        <f>IFERROR(__xludf.DUMMYFUNCTION("""COMPUTED_VALUE"""),0.0)</f>
        <v>0</v>
      </c>
      <c r="G476" s="247" t="b">
        <v>0</v>
      </c>
      <c r="H476" s="242" t="str">
        <f t="shared" si="1"/>
        <v/>
      </c>
      <c r="I476" s="295" t="s">
        <v>2509</v>
      </c>
      <c r="J476" s="288" t="str">
        <f t="shared" si="2"/>
        <v>Kill a silverfish</v>
      </c>
      <c r="K476" s="289"/>
      <c r="L476" s="290"/>
      <c r="M476" s="289"/>
      <c r="N476" s="289" t="s">
        <v>2510</v>
      </c>
      <c r="O476" s="239" t="s">
        <v>1202</v>
      </c>
      <c r="P476" s="291" t="s">
        <v>2240</v>
      </c>
      <c r="Q476" s="292" t="s">
        <v>2511</v>
      </c>
      <c r="R476" s="291" t="s">
        <v>194</v>
      </c>
      <c r="S476" s="292"/>
    </row>
    <row r="477">
      <c r="A477" s="230">
        <v>477.0</v>
      </c>
      <c r="B477" s="230" t="s">
        <v>188</v>
      </c>
      <c r="C477" s="231"/>
      <c r="D477" s="232"/>
      <c r="E477" s="232">
        <f>IFERROR(__xludf.DUMMYFUNCTION("iferror(SPLIT(D477,""/""),split(""0/0"",""/""))"),0.0)</f>
        <v>0</v>
      </c>
      <c r="F477" s="232">
        <f>IFERROR(__xludf.DUMMYFUNCTION("""COMPUTED_VALUE"""),0.0)</f>
        <v>0</v>
      </c>
      <c r="G477" s="247" t="b">
        <v>0</v>
      </c>
      <c r="H477" s="242" t="str">
        <f t="shared" si="1"/>
        <v/>
      </c>
      <c r="I477" s="295" t="s">
        <v>2512</v>
      </c>
      <c r="J477" s="288" t="str">
        <f t="shared" si="2"/>
        <v>Get attacked by Phantoms (Take damage from a Phantom's attack)</v>
      </c>
      <c r="K477" s="289"/>
      <c r="L477" s="290"/>
      <c r="M477" s="289" t="s">
        <v>2513</v>
      </c>
      <c r="N477" s="289" t="s">
        <v>2514</v>
      </c>
      <c r="O477" s="239" t="s">
        <v>2515</v>
      </c>
      <c r="P477" s="291" t="s">
        <v>2240</v>
      </c>
      <c r="Q477" s="292" t="s">
        <v>2516</v>
      </c>
      <c r="R477" s="291" t="s">
        <v>194</v>
      </c>
      <c r="S477" s="292"/>
    </row>
    <row r="478">
      <c r="A478" s="230">
        <v>478.0</v>
      </c>
      <c r="B478" s="230" t="s">
        <v>188</v>
      </c>
      <c r="C478" s="231"/>
      <c r="D478" s="232"/>
      <c r="E478" s="232">
        <f>IFERROR(__xludf.DUMMYFUNCTION("iferror(SPLIT(D478,""/""),split(""0/0"",""/""))"),0.0)</f>
        <v>0</v>
      </c>
      <c r="F478" s="232">
        <f>IFERROR(__xludf.DUMMYFUNCTION("""COMPUTED_VALUE"""),0.0)</f>
        <v>0</v>
      </c>
      <c r="G478" s="247" t="b">
        <v>0</v>
      </c>
      <c r="H478" s="242" t="str">
        <f t="shared" si="1"/>
        <v/>
      </c>
      <c r="I478" s="295" t="s">
        <v>2517</v>
      </c>
      <c r="J478" s="288" t="str">
        <f t="shared" si="2"/>
        <v>Deflect a Phantom's swoop with your shield (Block a Phantom's attack)</v>
      </c>
      <c r="K478" s="289" t="s">
        <v>2518</v>
      </c>
      <c r="L478" s="290"/>
      <c r="M478" s="289" t="s">
        <v>2519</v>
      </c>
      <c r="N478" s="289" t="s">
        <v>2520</v>
      </c>
      <c r="O478" s="239" t="s">
        <v>2298</v>
      </c>
      <c r="P478" s="291" t="s">
        <v>2240</v>
      </c>
      <c r="Q478" s="292" t="s">
        <v>2521</v>
      </c>
      <c r="R478" s="291" t="s">
        <v>194</v>
      </c>
      <c r="S478" s="292"/>
    </row>
    <row r="479">
      <c r="A479" s="230">
        <v>479.0</v>
      </c>
      <c r="B479" s="230" t="s">
        <v>188</v>
      </c>
      <c r="C479" s="231"/>
      <c r="D479" s="232"/>
      <c r="E479" s="232">
        <f>IFERROR(__xludf.DUMMYFUNCTION("iferror(SPLIT(D479,""/""),split(""0/0"",""/""))"),0.0)</f>
        <v>0</v>
      </c>
      <c r="F479" s="232">
        <f>IFERROR(__xludf.DUMMYFUNCTION("""COMPUTED_VALUE"""),0.0)</f>
        <v>0</v>
      </c>
      <c r="G479" s="247" t="b">
        <v>0</v>
      </c>
      <c r="H479" s="242" t="str">
        <f t="shared" si="1"/>
        <v/>
      </c>
      <c r="I479" s="297" t="s">
        <v>2522</v>
      </c>
      <c r="J479" s="288" t="str">
        <f t="shared" si="2"/>
        <v>Collect a stack of Phantom Membranes</v>
      </c>
      <c r="K479" s="289" t="s">
        <v>2523</v>
      </c>
      <c r="L479" s="290"/>
      <c r="M479" s="289"/>
      <c r="N479" s="289" t="s">
        <v>2524</v>
      </c>
      <c r="O479" s="239" t="s">
        <v>797</v>
      </c>
      <c r="P479" s="291" t="s">
        <v>2240</v>
      </c>
      <c r="Q479" s="292" t="s">
        <v>2525</v>
      </c>
      <c r="R479" s="291" t="s">
        <v>194</v>
      </c>
      <c r="S479" s="292"/>
    </row>
    <row r="480">
      <c r="A480" s="230">
        <v>480.0</v>
      </c>
      <c r="B480" s="230" t="s">
        <v>257</v>
      </c>
      <c r="C480" s="231"/>
      <c r="D480" s="232"/>
      <c r="E480" s="232">
        <f>IFERROR(__xludf.DUMMYFUNCTION("iferror(SPLIT(D480,""/""),split(""0/0"",""/""))"),0.0)</f>
        <v>0</v>
      </c>
      <c r="F480" s="232">
        <f>IFERROR(__xludf.DUMMYFUNCTION("""COMPUTED_VALUE"""),0.0)</f>
        <v>0</v>
      </c>
      <c r="G480" s="247" t="b">
        <v>0</v>
      </c>
      <c r="H480" s="242" t="str">
        <f t="shared" si="1"/>
        <v/>
      </c>
      <c r="I480" s="298" t="s">
        <v>2526</v>
      </c>
      <c r="J480" s="288" t="str">
        <f t="shared" si="2"/>
        <v>Shoot down a phantom with a bow from 30 blocks away (Kill a Phantom from at least 30 blocks away)</v>
      </c>
      <c r="K480" s="289" t="s">
        <v>2527</v>
      </c>
      <c r="L480" s="290"/>
      <c r="M480" s="289" t="s">
        <v>2528</v>
      </c>
      <c r="N480" s="289" t="s">
        <v>2529</v>
      </c>
      <c r="O480" s="239" t="s">
        <v>1946</v>
      </c>
      <c r="P480" s="291" t="s">
        <v>2240</v>
      </c>
      <c r="Q480" s="292" t="s">
        <v>2530</v>
      </c>
      <c r="R480" s="291" t="s">
        <v>194</v>
      </c>
      <c r="S480" s="292" t="s">
        <v>2531</v>
      </c>
    </row>
    <row r="481">
      <c r="A481" s="230">
        <v>481.0</v>
      </c>
      <c r="B481" s="230" t="s">
        <v>257</v>
      </c>
      <c r="C481" s="231"/>
      <c r="D481" s="232"/>
      <c r="E481" s="232">
        <f>IFERROR(__xludf.DUMMYFUNCTION("iferror(SPLIT(D481,""/""),split(""0/0"",""/""))"),0.0)</f>
        <v>0</v>
      </c>
      <c r="F481" s="232">
        <f>IFERROR(__xludf.DUMMYFUNCTION("""COMPUTED_VALUE"""),0.0)</f>
        <v>0</v>
      </c>
      <c r="G481" s="247" t="b">
        <v>0</v>
      </c>
      <c r="H481" s="242" t="str">
        <f t="shared" si="1"/>
        <v/>
      </c>
      <c r="I481" s="298" t="s">
        <v>2532</v>
      </c>
      <c r="J481" s="288" t="str">
        <f t="shared" si="2"/>
        <v>Kill two Phantoms with a piercing arrow (Kill two Phantoms with the same piercing arrow from a crossbow)</v>
      </c>
      <c r="K481" s="289" t="s">
        <v>2523</v>
      </c>
      <c r="L481" s="290"/>
      <c r="M481" s="289" t="s">
        <v>2533</v>
      </c>
      <c r="N481" s="289" t="s">
        <v>2534</v>
      </c>
      <c r="O481" s="239" t="s">
        <v>2535</v>
      </c>
      <c r="P481" s="291" t="s">
        <v>2240</v>
      </c>
      <c r="Q481" s="292" t="s">
        <v>2536</v>
      </c>
      <c r="R481" s="291" t="s">
        <v>194</v>
      </c>
      <c r="S481" s="292" t="s">
        <v>2531</v>
      </c>
    </row>
    <row r="482">
      <c r="A482" s="230">
        <v>482.0</v>
      </c>
      <c r="B482" s="230" t="s">
        <v>188</v>
      </c>
      <c r="C482" s="231"/>
      <c r="D482" s="232"/>
      <c r="E482" s="232">
        <f>IFERROR(__xludf.DUMMYFUNCTION("iferror(SPLIT(D482,""/""),split(""0/0"",""/""))"),0.0)</f>
        <v>0</v>
      </c>
      <c r="F482" s="232">
        <f>IFERROR(__xludf.DUMMYFUNCTION("""COMPUTED_VALUE"""),0.0)</f>
        <v>0</v>
      </c>
      <c r="G482" s="247" t="b">
        <v>0</v>
      </c>
      <c r="H482" s="242" t="str">
        <f t="shared" si="1"/>
        <v/>
      </c>
      <c r="I482" s="298" t="s">
        <v>2537</v>
      </c>
      <c r="J482" s="288" t="str">
        <f t="shared" si="2"/>
        <v>Lure a Phantom into the Nether and then kill it (Kill a Phantom in the Nether)</v>
      </c>
      <c r="K482" s="289" t="s">
        <v>2538</v>
      </c>
      <c r="L482" s="290"/>
      <c r="M482" s="289" t="s">
        <v>2539</v>
      </c>
      <c r="N482" s="289" t="s">
        <v>2540</v>
      </c>
      <c r="O482" s="239" t="s">
        <v>2541</v>
      </c>
      <c r="P482" s="291" t="s">
        <v>2240</v>
      </c>
      <c r="Q482" s="292" t="s">
        <v>2542</v>
      </c>
      <c r="R482" s="291" t="s">
        <v>194</v>
      </c>
      <c r="S482" s="292"/>
    </row>
    <row r="483">
      <c r="A483" s="230">
        <v>483.0</v>
      </c>
      <c r="B483" s="230" t="s">
        <v>188</v>
      </c>
      <c r="C483" s="231"/>
      <c r="D483" s="232"/>
      <c r="E483" s="232">
        <f>IFERROR(__xludf.DUMMYFUNCTION("iferror(SPLIT(D483,""/""),split(""0/0"",""/""))"),0.0)</f>
        <v>0</v>
      </c>
      <c r="F483" s="232">
        <f>IFERROR(__xludf.DUMMYFUNCTION("""COMPUTED_VALUE"""),0.0)</f>
        <v>0</v>
      </c>
      <c r="G483" s="247" t="b">
        <v>0</v>
      </c>
      <c r="H483" s="242" t="str">
        <f t="shared" si="1"/>
        <v/>
      </c>
      <c r="I483" s="295" t="s">
        <v>2543</v>
      </c>
      <c r="J483" s="288" t="str">
        <f t="shared" si="2"/>
        <v>Succumb to the Warden (Get killed by a Warden)</v>
      </c>
      <c r="K483" s="289"/>
      <c r="L483" s="290"/>
      <c r="M483" s="289" t="s">
        <v>2544</v>
      </c>
      <c r="N483" s="289" t="s">
        <v>2545</v>
      </c>
      <c r="O483" s="239" t="s">
        <v>371</v>
      </c>
      <c r="P483" s="291" t="s">
        <v>2240</v>
      </c>
      <c r="Q483" s="292" t="s">
        <v>2546</v>
      </c>
      <c r="R483" s="291" t="s">
        <v>194</v>
      </c>
      <c r="S483" s="292"/>
    </row>
    <row r="484">
      <c r="A484" s="230">
        <v>484.0</v>
      </c>
      <c r="B484" s="230" t="s">
        <v>188</v>
      </c>
      <c r="C484" s="231"/>
      <c r="D484" s="232"/>
      <c r="E484" s="232">
        <f>IFERROR(__xludf.DUMMYFUNCTION("iferror(SPLIT(D484,""/""),split(""0/0"",""/""))"),0.0)</f>
        <v>0</v>
      </c>
      <c r="F484" s="232">
        <f>IFERROR(__xludf.DUMMYFUNCTION("""COMPUTED_VALUE"""),0.0)</f>
        <v>0</v>
      </c>
      <c r="G484" s="233" t="b">
        <v>0</v>
      </c>
      <c r="H484" s="242" t="str">
        <f t="shared" si="1"/>
        <v/>
      </c>
      <c r="I484" s="300" t="s">
        <v>2547</v>
      </c>
      <c r="J484" s="288" t="str">
        <f t="shared" si="2"/>
        <v>Look at a Warden with a Spyglass</v>
      </c>
      <c r="K484" s="289"/>
      <c r="L484" s="290"/>
      <c r="M484" s="289"/>
      <c r="N484" s="289" t="s">
        <v>2548</v>
      </c>
      <c r="O484" s="239" t="s">
        <v>645</v>
      </c>
      <c r="P484" s="291" t="s">
        <v>2240</v>
      </c>
      <c r="Q484" s="292" t="s">
        <v>2549</v>
      </c>
      <c r="R484" s="291" t="s">
        <v>194</v>
      </c>
      <c r="S484" s="292"/>
    </row>
    <row r="485">
      <c r="A485" s="230">
        <v>485.0</v>
      </c>
      <c r="B485" s="230" t="s">
        <v>188</v>
      </c>
      <c r="C485" s="231"/>
      <c r="D485" s="232"/>
      <c r="E485" s="232">
        <f>IFERROR(__xludf.DUMMYFUNCTION("iferror(SPLIT(D485,""/""),split(""0/0"",""/""))"),0.0)</f>
        <v>0</v>
      </c>
      <c r="F485" s="232">
        <f>IFERROR(__xludf.DUMMYFUNCTION("""COMPUTED_VALUE"""),0.0)</f>
        <v>0</v>
      </c>
      <c r="G485" s="247" t="b">
        <v>0</v>
      </c>
      <c r="H485" s="242" t="str">
        <f t="shared" si="1"/>
        <v/>
      </c>
      <c r="I485" s="297" t="s">
        <v>2550</v>
      </c>
      <c r="J485" s="288" t="str">
        <f t="shared" si="2"/>
        <v>Overcome a Warden in the deepest and darkest of caves (Kill a Warden)</v>
      </c>
      <c r="K485" s="289"/>
      <c r="L485" s="290"/>
      <c r="M485" s="289" t="s">
        <v>2551</v>
      </c>
      <c r="N485" s="289" t="s">
        <v>2552</v>
      </c>
      <c r="O485" s="239" t="s">
        <v>1850</v>
      </c>
      <c r="P485" s="291" t="s">
        <v>2240</v>
      </c>
      <c r="Q485" s="292" t="s">
        <v>2553</v>
      </c>
      <c r="R485" s="291" t="s">
        <v>194</v>
      </c>
      <c r="S485" s="292"/>
    </row>
    <row r="486">
      <c r="A486" s="230">
        <v>486.0</v>
      </c>
      <c r="B486" s="230" t="s">
        <v>257</v>
      </c>
      <c r="C486" s="231"/>
      <c r="D486" s="232"/>
      <c r="E486" s="232">
        <f>IFERROR(__xludf.DUMMYFUNCTION("iferror(SPLIT(D486,""/""),split(""0/0"",""/""))"),0.0)</f>
        <v>0</v>
      </c>
      <c r="F486" s="232">
        <f>IFERROR(__xludf.DUMMYFUNCTION("""COMPUTED_VALUE"""),0.0)</f>
        <v>0</v>
      </c>
      <c r="G486" s="247" t="b">
        <v>0</v>
      </c>
      <c r="H486" s="242" t="str">
        <f t="shared" si="1"/>
        <v/>
      </c>
      <c r="I486" s="298" t="s">
        <v>2554</v>
      </c>
      <c r="J486" s="288" t="str">
        <f t="shared" si="2"/>
        <v>Bring a Warden to the surface of a snowy plains biome and kill it (Kill a Warden in a Snowy Plains or Ice Spikes biome above y-level 64)</v>
      </c>
      <c r="K486" s="289"/>
      <c r="L486" s="290"/>
      <c r="M486" s="289" t="s">
        <v>2555</v>
      </c>
      <c r="N486" s="289" t="s">
        <v>2556</v>
      </c>
      <c r="O486" s="239" t="s">
        <v>2557</v>
      </c>
      <c r="P486" s="291" t="s">
        <v>2240</v>
      </c>
      <c r="Q486" s="292" t="s">
        <v>2558</v>
      </c>
      <c r="R486" s="291" t="s">
        <v>194</v>
      </c>
      <c r="S486" s="292" t="s">
        <v>2559</v>
      </c>
    </row>
    <row r="487">
      <c r="A487" s="230">
        <v>487.0</v>
      </c>
      <c r="B487" s="230" t="s">
        <v>257</v>
      </c>
      <c r="C487" s="231"/>
      <c r="D487" s="232"/>
      <c r="E487" s="232">
        <f>IFERROR(__xludf.DUMMYFUNCTION("iferror(SPLIT(D487,""/""),split(""0/0"",""/""))"),0.0)</f>
        <v>0</v>
      </c>
      <c r="F487" s="232">
        <f>IFERROR(__xludf.DUMMYFUNCTION("""COMPUTED_VALUE"""),0.0)</f>
        <v>0</v>
      </c>
      <c r="G487" s="247" t="b">
        <v>0</v>
      </c>
      <c r="H487" s="242" t="str">
        <f t="shared" si="1"/>
        <v/>
      </c>
      <c r="I487" s="298" t="s">
        <v>2560</v>
      </c>
      <c r="J487" s="288" t="str">
        <f t="shared" si="2"/>
        <v>Take a hit from the Warden with the maximum possible protection (Take damage from a Warden while wearing full Netherite Armor enchanted with Protection IV and are under the Resistance IV effect (from a Turtle Master potion))</v>
      </c>
      <c r="K487" s="289" t="s">
        <v>2561</v>
      </c>
      <c r="L487" s="290"/>
      <c r="M487" s="289" t="s">
        <v>2562</v>
      </c>
      <c r="N487" s="289" t="s">
        <v>2563</v>
      </c>
      <c r="O487" s="239" t="s">
        <v>2564</v>
      </c>
      <c r="P487" s="291" t="s">
        <v>2240</v>
      </c>
      <c r="Q487" s="292" t="s">
        <v>2565</v>
      </c>
      <c r="R487" s="291" t="s">
        <v>194</v>
      </c>
      <c r="S487" s="292" t="s">
        <v>2559</v>
      </c>
    </row>
    <row r="488">
      <c r="A488" s="230">
        <v>488.0</v>
      </c>
      <c r="B488" s="230" t="s">
        <v>257</v>
      </c>
      <c r="C488" s="231"/>
      <c r="D488" s="232"/>
      <c r="E488" s="232">
        <f>IFERROR(__xludf.DUMMYFUNCTION("iferror(SPLIT(D488,""/""),split(""0/0"",""/""))"),0.0)</f>
        <v>0</v>
      </c>
      <c r="F488" s="232">
        <f>IFERROR(__xludf.DUMMYFUNCTION("""COMPUTED_VALUE"""),0.0)</f>
        <v>0</v>
      </c>
      <c r="G488" s="247" t="b">
        <v>0</v>
      </c>
      <c r="H488" s="242" t="str">
        <f t="shared" si="1"/>
        <v/>
      </c>
      <c r="I488" s="298" t="s">
        <v>2566</v>
      </c>
      <c r="J488" s="288" t="str">
        <f t="shared" si="2"/>
        <v>Bring a Warden to world height. It can’t be afraid of heights if it can’t see (Have a Warden at y-level 319 or above within 10 blocks of you)</v>
      </c>
      <c r="K488" s="289" t="s">
        <v>2567</v>
      </c>
      <c r="L488" s="290"/>
      <c r="M488" s="289" t="s">
        <v>2568</v>
      </c>
      <c r="N488" s="289" t="s">
        <v>2569</v>
      </c>
      <c r="O488" s="239" t="s">
        <v>245</v>
      </c>
      <c r="P488" s="291" t="s">
        <v>2240</v>
      </c>
      <c r="Q488" s="292" t="s">
        <v>2570</v>
      </c>
      <c r="R488" s="291" t="s">
        <v>194</v>
      </c>
      <c r="S488" s="292" t="s">
        <v>2559</v>
      </c>
    </row>
    <row r="489">
      <c r="A489" s="230">
        <v>489.0</v>
      </c>
      <c r="B489" s="230" t="s">
        <v>257</v>
      </c>
      <c r="C489" s="231"/>
      <c r="D489" s="232"/>
      <c r="E489" s="232">
        <f>IFERROR(__xludf.DUMMYFUNCTION("iferror(SPLIT(D489,""/""),split(""0/0"",""/""))"),0.0)</f>
        <v>0</v>
      </c>
      <c r="F489" s="232">
        <f>IFERROR(__xludf.DUMMYFUNCTION("""COMPUTED_VALUE"""),0.0)</f>
        <v>0</v>
      </c>
      <c r="G489" s="247" t="b">
        <v>0</v>
      </c>
      <c r="H489" s="242" t="str">
        <f t="shared" si="1"/>
        <v/>
      </c>
      <c r="I489" s="298" t="s">
        <v>2571</v>
      </c>
      <c r="J489" s="288" t="str">
        <f t="shared" si="2"/>
        <v>Summon five Wardens and have them all be within 16 blocks of the player</v>
      </c>
      <c r="K489" s="289" t="s">
        <v>2572</v>
      </c>
      <c r="L489" s="290"/>
      <c r="M489" s="289"/>
      <c r="N489" s="289" t="s">
        <v>2573</v>
      </c>
      <c r="O489" s="239" t="s">
        <v>376</v>
      </c>
      <c r="P489" s="291" t="s">
        <v>2240</v>
      </c>
      <c r="Q489" s="292" t="s">
        <v>2574</v>
      </c>
      <c r="R489" s="291" t="s">
        <v>194</v>
      </c>
      <c r="S489" s="292" t="s">
        <v>2559</v>
      </c>
    </row>
    <row r="490">
      <c r="A490" s="230">
        <v>490.0</v>
      </c>
      <c r="B490" s="230" t="s">
        <v>188</v>
      </c>
      <c r="C490" s="231"/>
      <c r="D490" s="232"/>
      <c r="E490" s="232">
        <f>IFERROR(__xludf.DUMMYFUNCTION("iferror(SPLIT(D490,""/""),split(""0/0"",""/""))"),0.0)</f>
        <v>0</v>
      </c>
      <c r="F490" s="232">
        <f>IFERROR(__xludf.DUMMYFUNCTION("""COMPUTED_VALUE"""),0.0)</f>
        <v>0</v>
      </c>
      <c r="G490" s="247" t="b">
        <v>0</v>
      </c>
      <c r="H490" s="242" t="str">
        <f t="shared" si="1"/>
        <v/>
      </c>
      <c r="I490" s="297" t="s">
        <v>2575</v>
      </c>
      <c r="J490" s="288" t="str">
        <f t="shared" si="2"/>
        <v>Defeat all kinds of Overworld night mobs (See requirement notes below)</v>
      </c>
      <c r="K490" s="289"/>
      <c r="L490" s="290"/>
      <c r="M490" s="293" t="s">
        <v>238</v>
      </c>
      <c r="N490" s="289" t="s">
        <v>2576</v>
      </c>
      <c r="O490" s="239" t="s">
        <v>1969</v>
      </c>
      <c r="P490" s="291" t="s">
        <v>2240</v>
      </c>
      <c r="Q490" s="292" t="s">
        <v>2577</v>
      </c>
      <c r="R490" s="291" t="s">
        <v>194</v>
      </c>
      <c r="S490" s="292"/>
    </row>
    <row r="491">
      <c r="A491" s="230">
        <v>491.0</v>
      </c>
      <c r="B491" s="230" t="s">
        <v>188</v>
      </c>
      <c r="C491" s="231"/>
      <c r="D491" s="232"/>
      <c r="E491" s="232">
        <f>IFERROR(__xludf.DUMMYFUNCTION("iferror(SPLIT(D491,""/""),split(""0/0"",""/""))"),0.0)</f>
        <v>0</v>
      </c>
      <c r="F491" s="232">
        <f>IFERROR(__xludf.DUMMYFUNCTION("""COMPUTED_VALUE"""),0.0)</f>
        <v>0</v>
      </c>
      <c r="G491" s="247" t="b">
        <v>0</v>
      </c>
      <c r="H491" s="242" t="str">
        <f t="shared" si="1"/>
        <v/>
      </c>
      <c r="I491" s="297" t="s">
        <v>2578</v>
      </c>
      <c r="J491" s="288" t="str">
        <f t="shared" si="2"/>
        <v>Defeat all kinds of Nether mobs (See requirement notes below)</v>
      </c>
      <c r="K491" s="289"/>
      <c r="L491" s="290"/>
      <c r="M491" s="293" t="s">
        <v>238</v>
      </c>
      <c r="N491" s="289" t="s">
        <v>2579</v>
      </c>
      <c r="O491" s="239" t="s">
        <v>2580</v>
      </c>
      <c r="P491" s="291" t="s">
        <v>2240</v>
      </c>
      <c r="Q491" s="292" t="s">
        <v>2581</v>
      </c>
      <c r="R491" s="291" t="s">
        <v>194</v>
      </c>
      <c r="S491" s="292"/>
    </row>
    <row r="492">
      <c r="A492" s="230">
        <v>492.0</v>
      </c>
      <c r="B492" s="230" t="s">
        <v>188</v>
      </c>
      <c r="C492" s="231"/>
      <c r="D492" s="232"/>
      <c r="E492" s="232">
        <f>IFERROR(__xludf.DUMMYFUNCTION("iferror(SPLIT(D492,""/""),split(""0/0"",""/""))"),0.0)</f>
        <v>0</v>
      </c>
      <c r="F492" s="232">
        <f>IFERROR(__xludf.DUMMYFUNCTION("""COMPUTED_VALUE"""),0.0)</f>
        <v>0</v>
      </c>
      <c r="G492" s="247" t="b">
        <v>0</v>
      </c>
      <c r="H492" s="242" t="str">
        <f t="shared" si="1"/>
        <v/>
      </c>
      <c r="I492" s="297" t="s">
        <v>2582</v>
      </c>
      <c r="J492" s="288" t="str">
        <f t="shared" si="2"/>
        <v>Defeat all kinds of End mobs (See requirement notes below)</v>
      </c>
      <c r="K492" s="289"/>
      <c r="L492" s="290"/>
      <c r="M492" s="293" t="s">
        <v>238</v>
      </c>
      <c r="N492" s="289" t="s">
        <v>2583</v>
      </c>
      <c r="O492" s="239" t="s">
        <v>2449</v>
      </c>
      <c r="P492" s="291" t="s">
        <v>2240</v>
      </c>
      <c r="Q492" s="292" t="s">
        <v>2584</v>
      </c>
      <c r="R492" s="291" t="s">
        <v>194</v>
      </c>
      <c r="S492" s="292"/>
    </row>
    <row r="493">
      <c r="A493" s="230">
        <v>493.0</v>
      </c>
      <c r="B493" s="230" t="s">
        <v>188</v>
      </c>
      <c r="C493" s="231"/>
      <c r="D493" s="232"/>
      <c r="E493" s="232">
        <f>IFERROR(__xludf.DUMMYFUNCTION("iferror(SPLIT(D493,""/""),split(""0/0"",""/""))"),0.0)</f>
        <v>0</v>
      </c>
      <c r="F493" s="232">
        <f>IFERROR(__xludf.DUMMYFUNCTION("""COMPUTED_VALUE"""),0.0)</f>
        <v>0</v>
      </c>
      <c r="G493" s="247" t="b">
        <v>0</v>
      </c>
      <c r="H493" s="242" t="str">
        <f t="shared" si="1"/>
        <v/>
      </c>
      <c r="I493" s="297" t="s">
        <v>2585</v>
      </c>
      <c r="J493" s="288" t="str">
        <f t="shared" si="2"/>
        <v>Defeat all kinds of mobs from special structures (See requirement notes below)</v>
      </c>
      <c r="K493" s="289"/>
      <c r="L493" s="290"/>
      <c r="M493" s="293" t="s">
        <v>238</v>
      </c>
      <c r="N493" s="289" t="s">
        <v>2586</v>
      </c>
      <c r="O493" s="239" t="s">
        <v>2587</v>
      </c>
      <c r="P493" s="291" t="s">
        <v>2240</v>
      </c>
      <c r="Q493" s="292" t="s">
        <v>2588</v>
      </c>
      <c r="R493" s="291" t="s">
        <v>194</v>
      </c>
      <c r="S493" s="292"/>
    </row>
    <row r="494">
      <c r="A494" s="230">
        <v>494.0</v>
      </c>
      <c r="B494" s="230" t="s">
        <v>188</v>
      </c>
      <c r="C494" s="231"/>
      <c r="D494" s="232"/>
      <c r="E494" s="232">
        <f>IFERROR(__xludf.DUMMYFUNCTION("iferror(SPLIT(D494,""/""),split(""0/0"",""/""))"),0.0)</f>
        <v>0</v>
      </c>
      <c r="F494" s="232">
        <f>IFERROR(__xludf.DUMMYFUNCTION("""COMPUTED_VALUE"""),0.0)</f>
        <v>0</v>
      </c>
      <c r="G494" s="247" t="b">
        <v>0</v>
      </c>
      <c r="H494" s="242" t="str">
        <f t="shared" si="1"/>
        <v/>
      </c>
      <c r="I494" s="298" t="s">
        <v>2589</v>
      </c>
      <c r="J494" s="288" t="str">
        <f t="shared" si="2"/>
        <v>Kill one of every kind of hostile monster (See requirement notes below)</v>
      </c>
      <c r="K494" s="289"/>
      <c r="L494" s="290"/>
      <c r="M494" s="293" t="s">
        <v>238</v>
      </c>
      <c r="N494" s="289" t="s">
        <v>2590</v>
      </c>
      <c r="O494" s="239" t="s">
        <v>672</v>
      </c>
      <c r="P494" s="291" t="s">
        <v>2240</v>
      </c>
      <c r="Q494" s="292" t="s">
        <v>2591</v>
      </c>
      <c r="R494" s="291" t="s">
        <v>194</v>
      </c>
      <c r="S494" s="292"/>
    </row>
    <row r="495">
      <c r="A495" s="230">
        <v>495.0</v>
      </c>
      <c r="B495" s="230" t="s">
        <v>188</v>
      </c>
      <c r="C495" s="231"/>
      <c r="D495" s="232"/>
      <c r="E495" s="232">
        <f>IFERROR(__xludf.DUMMYFUNCTION("iferror(SPLIT(D495,""/""),split(""0/0"",""/""))"),0.0)</f>
        <v>0</v>
      </c>
      <c r="F495" s="232">
        <f>IFERROR(__xludf.DUMMYFUNCTION("""COMPUTED_VALUE"""),0.0)</f>
        <v>0</v>
      </c>
      <c r="G495" s="247" t="b">
        <v>0</v>
      </c>
      <c r="H495" s="242" t="str">
        <f t="shared" si="1"/>
        <v/>
      </c>
      <c r="I495" s="235" t="s">
        <v>2592</v>
      </c>
      <c r="J495" s="302" t="str">
        <f t="shared" si="2"/>
        <v>Weapons of choice for combat (Obtain a wood, stone, iron, gold or diamond sword)</v>
      </c>
      <c r="K495" s="303"/>
      <c r="L495" s="304"/>
      <c r="M495" s="303" t="s">
        <v>2241</v>
      </c>
      <c r="N495" s="303" t="s">
        <v>2593</v>
      </c>
      <c r="O495" s="239" t="s">
        <v>2101</v>
      </c>
      <c r="P495" s="305" t="s">
        <v>2592</v>
      </c>
      <c r="Q495" s="306" t="s">
        <v>2594</v>
      </c>
      <c r="R495" s="305" t="s">
        <v>194</v>
      </c>
      <c r="S495" s="306"/>
    </row>
    <row r="496">
      <c r="A496" s="230">
        <v>496.0</v>
      </c>
      <c r="B496" s="230" t="s">
        <v>188</v>
      </c>
      <c r="C496" s="231"/>
      <c r="D496" s="232"/>
      <c r="E496" s="232">
        <f>IFERROR(__xludf.DUMMYFUNCTION("iferror(SPLIT(D496,""/""),split(""0/0"",""/""))"),0.0)</f>
        <v>0</v>
      </c>
      <c r="F496" s="232">
        <f>IFERROR(__xludf.DUMMYFUNCTION("""COMPUTED_VALUE"""),0.0)</f>
        <v>0</v>
      </c>
      <c r="G496" s="247" t="b">
        <v>0</v>
      </c>
      <c r="H496" s="242" t="str">
        <f t="shared" si="1"/>
        <v/>
      </c>
      <c r="I496" s="243" t="s">
        <v>2595</v>
      </c>
      <c r="J496" s="302" t="str">
        <f t="shared" si="2"/>
        <v>Shoot something with a bow and arrow (Shoot something with an arrow or spectral arrow)</v>
      </c>
      <c r="K496" s="303" t="s">
        <v>2596</v>
      </c>
      <c r="L496" s="304"/>
      <c r="M496" s="303" t="s">
        <v>2597</v>
      </c>
      <c r="N496" s="303" t="s">
        <v>2598</v>
      </c>
      <c r="O496" s="239" t="s">
        <v>1946</v>
      </c>
      <c r="P496" s="305" t="s">
        <v>2592</v>
      </c>
      <c r="Q496" s="306" t="s">
        <v>2599</v>
      </c>
      <c r="R496" s="305" t="s">
        <v>194</v>
      </c>
      <c r="S496" s="306"/>
    </row>
    <row r="497">
      <c r="A497" s="230">
        <v>497.0</v>
      </c>
      <c r="B497" s="230" t="s">
        <v>188</v>
      </c>
      <c r="C497" s="231"/>
      <c r="D497" s="232"/>
      <c r="E497" s="232">
        <f>IFERROR(__xludf.DUMMYFUNCTION("iferror(SPLIT(D497,""/""),split(""0/0"",""/""))"),0.0)</f>
        <v>0</v>
      </c>
      <c r="F497" s="232">
        <f>IFERROR(__xludf.DUMMYFUNCTION("""COMPUTED_VALUE"""),0.0)</f>
        <v>0</v>
      </c>
      <c r="G497" s="247" t="b">
        <v>0</v>
      </c>
      <c r="H497" s="242" t="str">
        <f t="shared" si="1"/>
        <v/>
      </c>
      <c r="I497" s="243" t="s">
        <v>2600</v>
      </c>
      <c r="J497" s="302" t="str">
        <f t="shared" si="2"/>
        <v>Craft a fletching table (Obtain a fletching table)</v>
      </c>
      <c r="K497" s="303"/>
      <c r="L497" s="304"/>
      <c r="M497" s="303" t="s">
        <v>2601</v>
      </c>
      <c r="N497" s="303" t="s">
        <v>2602</v>
      </c>
      <c r="O497" s="239" t="s">
        <v>2603</v>
      </c>
      <c r="P497" s="305" t="s">
        <v>2592</v>
      </c>
      <c r="Q497" s="306" t="s">
        <v>2604</v>
      </c>
      <c r="R497" s="305" t="s">
        <v>194</v>
      </c>
      <c r="S497" s="306"/>
    </row>
    <row r="498">
      <c r="A498" s="230">
        <v>498.0</v>
      </c>
      <c r="B498" s="230" t="s">
        <v>257</v>
      </c>
      <c r="C498" s="231"/>
      <c r="D498" s="232"/>
      <c r="E498" s="232">
        <f>IFERROR(__xludf.DUMMYFUNCTION("iferror(SPLIT(D498,""/""),split(""0/0"",""/""))"),0.0)</f>
        <v>0</v>
      </c>
      <c r="F498" s="232">
        <f>IFERROR(__xludf.DUMMYFUNCTION("""COMPUTED_VALUE"""),0.0)</f>
        <v>0</v>
      </c>
      <c r="G498" s="247" t="b">
        <v>0</v>
      </c>
      <c r="H498" s="242" t="str">
        <f t="shared" si="1"/>
        <v/>
      </c>
      <c r="I498" s="243" t="s">
        <v>2605</v>
      </c>
      <c r="J498" s="302" t="str">
        <f t="shared" si="2"/>
        <v>Shoot a mob at point-blank range (Shoot a mob with an arrow from less than 2 blocks away)</v>
      </c>
      <c r="K498" s="303" t="s">
        <v>2596</v>
      </c>
      <c r="L498" s="304"/>
      <c r="M498" s="303" t="s">
        <v>2606</v>
      </c>
      <c r="N498" s="303" t="s">
        <v>2607</v>
      </c>
      <c r="O498" s="239" t="s">
        <v>2381</v>
      </c>
      <c r="P498" s="305" t="s">
        <v>2592</v>
      </c>
      <c r="Q498" s="306" t="s">
        <v>2608</v>
      </c>
      <c r="R498" s="305" t="s">
        <v>194</v>
      </c>
      <c r="S498" s="305" t="s">
        <v>1948</v>
      </c>
    </row>
    <row r="499">
      <c r="A499" s="230">
        <v>499.0</v>
      </c>
      <c r="B499" s="230" t="s">
        <v>257</v>
      </c>
      <c r="C499" s="231"/>
      <c r="D499" s="232"/>
      <c r="E499" s="232">
        <f>IFERROR(__xludf.DUMMYFUNCTION("iferror(SPLIT(D499,""/""),split(""0/0"",""/""))"),0.0)</f>
        <v>0</v>
      </c>
      <c r="F499" s="232">
        <f>IFERROR(__xludf.DUMMYFUNCTION("""COMPUTED_VALUE"""),0.0)</f>
        <v>0</v>
      </c>
      <c r="G499" s="247" t="b">
        <v>0</v>
      </c>
      <c r="H499" s="242" t="str">
        <f t="shared" si="1"/>
        <v/>
      </c>
      <c r="I499" s="243" t="s">
        <v>2609</v>
      </c>
      <c r="J499" s="302" t="str">
        <f t="shared" si="2"/>
        <v>Take out a mob by bow-spamming (Deal less than 1 damage with an arrow)</v>
      </c>
      <c r="K499" s="303" t="s">
        <v>2596</v>
      </c>
      <c r="L499" s="304"/>
      <c r="M499" s="303" t="s">
        <v>2610</v>
      </c>
      <c r="N499" s="303" t="s">
        <v>2611</v>
      </c>
      <c r="O499" s="239" t="s">
        <v>2474</v>
      </c>
      <c r="P499" s="305" t="s">
        <v>2592</v>
      </c>
      <c r="Q499" s="306" t="s">
        <v>2612</v>
      </c>
      <c r="R499" s="305" t="s">
        <v>194</v>
      </c>
      <c r="S499" s="305" t="s">
        <v>1948</v>
      </c>
    </row>
    <row r="500">
      <c r="A500" s="230">
        <v>500.0</v>
      </c>
      <c r="B500" s="230" t="s">
        <v>257</v>
      </c>
      <c r="C500" s="231"/>
      <c r="D500" s="232"/>
      <c r="E500" s="232">
        <f>IFERROR(__xludf.DUMMYFUNCTION("iferror(SPLIT(D500,""/""),split(""0/0"",""/""))"),0.0)</f>
        <v>0</v>
      </c>
      <c r="F500" s="232">
        <f>IFERROR(__xludf.DUMMYFUNCTION("""COMPUTED_VALUE"""),0.0)</f>
        <v>0</v>
      </c>
      <c r="G500" s="247" t="b">
        <v>0</v>
      </c>
      <c r="H500" s="242" t="str">
        <f t="shared" si="1"/>
        <v/>
      </c>
      <c r="I500" s="249" t="s">
        <v>2613</v>
      </c>
      <c r="J500" s="302" t="str">
        <f t="shared" si="2"/>
        <v>Kill a skeleton with an arrow from more than 50 metres (Kill a skeleton or stray with an arrow from at least 50 metres)</v>
      </c>
      <c r="K500" s="303" t="s">
        <v>2614</v>
      </c>
      <c r="L500" s="304"/>
      <c r="M500" s="303" t="s">
        <v>2615</v>
      </c>
      <c r="N500" s="303" t="s">
        <v>2616</v>
      </c>
      <c r="O500" s="239" t="s">
        <v>2373</v>
      </c>
      <c r="P500" s="305" t="s">
        <v>2592</v>
      </c>
      <c r="Q500" s="306" t="s">
        <v>2617</v>
      </c>
      <c r="R500" s="305" t="s">
        <v>194</v>
      </c>
      <c r="S500" s="305" t="s">
        <v>1948</v>
      </c>
    </row>
    <row r="501">
      <c r="A501" s="230">
        <v>501.0</v>
      </c>
      <c r="B501" s="230" t="s">
        <v>257</v>
      </c>
      <c r="C501" s="231"/>
      <c r="D501" s="232"/>
      <c r="E501" s="232">
        <f>IFERROR(__xludf.DUMMYFUNCTION("iferror(SPLIT(D501,""/""),split(""0/0"",""/""))"),0.0)</f>
        <v>0</v>
      </c>
      <c r="F501" s="232">
        <f>IFERROR(__xludf.DUMMYFUNCTION("""COMPUTED_VALUE"""),0.0)</f>
        <v>0</v>
      </c>
      <c r="G501" s="247" t="b">
        <v>0</v>
      </c>
      <c r="H501" s="242" t="str">
        <f t="shared" si="1"/>
        <v/>
      </c>
      <c r="I501" s="249" t="s">
        <v>2618</v>
      </c>
      <c r="J501" s="302" t="str">
        <f t="shared" si="2"/>
        <v>Hunt all types of land animals with your bow (See requirement notes below)</v>
      </c>
      <c r="K501" s="303" t="s">
        <v>2619</v>
      </c>
      <c r="L501" s="304"/>
      <c r="M501" s="307" t="s">
        <v>238</v>
      </c>
      <c r="N501" s="303" t="s">
        <v>2620</v>
      </c>
      <c r="O501" s="239" t="s">
        <v>2621</v>
      </c>
      <c r="P501" s="305" t="s">
        <v>2592</v>
      </c>
      <c r="Q501" s="306" t="s">
        <v>2622</v>
      </c>
      <c r="R501" s="305" t="s">
        <v>194</v>
      </c>
      <c r="S501" s="305" t="s">
        <v>267</v>
      </c>
    </row>
    <row r="502">
      <c r="A502" s="230">
        <v>502.0</v>
      </c>
      <c r="B502" s="230" t="s">
        <v>257</v>
      </c>
      <c r="C502" s="231"/>
      <c r="D502" s="232"/>
      <c r="E502" s="232">
        <f>IFERROR(__xludf.DUMMYFUNCTION("iferror(SPLIT(D502,""/""),split(""0/0"",""/""))"),0.0)</f>
        <v>0</v>
      </c>
      <c r="F502" s="232">
        <f>IFERROR(__xludf.DUMMYFUNCTION("""COMPUTED_VALUE"""),0.0)</f>
        <v>0</v>
      </c>
      <c r="G502" s="247" t="b">
        <v>0</v>
      </c>
      <c r="H502" s="242" t="str">
        <f t="shared" si="1"/>
        <v/>
      </c>
      <c r="I502" s="249" t="s">
        <v>2623</v>
      </c>
      <c r="J502" s="302" t="str">
        <f t="shared" si="2"/>
        <v>Kill a mob at the bottom of the world from the build limit using any kind of projectile (Using any projectile, kill a mob at y-level -59.5 or lower while you are at y-level 319 or higher (in the Overworld) or y-level 255 or higher (in the Nether or End))</v>
      </c>
      <c r="K502" s="303"/>
      <c r="L502" s="304"/>
      <c r="M502" s="303" t="s">
        <v>2624</v>
      </c>
      <c r="N502" s="303" t="s">
        <v>2625</v>
      </c>
      <c r="O502" s="239" t="s">
        <v>2626</v>
      </c>
      <c r="P502" s="305" t="s">
        <v>2592</v>
      </c>
      <c r="Q502" s="306" t="s">
        <v>2627</v>
      </c>
      <c r="R502" s="305" t="s">
        <v>194</v>
      </c>
      <c r="S502" s="306" t="s">
        <v>347</v>
      </c>
    </row>
    <row r="503">
      <c r="A503" s="230">
        <v>503.0</v>
      </c>
      <c r="B503" s="230" t="s">
        <v>188</v>
      </c>
      <c r="C503" s="231"/>
      <c r="D503" s="232"/>
      <c r="E503" s="232">
        <f>IFERROR(__xludf.DUMMYFUNCTION("iferror(SPLIT(D503,""/""),split(""0/0"",""/""))"),0.0)</f>
        <v>0</v>
      </c>
      <c r="F503" s="232">
        <f>IFERROR(__xludf.DUMMYFUNCTION("""COMPUTED_VALUE"""),0.0)</f>
        <v>0</v>
      </c>
      <c r="G503" s="247" t="b">
        <v>0</v>
      </c>
      <c r="H503" s="242" t="str">
        <f t="shared" si="1"/>
        <v/>
      </c>
      <c r="I503" s="243" t="s">
        <v>2628</v>
      </c>
      <c r="J503" s="302" t="str">
        <f t="shared" si="2"/>
        <v>Craft a crossbow using sticks, spider string, iron and a hook (Obtain a crossbow)</v>
      </c>
      <c r="K503" s="303"/>
      <c r="L503" s="304"/>
      <c r="M503" s="303" t="s">
        <v>2629</v>
      </c>
      <c r="N503" s="303" t="s">
        <v>2630</v>
      </c>
      <c r="O503" s="239" t="s">
        <v>2631</v>
      </c>
      <c r="P503" s="305" t="s">
        <v>2592</v>
      </c>
      <c r="Q503" s="306" t="s">
        <v>2632</v>
      </c>
      <c r="R503" s="305" t="s">
        <v>194</v>
      </c>
      <c r="S503" s="306"/>
    </row>
    <row r="504">
      <c r="A504" s="230">
        <v>504.0</v>
      </c>
      <c r="B504" s="230" t="s">
        <v>188</v>
      </c>
      <c r="C504" s="231"/>
      <c r="D504" s="232"/>
      <c r="E504" s="232">
        <f>IFERROR(__xludf.DUMMYFUNCTION("iferror(SPLIT(D504,""/""),split(""0/0"",""/""))"),0.0)</f>
        <v>0</v>
      </c>
      <c r="F504" s="232">
        <f>IFERROR(__xludf.DUMMYFUNCTION("""COMPUTED_VALUE"""),0.0)</f>
        <v>0</v>
      </c>
      <c r="G504" s="247" t="b">
        <v>0</v>
      </c>
      <c r="H504" s="242" t="str">
        <f t="shared" si="1"/>
        <v/>
      </c>
      <c r="I504" s="243" t="s">
        <v>2633</v>
      </c>
      <c r="J504" s="302" t="str">
        <f t="shared" si="2"/>
        <v>Shoot a crossbow</v>
      </c>
      <c r="K504" s="303" t="s">
        <v>2596</v>
      </c>
      <c r="L504" s="304"/>
      <c r="M504" s="303"/>
      <c r="N504" s="303" t="s">
        <v>2634</v>
      </c>
      <c r="O504" s="239" t="s">
        <v>2535</v>
      </c>
      <c r="P504" s="305" t="s">
        <v>2592</v>
      </c>
      <c r="Q504" s="306" t="s">
        <v>2635</v>
      </c>
      <c r="R504" s="305" t="s">
        <v>194</v>
      </c>
      <c r="S504" s="306"/>
    </row>
    <row r="505">
      <c r="A505" s="230">
        <v>505.0</v>
      </c>
      <c r="B505" s="230" t="s">
        <v>188</v>
      </c>
      <c r="C505" s="231"/>
      <c r="D505" s="232"/>
      <c r="E505" s="232">
        <f>IFERROR(__xludf.DUMMYFUNCTION("iferror(SPLIT(D505,""/""),split(""0/0"",""/""))"),0.0)</f>
        <v>0</v>
      </c>
      <c r="F505" s="232">
        <f>IFERROR(__xludf.DUMMYFUNCTION("""COMPUTED_VALUE"""),0.0)</f>
        <v>0</v>
      </c>
      <c r="G505" s="247" t="b">
        <v>0</v>
      </c>
      <c r="H505" s="242" t="str">
        <f t="shared" si="1"/>
        <v/>
      </c>
      <c r="I505" s="243" t="s">
        <v>2636</v>
      </c>
      <c r="J505" s="302" t="str">
        <f t="shared" si="2"/>
        <v>Give a Pillager a taste of their own medicine (Kill a Pillager with a crossbow)</v>
      </c>
      <c r="K505" s="303" t="s">
        <v>2637</v>
      </c>
      <c r="L505" s="304"/>
      <c r="M505" s="303" t="s">
        <v>2638</v>
      </c>
      <c r="N505" s="303" t="s">
        <v>2639</v>
      </c>
      <c r="O505" s="239" t="s">
        <v>2283</v>
      </c>
      <c r="P505" s="305" t="s">
        <v>2592</v>
      </c>
      <c r="Q505" s="306" t="s">
        <v>2640</v>
      </c>
      <c r="R505" s="305" t="s">
        <v>194</v>
      </c>
      <c r="S505" s="306"/>
    </row>
    <row r="506">
      <c r="A506" s="230">
        <v>506.0</v>
      </c>
      <c r="B506" s="230" t="s">
        <v>257</v>
      </c>
      <c r="C506" s="231"/>
      <c r="D506" s="232"/>
      <c r="E506" s="232">
        <f>IFERROR(__xludf.DUMMYFUNCTION("iferror(SPLIT(D506,""/""),split(""0/0"",""/""))"),0.0)</f>
        <v>0</v>
      </c>
      <c r="F506" s="232">
        <f>IFERROR(__xludf.DUMMYFUNCTION("""COMPUTED_VALUE"""),0.0)</f>
        <v>0</v>
      </c>
      <c r="G506" s="247" t="b">
        <v>0</v>
      </c>
      <c r="H506" s="242" t="str">
        <f t="shared" si="1"/>
        <v/>
      </c>
      <c r="I506" s="246" t="s">
        <v>2641</v>
      </c>
      <c r="J506" s="302" t="str">
        <f t="shared" si="2"/>
        <v>Have nine loaded crossbows in your hotbar. All set!</v>
      </c>
      <c r="K506" s="303" t="s">
        <v>2642</v>
      </c>
      <c r="L506" s="304"/>
      <c r="M506" s="303"/>
      <c r="N506" s="303" t="s">
        <v>2643</v>
      </c>
      <c r="O506" s="239" t="s">
        <v>2535</v>
      </c>
      <c r="P506" s="305" t="s">
        <v>2592</v>
      </c>
      <c r="Q506" s="306" t="s">
        <v>2644</v>
      </c>
      <c r="R506" s="305" t="s">
        <v>194</v>
      </c>
      <c r="S506" s="306" t="s">
        <v>262</v>
      </c>
    </row>
    <row r="507">
      <c r="A507" s="230">
        <v>507.0</v>
      </c>
      <c r="B507" s="230" t="s">
        <v>188</v>
      </c>
      <c r="C507" s="231"/>
      <c r="D507" s="232"/>
      <c r="E507" s="232">
        <f>IFERROR(__xludf.DUMMYFUNCTION("iferror(SPLIT(D507,""/""),split(""0/0"",""/""))"),0.0)</f>
        <v>0</v>
      </c>
      <c r="F507" s="232">
        <f>IFERROR(__xludf.DUMMYFUNCTION("""COMPUTED_VALUE"""),0.0)</f>
        <v>0</v>
      </c>
      <c r="G507" s="247" t="b">
        <v>0</v>
      </c>
      <c r="H507" s="242" t="str">
        <f t="shared" si="1"/>
        <v/>
      </c>
      <c r="I507" s="243" t="s">
        <v>2645</v>
      </c>
      <c r="J507" s="302" t="str">
        <f t="shared" si="2"/>
        <v>Use gunpowder and paper to craft fireworks (Obtain a firework rocket)</v>
      </c>
      <c r="K507" s="303"/>
      <c r="L507" s="304"/>
      <c r="M507" s="303" t="s">
        <v>2646</v>
      </c>
      <c r="N507" s="303" t="s">
        <v>2647</v>
      </c>
      <c r="O507" s="239" t="s">
        <v>2648</v>
      </c>
      <c r="P507" s="305" t="s">
        <v>2592</v>
      </c>
      <c r="Q507" s="306" t="s">
        <v>2649</v>
      </c>
      <c r="R507" s="305" t="s">
        <v>194</v>
      </c>
      <c r="S507" s="306"/>
    </row>
    <row r="508">
      <c r="A508" s="230">
        <v>508.0</v>
      </c>
      <c r="B508" s="230" t="s">
        <v>257</v>
      </c>
      <c r="C508" s="231"/>
      <c r="D508" s="232"/>
      <c r="E508" s="232">
        <f>IFERROR(__xludf.DUMMYFUNCTION("iferror(SPLIT(D508,""/""),split(""0/0"",""/""))"),0.0)</f>
        <v>0</v>
      </c>
      <c r="F508" s="232">
        <f>IFERROR(__xludf.DUMMYFUNCTION("""COMPUTED_VALUE"""),0.0)</f>
        <v>0</v>
      </c>
      <c r="G508" s="247" t="b">
        <v>0</v>
      </c>
      <c r="H508" s="242" t="str">
        <f t="shared" si="1"/>
        <v/>
      </c>
      <c r="I508" s="246" t="s">
        <v>2650</v>
      </c>
      <c r="J508" s="302" t="str">
        <f t="shared" si="2"/>
        <v>Craft a firework of every shape and additional effect (See requirement notes below)</v>
      </c>
      <c r="K508" s="303" t="s">
        <v>2651</v>
      </c>
      <c r="L508" s="304"/>
      <c r="M508" s="307" t="s">
        <v>238</v>
      </c>
      <c r="N508" s="303" t="s">
        <v>2652</v>
      </c>
      <c r="O508" s="239" t="s">
        <v>2653</v>
      </c>
      <c r="P508" s="305" t="s">
        <v>2592</v>
      </c>
      <c r="Q508" s="306" t="s">
        <v>2654</v>
      </c>
      <c r="R508" s="305" t="s">
        <v>194</v>
      </c>
      <c r="S508" s="306" t="s">
        <v>262</v>
      </c>
    </row>
    <row r="509">
      <c r="A509" s="230">
        <v>509.0</v>
      </c>
      <c r="B509" s="230" t="s">
        <v>188</v>
      </c>
      <c r="C509" s="231"/>
      <c r="D509" s="232"/>
      <c r="E509" s="232">
        <f>IFERROR(__xludf.DUMMYFUNCTION("iferror(SPLIT(D509,""/""),split(""0/0"",""/""))"),0.0)</f>
        <v>0</v>
      </c>
      <c r="F509" s="232">
        <f>IFERROR(__xludf.DUMMYFUNCTION("""COMPUTED_VALUE"""),0.0)</f>
        <v>0</v>
      </c>
      <c r="G509" s="247" t="b">
        <v>0</v>
      </c>
      <c r="H509" s="242" t="str">
        <f t="shared" si="1"/>
        <v/>
      </c>
      <c r="I509" s="243" t="s">
        <v>2655</v>
      </c>
      <c r="J509" s="302" t="str">
        <f t="shared" si="2"/>
        <v>Load your crossbow with a firework</v>
      </c>
      <c r="K509" s="303" t="s">
        <v>2418</v>
      </c>
      <c r="L509" s="304"/>
      <c r="M509" s="303"/>
      <c r="N509" s="303" t="s">
        <v>2656</v>
      </c>
      <c r="O509" s="239" t="s">
        <v>2535</v>
      </c>
      <c r="P509" s="305" t="s">
        <v>2592</v>
      </c>
      <c r="Q509" s="306" t="s">
        <v>2657</v>
      </c>
      <c r="R509" s="305" t="s">
        <v>194</v>
      </c>
      <c r="S509" s="306"/>
    </row>
    <row r="510">
      <c r="A510" s="230">
        <v>510.0</v>
      </c>
      <c r="B510" s="230" t="s">
        <v>188</v>
      </c>
      <c r="C510" s="231"/>
      <c r="D510" s="232"/>
      <c r="E510" s="232">
        <f>IFERROR(__xludf.DUMMYFUNCTION("iferror(SPLIT(D510,""/""),split(""0/0"",""/""))"),0.0)</f>
        <v>0</v>
      </c>
      <c r="F510" s="232">
        <f>IFERROR(__xludf.DUMMYFUNCTION("""COMPUTED_VALUE"""),0.0)</f>
        <v>0</v>
      </c>
      <c r="G510" s="247" t="b">
        <v>0</v>
      </c>
      <c r="H510" s="242" t="str">
        <f t="shared" si="1"/>
        <v/>
      </c>
      <c r="I510" s="243" t="s">
        <v>2658</v>
      </c>
      <c r="J510" s="302" t="str">
        <f t="shared" si="2"/>
        <v>Kill a mob using a firework's explosion</v>
      </c>
      <c r="K510" s="303" t="s">
        <v>2418</v>
      </c>
      <c r="L510" s="304"/>
      <c r="M510" s="303"/>
      <c r="N510" s="303" t="s">
        <v>2659</v>
      </c>
      <c r="O510" s="239" t="s">
        <v>2653</v>
      </c>
      <c r="P510" s="305" t="s">
        <v>2592</v>
      </c>
      <c r="Q510" s="306" t="s">
        <v>2660</v>
      </c>
      <c r="R510" s="305" t="s">
        <v>194</v>
      </c>
      <c r="S510" s="306"/>
    </row>
    <row r="511">
      <c r="A511" s="230">
        <v>511.0</v>
      </c>
      <c r="B511" s="230" t="s">
        <v>283</v>
      </c>
      <c r="C511" s="231"/>
      <c r="D511" s="232"/>
      <c r="E511" s="232">
        <f>IFERROR(__xludf.DUMMYFUNCTION("iferror(SPLIT(D511,""/""),split(""0/0"",""/""))"),0.0)</f>
        <v>0</v>
      </c>
      <c r="F511" s="232">
        <f>IFERROR(__xludf.DUMMYFUNCTION("""COMPUTED_VALUE"""),0.0)</f>
        <v>0</v>
      </c>
      <c r="G511" s="247" t="b">
        <v>0</v>
      </c>
      <c r="H511" s="242" t="str">
        <f t="shared" si="1"/>
        <v/>
      </c>
      <c r="I511" s="246" t="s">
        <v>2661</v>
      </c>
      <c r="J511" s="302" t="str">
        <f t="shared" si="2"/>
        <v>Kill a ghast using a firework's explosion</v>
      </c>
      <c r="K511" s="303" t="s">
        <v>2662</v>
      </c>
      <c r="L511" s="304"/>
      <c r="M511" s="303"/>
      <c r="N511" s="303" t="s">
        <v>2663</v>
      </c>
      <c r="O511" s="239" t="s">
        <v>2664</v>
      </c>
      <c r="P511" s="305" t="s">
        <v>2592</v>
      </c>
      <c r="Q511" s="306" t="s">
        <v>2665</v>
      </c>
      <c r="R511" s="305" t="s">
        <v>194</v>
      </c>
      <c r="S511" s="306" t="s">
        <v>267</v>
      </c>
    </row>
    <row r="512">
      <c r="A512" s="230">
        <v>512.0</v>
      </c>
      <c r="B512" s="230" t="s">
        <v>188</v>
      </c>
      <c r="C512" s="231"/>
      <c r="D512" s="232"/>
      <c r="E512" s="232">
        <f>IFERROR(__xludf.DUMMYFUNCTION("iferror(SPLIT(D512,""/""),split(""0/0"",""/""))"),0.0)</f>
        <v>0</v>
      </c>
      <c r="F512" s="232">
        <f>IFERROR(__xludf.DUMMYFUNCTION("""COMPUTED_VALUE"""),0.0)</f>
        <v>0</v>
      </c>
      <c r="G512" s="247" t="b">
        <v>0</v>
      </c>
      <c r="H512" s="242" t="str">
        <f t="shared" si="1"/>
        <v/>
      </c>
      <c r="I512" s="243" t="s">
        <v>2666</v>
      </c>
      <c r="J512" s="302" t="str">
        <f t="shared" si="2"/>
        <v>Use planks and iron to craft a shield (Obtain a shield)</v>
      </c>
      <c r="K512" s="303"/>
      <c r="L512" s="304"/>
      <c r="M512" s="303" t="s">
        <v>2667</v>
      </c>
      <c r="N512" s="303" t="s">
        <v>2668</v>
      </c>
      <c r="O512" s="239" t="s">
        <v>2298</v>
      </c>
      <c r="P512" s="305" t="s">
        <v>2592</v>
      </c>
      <c r="Q512" s="306" t="s">
        <v>2669</v>
      </c>
      <c r="R512" s="305" t="s">
        <v>194</v>
      </c>
      <c r="S512" s="306"/>
    </row>
    <row r="513">
      <c r="A513" s="230">
        <v>513.0</v>
      </c>
      <c r="B513" s="230" t="s">
        <v>188</v>
      </c>
      <c r="C513" s="231"/>
      <c r="D513" s="232"/>
      <c r="E513" s="232">
        <f>IFERROR(__xludf.DUMMYFUNCTION("iferror(SPLIT(D513,""/""),split(""0/0"",""/""))"),0.0)</f>
        <v>0</v>
      </c>
      <c r="F513" s="232">
        <f>IFERROR(__xludf.DUMMYFUNCTION("""COMPUTED_VALUE"""),0.0)</f>
        <v>0</v>
      </c>
      <c r="G513" s="247" t="b">
        <v>0</v>
      </c>
      <c r="H513" s="242" t="str">
        <f t="shared" si="1"/>
        <v/>
      </c>
      <c r="I513" s="243" t="s">
        <v>2670</v>
      </c>
      <c r="J513" s="302" t="str">
        <f t="shared" si="2"/>
        <v>Protect yourself from an enemy's attack using your shield (Block an enemy's attack)</v>
      </c>
      <c r="K513" s="303"/>
      <c r="L513" s="304"/>
      <c r="M513" s="303" t="s">
        <v>2671</v>
      </c>
      <c r="N513" s="303" t="s">
        <v>2672</v>
      </c>
      <c r="O513" s="239" t="s">
        <v>2029</v>
      </c>
      <c r="P513" s="305" t="s">
        <v>2592</v>
      </c>
      <c r="Q513" s="306" t="s">
        <v>2673</v>
      </c>
      <c r="R513" s="305" t="s">
        <v>194</v>
      </c>
      <c r="S513" s="306"/>
    </row>
    <row r="514">
      <c r="A514" s="230">
        <v>514.0</v>
      </c>
      <c r="B514" s="230" t="s">
        <v>283</v>
      </c>
      <c r="C514" s="231"/>
      <c r="D514" s="232"/>
      <c r="E514" s="232">
        <f>IFERROR(__xludf.DUMMYFUNCTION("iferror(SPLIT(D514,""/""),split(""0/0"",""/""))"),0.0)</f>
        <v>0</v>
      </c>
      <c r="F514" s="232">
        <f>IFERROR(__xludf.DUMMYFUNCTION("""COMPUTED_VALUE"""),0.0)</f>
        <v>0</v>
      </c>
      <c r="G514" s="247" t="b">
        <v>0</v>
      </c>
      <c r="H514" s="242" t="str">
        <f t="shared" si="1"/>
        <v/>
      </c>
      <c r="I514" s="243" t="s">
        <v>2674</v>
      </c>
      <c r="J514" s="302" t="str">
        <f t="shared" si="2"/>
        <v>Apply a banner to your shield (Obtain a shield with any banner)</v>
      </c>
      <c r="K514" s="303" t="s">
        <v>2675</v>
      </c>
      <c r="L514" s="304"/>
      <c r="M514" s="303" t="s">
        <v>2676</v>
      </c>
      <c r="N514" s="303" t="s">
        <v>2677</v>
      </c>
      <c r="O514" s="239" t="s">
        <v>2298</v>
      </c>
      <c r="P514" s="305" t="s">
        <v>2592</v>
      </c>
      <c r="Q514" s="306" t="s">
        <v>2678</v>
      </c>
      <c r="R514" s="305" t="s">
        <v>194</v>
      </c>
      <c r="S514" s="306" t="s">
        <v>290</v>
      </c>
    </row>
    <row r="515">
      <c r="A515" s="230">
        <v>515.0</v>
      </c>
      <c r="B515" s="230" t="s">
        <v>257</v>
      </c>
      <c r="C515" s="231"/>
      <c r="D515" s="232"/>
      <c r="E515" s="232">
        <f>IFERROR(__xludf.DUMMYFUNCTION("iferror(SPLIT(D515,""/""),split(""0/0"",""/""))"),0.0)</f>
        <v>0</v>
      </c>
      <c r="F515" s="232">
        <f>IFERROR(__xludf.DUMMYFUNCTION("""COMPUTED_VALUE"""),0.0)</f>
        <v>0</v>
      </c>
      <c r="G515" s="247" t="b">
        <v>0</v>
      </c>
      <c r="H515" s="242" t="str">
        <f t="shared" si="1"/>
        <v/>
      </c>
      <c r="I515" s="249" t="s">
        <v>2679</v>
      </c>
      <c r="J515" s="302" t="str">
        <f t="shared" si="2"/>
        <v>Deflect an attack from every hostile monster (See requirement notes below)</v>
      </c>
      <c r="K515" s="303"/>
      <c r="L515" s="304"/>
      <c r="M515" s="307" t="s">
        <v>238</v>
      </c>
      <c r="N515" s="303" t="s">
        <v>2680</v>
      </c>
      <c r="O515" s="239" t="s">
        <v>2298</v>
      </c>
      <c r="P515" s="305" t="s">
        <v>2592</v>
      </c>
      <c r="Q515" s="306" t="s">
        <v>2681</v>
      </c>
      <c r="R515" s="305" t="s">
        <v>194</v>
      </c>
      <c r="S515" s="306" t="s">
        <v>267</v>
      </c>
    </row>
    <row r="516">
      <c r="A516" s="230">
        <v>516.0</v>
      </c>
      <c r="B516" s="230" t="s">
        <v>188</v>
      </c>
      <c r="C516" s="231"/>
      <c r="D516" s="232"/>
      <c r="E516" s="232">
        <f>IFERROR(__xludf.DUMMYFUNCTION("iferror(SPLIT(D516,""/""),split(""0/0"",""/""))"),0.0)</f>
        <v>0</v>
      </c>
      <c r="F516" s="232">
        <f>IFERROR(__xludf.DUMMYFUNCTION("""COMPUTED_VALUE"""),0.0)</f>
        <v>0</v>
      </c>
      <c r="G516" s="247" t="b">
        <v>0</v>
      </c>
      <c r="H516" s="242" t="str">
        <f t="shared" si="1"/>
        <v/>
      </c>
      <c r="I516" s="243" t="s">
        <v>2682</v>
      </c>
      <c r="J516" s="302" t="str">
        <f t="shared" si="2"/>
        <v>Attack a mob using an axe</v>
      </c>
      <c r="K516" s="303"/>
      <c r="L516" s="304"/>
      <c r="M516" s="303"/>
      <c r="N516" s="303" t="s">
        <v>2683</v>
      </c>
      <c r="O516" s="239" t="s">
        <v>506</v>
      </c>
      <c r="P516" s="305" t="s">
        <v>2592</v>
      </c>
      <c r="Q516" s="306" t="s">
        <v>2684</v>
      </c>
      <c r="R516" s="305" t="s">
        <v>194</v>
      </c>
      <c r="S516" s="306"/>
    </row>
    <row r="517">
      <c r="A517" s="230">
        <v>517.0</v>
      </c>
      <c r="B517" s="230" t="s">
        <v>283</v>
      </c>
      <c r="C517" s="231"/>
      <c r="D517" s="232"/>
      <c r="E517" s="232">
        <f>IFERROR(__xludf.DUMMYFUNCTION("iferror(SPLIT(D517,""/""),split(""0/0"",""/""))"),0.0)</f>
        <v>0</v>
      </c>
      <c r="F517" s="232">
        <f>IFERROR(__xludf.DUMMYFUNCTION("""COMPUTED_VALUE"""),0.0)</f>
        <v>0</v>
      </c>
      <c r="G517" s="247" t="b">
        <v>0</v>
      </c>
      <c r="H517" s="242" t="str">
        <f t="shared" si="1"/>
        <v/>
      </c>
      <c r="I517" s="246" t="s">
        <v>2685</v>
      </c>
      <c r="J517" s="302" t="str">
        <f t="shared" si="2"/>
        <v>Attack a mob using all six types of axes</v>
      </c>
      <c r="K517" s="303"/>
      <c r="L517" s="304"/>
      <c r="M517" s="303"/>
      <c r="N517" s="303" t="s">
        <v>2686</v>
      </c>
      <c r="O517" s="239" t="s">
        <v>2687</v>
      </c>
      <c r="P517" s="305" t="s">
        <v>2592</v>
      </c>
      <c r="Q517" s="306" t="s">
        <v>2688</v>
      </c>
      <c r="R517" s="305" t="s">
        <v>194</v>
      </c>
      <c r="S517" s="306" t="s">
        <v>290</v>
      </c>
    </row>
    <row r="518">
      <c r="A518" s="230">
        <v>518.0</v>
      </c>
      <c r="B518" s="230" t="s">
        <v>283</v>
      </c>
      <c r="C518" s="231"/>
      <c r="D518" s="232"/>
      <c r="E518" s="232">
        <f>IFERROR(__xludf.DUMMYFUNCTION("iferror(SPLIT(D518,""/""),split(""0/0"",""/""))"),0.0)</f>
        <v>0</v>
      </c>
      <c r="F518" s="232">
        <f>IFERROR(__xludf.DUMMYFUNCTION("""COMPUTED_VALUE"""),0.0)</f>
        <v>0</v>
      </c>
      <c r="G518" s="247" t="b">
        <v>0</v>
      </c>
      <c r="H518" s="242" t="str">
        <f t="shared" si="1"/>
        <v/>
      </c>
      <c r="I518" s="246" t="s">
        <v>2689</v>
      </c>
      <c r="J518" s="302" t="str">
        <f t="shared" si="2"/>
        <v>Hit a mob using all six types of shovels</v>
      </c>
      <c r="K518" s="303"/>
      <c r="L518" s="304"/>
      <c r="M518" s="303"/>
      <c r="N518" s="303" t="s">
        <v>2690</v>
      </c>
      <c r="O518" s="239" t="s">
        <v>2691</v>
      </c>
      <c r="P518" s="305" t="s">
        <v>2592</v>
      </c>
      <c r="Q518" s="306" t="s">
        <v>2692</v>
      </c>
      <c r="R518" s="305" t="s">
        <v>194</v>
      </c>
      <c r="S518" s="306" t="s">
        <v>290</v>
      </c>
    </row>
    <row r="519">
      <c r="A519" s="230">
        <v>519.0</v>
      </c>
      <c r="B519" s="230" t="s">
        <v>257</v>
      </c>
      <c r="C519" s="231"/>
      <c r="D519" s="232"/>
      <c r="E519" s="232">
        <f>IFERROR(__xludf.DUMMYFUNCTION("iferror(SPLIT(D519,""/""),split(""0/0"",""/""))"),0.0)</f>
        <v>0</v>
      </c>
      <c r="F519" s="232">
        <f>IFERROR(__xludf.DUMMYFUNCTION("""COMPUTED_VALUE"""),0.0)</f>
        <v>0</v>
      </c>
      <c r="G519" s="247" t="b">
        <v>0</v>
      </c>
      <c r="H519" s="242" t="str">
        <f t="shared" si="1"/>
        <v/>
      </c>
      <c r="I519" s="246" t="s">
        <v>2693</v>
      </c>
      <c r="J519" s="302" t="str">
        <f t="shared" si="2"/>
        <v>Kill a mob using a shovel while both of you are standing on a Big Dripleaf</v>
      </c>
      <c r="K519" s="303"/>
      <c r="L519" s="304"/>
      <c r="M519" s="303"/>
      <c r="N519" s="303" t="s">
        <v>2694</v>
      </c>
      <c r="O519" s="239" t="s">
        <v>215</v>
      </c>
      <c r="P519" s="305" t="s">
        <v>2592</v>
      </c>
      <c r="Q519" s="306" t="s">
        <v>2695</v>
      </c>
      <c r="R519" s="305" t="s">
        <v>194</v>
      </c>
      <c r="S519" s="305" t="s">
        <v>262</v>
      </c>
    </row>
    <row r="520">
      <c r="A520" s="230">
        <v>520.0</v>
      </c>
      <c r="B520" s="230" t="s">
        <v>257</v>
      </c>
      <c r="C520" s="231"/>
      <c r="D520" s="232"/>
      <c r="E520" s="232">
        <f>IFERROR(__xludf.DUMMYFUNCTION("iferror(SPLIT(D520,""/""),split(""0/0"",""/""))"),0.0)</f>
        <v>0</v>
      </c>
      <c r="F520" s="232">
        <f>IFERROR(__xludf.DUMMYFUNCTION("""COMPUTED_VALUE"""),0.0)</f>
        <v>0</v>
      </c>
      <c r="G520" s="247" t="b">
        <v>0</v>
      </c>
      <c r="H520" s="242" t="str">
        <f t="shared" si="1"/>
        <v/>
      </c>
      <c r="I520" s="249" t="s">
        <v>2696</v>
      </c>
      <c r="J520" s="302" t="str">
        <f t="shared" si="2"/>
        <v>Hit a mob with every type of weapon (See requirement notes below)</v>
      </c>
      <c r="K520" s="303"/>
      <c r="L520" s="304"/>
      <c r="M520" s="307" t="s">
        <v>238</v>
      </c>
      <c r="N520" s="303" t="s">
        <v>2697</v>
      </c>
      <c r="O520" s="239" t="s">
        <v>2698</v>
      </c>
      <c r="P520" s="305" t="s">
        <v>2592</v>
      </c>
      <c r="Q520" s="306" t="s">
        <v>2699</v>
      </c>
      <c r="R520" s="305" t="s">
        <v>194</v>
      </c>
      <c r="S520" s="305" t="s">
        <v>1948</v>
      </c>
    </row>
    <row r="521">
      <c r="A521" s="230">
        <v>521.0</v>
      </c>
      <c r="B521" s="230" t="s">
        <v>188</v>
      </c>
      <c r="C521" s="231"/>
      <c r="D521" s="232"/>
      <c r="E521" s="232">
        <f>IFERROR(__xludf.DUMMYFUNCTION("iferror(SPLIT(D521,""/""),split(""0/0"",""/""))"),0.0)</f>
        <v>0</v>
      </c>
      <c r="F521" s="232">
        <f>IFERROR(__xludf.DUMMYFUNCTION("""COMPUTED_VALUE"""),0.0)</f>
        <v>0</v>
      </c>
      <c r="G521" s="247" t="b">
        <v>0</v>
      </c>
      <c r="H521" s="242" t="str">
        <f t="shared" si="1"/>
        <v/>
      </c>
      <c r="I521" s="243" t="s">
        <v>2700</v>
      </c>
      <c r="J521" s="302" t="str">
        <f t="shared" si="2"/>
        <v>Throw a trident at something. Note: Throwing away your only weapon is not a good idea (Throw a trident such that it hits a mob)</v>
      </c>
      <c r="K521" s="303"/>
      <c r="L521" s="304"/>
      <c r="M521" s="303" t="s">
        <v>2701</v>
      </c>
      <c r="N521" s="303" t="s">
        <v>2702</v>
      </c>
      <c r="O521" s="239" t="s">
        <v>1716</v>
      </c>
      <c r="P521" s="305" t="s">
        <v>2592</v>
      </c>
      <c r="Q521" s="306" t="s">
        <v>2703</v>
      </c>
      <c r="R521" s="305" t="s">
        <v>194</v>
      </c>
      <c r="S521" s="306"/>
    </row>
    <row r="522">
      <c r="A522" s="230">
        <v>522.0</v>
      </c>
      <c r="B522" s="230" t="s">
        <v>257</v>
      </c>
      <c r="C522" s="231"/>
      <c r="D522" s="232"/>
      <c r="E522" s="232">
        <f>IFERROR(__xludf.DUMMYFUNCTION("iferror(SPLIT(D522,""/""),split(""0/0"",""/""))"),0.0)</f>
        <v>0</v>
      </c>
      <c r="F522" s="232">
        <f>IFERROR(__xludf.DUMMYFUNCTION("""COMPUTED_VALUE"""),0.0)</f>
        <v>0</v>
      </c>
      <c r="G522" s="247" t="b">
        <v>0</v>
      </c>
      <c r="H522" s="242" t="str">
        <f t="shared" si="1"/>
        <v/>
      </c>
      <c r="I522" s="249" t="s">
        <v>2704</v>
      </c>
      <c r="J522" s="302" t="str">
        <f t="shared" si="2"/>
        <v>Kill a Drowned using a trident from at least 30 metres</v>
      </c>
      <c r="K522" s="303" t="s">
        <v>2309</v>
      </c>
      <c r="L522" s="304"/>
      <c r="M522" s="303"/>
      <c r="N522" s="303" t="s">
        <v>2705</v>
      </c>
      <c r="O522" s="239" t="s">
        <v>345</v>
      </c>
      <c r="P522" s="305" t="s">
        <v>2592</v>
      </c>
      <c r="Q522" s="306" t="s">
        <v>2706</v>
      </c>
      <c r="R522" s="305" t="s">
        <v>194</v>
      </c>
      <c r="S522" s="305" t="s">
        <v>1948</v>
      </c>
    </row>
    <row r="523">
      <c r="A523" s="230">
        <v>523.0</v>
      </c>
      <c r="B523" s="230" t="s">
        <v>257</v>
      </c>
      <c r="C523" s="231"/>
      <c r="D523" s="232"/>
      <c r="E523" s="232">
        <f>IFERROR(__xludf.DUMMYFUNCTION("iferror(SPLIT(D523,""/""),split(""0/0"",""/""))"),0.0)</f>
        <v>0</v>
      </c>
      <c r="F523" s="232">
        <f>IFERROR(__xludf.DUMMYFUNCTION("""COMPUTED_VALUE"""),0.0)</f>
        <v>0</v>
      </c>
      <c r="G523" s="247" t="b">
        <v>0</v>
      </c>
      <c r="H523" s="242" t="str">
        <f t="shared" si="1"/>
        <v/>
      </c>
      <c r="I523" s="249" t="s">
        <v>2707</v>
      </c>
      <c r="J523" s="302" t="str">
        <f t="shared" si="2"/>
        <v>Hunt all types of aquatic creatures using your trident (See requirement notes below)</v>
      </c>
      <c r="K523" s="303" t="s">
        <v>2708</v>
      </c>
      <c r="L523" s="304"/>
      <c r="M523" s="307" t="s">
        <v>238</v>
      </c>
      <c r="N523" s="303" t="s">
        <v>2709</v>
      </c>
      <c r="O523" s="239" t="s">
        <v>2156</v>
      </c>
      <c r="P523" s="305" t="s">
        <v>2592</v>
      </c>
      <c r="Q523" s="306" t="s">
        <v>2710</v>
      </c>
      <c r="R523" s="305" t="s">
        <v>194</v>
      </c>
      <c r="S523" s="305" t="s">
        <v>267</v>
      </c>
    </row>
    <row r="524">
      <c r="A524" s="230">
        <v>524.0</v>
      </c>
      <c r="B524" s="230" t="s">
        <v>257</v>
      </c>
      <c r="C524" s="231"/>
      <c r="D524" s="232"/>
      <c r="E524" s="232">
        <f>IFERROR(__xludf.DUMMYFUNCTION("iferror(SPLIT(D524,""/""),split(""0/0"",""/""))"),0.0)</f>
        <v>0</v>
      </c>
      <c r="F524" s="232">
        <f>IFERROR(__xludf.DUMMYFUNCTION("""COMPUTED_VALUE"""),0.0)</f>
        <v>0</v>
      </c>
      <c r="G524" s="233" t="b">
        <v>0</v>
      </c>
      <c r="H524" s="242" t="str">
        <f t="shared" si="1"/>
        <v/>
      </c>
      <c r="I524" s="294" t="s">
        <v>2711</v>
      </c>
      <c r="J524" s="302" t="str">
        <f t="shared" si="2"/>
        <v>Hunt all types of nether creatures using your trident (See requirement notes below)</v>
      </c>
      <c r="K524" s="303" t="s">
        <v>2712</v>
      </c>
      <c r="L524" s="304"/>
      <c r="M524" s="307" t="s">
        <v>238</v>
      </c>
      <c r="N524" s="303" t="s">
        <v>2713</v>
      </c>
      <c r="O524" s="239" t="s">
        <v>2714</v>
      </c>
      <c r="P524" s="305" t="s">
        <v>2592</v>
      </c>
      <c r="Q524" s="306" t="s">
        <v>2715</v>
      </c>
      <c r="R524" s="305" t="s">
        <v>194</v>
      </c>
      <c r="S524" s="305" t="s">
        <v>267</v>
      </c>
    </row>
    <row r="525">
      <c r="A525" s="230">
        <v>525.0</v>
      </c>
      <c r="B525" s="230" t="s">
        <v>206</v>
      </c>
      <c r="C525" s="231"/>
      <c r="D525" s="232"/>
      <c r="E525" s="232">
        <f>IFERROR(__xludf.DUMMYFUNCTION("iferror(SPLIT(D525,""/""),split(""0/0"",""/""))"),0.0)</f>
        <v>0</v>
      </c>
      <c r="F525" s="232">
        <f>IFERROR(__xludf.DUMMYFUNCTION("""COMPUTED_VALUE"""),0.0)</f>
        <v>0</v>
      </c>
      <c r="G525" s="247" t="b">
        <v>0</v>
      </c>
      <c r="H525" s="242" t="str">
        <f t="shared" si="1"/>
        <v/>
      </c>
      <c r="I525" s="246" t="s">
        <v>2716</v>
      </c>
      <c r="J525" s="302" t="str">
        <f t="shared" si="2"/>
        <v>Craft a Mace using a Breeze Rod and a Heavy Core, then do a smash attack by hitting a mob after falling</v>
      </c>
      <c r="K525" s="303"/>
      <c r="L525" s="304"/>
      <c r="M525" s="303"/>
      <c r="N525" s="303" t="s">
        <v>2717</v>
      </c>
      <c r="O525" s="239" t="s">
        <v>2718</v>
      </c>
      <c r="P525" s="305" t="s">
        <v>2592</v>
      </c>
      <c r="Q525" s="306" t="s">
        <v>2719</v>
      </c>
      <c r="R525" s="305" t="s">
        <v>194</v>
      </c>
      <c r="S525" s="306"/>
    </row>
    <row r="526">
      <c r="A526" s="230">
        <v>526.0</v>
      </c>
      <c r="B526" s="230" t="s">
        <v>188</v>
      </c>
      <c r="C526" s="231"/>
      <c r="D526" s="232"/>
      <c r="E526" s="232">
        <f>IFERROR(__xludf.DUMMYFUNCTION("iferror(SPLIT(D526,""/""),split(""0/0"",""/""))"),0.0)</f>
        <v>0</v>
      </c>
      <c r="F526" s="232">
        <f>IFERROR(__xludf.DUMMYFUNCTION("""COMPUTED_VALUE"""),0.0)</f>
        <v>0</v>
      </c>
      <c r="G526" s="247" t="b">
        <v>0</v>
      </c>
      <c r="H526" s="242" t="str">
        <f t="shared" si="1"/>
        <v/>
      </c>
      <c r="I526" s="249" t="s">
        <v>2720</v>
      </c>
      <c r="J526" s="302" t="str">
        <f t="shared" si="2"/>
        <v>Deal 50 hearts of damage in a single hit using the Mace</v>
      </c>
      <c r="K526" s="303"/>
      <c r="L526" s="304"/>
      <c r="M526" s="303"/>
      <c r="N526" s="303" t="s">
        <v>2721</v>
      </c>
      <c r="O526" s="239" t="s">
        <v>725</v>
      </c>
      <c r="P526" s="305" t="s">
        <v>2592</v>
      </c>
      <c r="Q526" s="306" t="s">
        <v>2722</v>
      </c>
      <c r="R526" s="305" t="s">
        <v>194</v>
      </c>
      <c r="S526" s="306"/>
    </row>
    <row r="527">
      <c r="A527" s="230">
        <v>527.0</v>
      </c>
      <c r="B527" s="230" t="s">
        <v>257</v>
      </c>
      <c r="C527" s="231"/>
      <c r="D527" s="232"/>
      <c r="E527" s="232">
        <f>IFERROR(__xludf.DUMMYFUNCTION("iferror(SPLIT(D527,""/""),split(""0/0"",""/""))"),0.0)</f>
        <v>0</v>
      </c>
      <c r="F527" s="232">
        <f>IFERROR(__xludf.DUMMYFUNCTION("""COMPUTED_VALUE"""),0.0)</f>
        <v>0</v>
      </c>
      <c r="G527" s="247" t="b">
        <v>0</v>
      </c>
      <c r="H527" s="242" t="str">
        <f t="shared" si="1"/>
        <v/>
      </c>
      <c r="I527" s="249" t="s">
        <v>2723</v>
      </c>
      <c r="J527" s="302" t="str">
        <f t="shared" si="2"/>
        <v>Deal 250 hearts of damage in a single hit using the Mace… to one-shot a Warden (At least 250 hearts of damage must be dealt to a Warden)</v>
      </c>
      <c r="K527" s="303" t="s">
        <v>2724</v>
      </c>
      <c r="L527" s="304"/>
      <c r="M527" s="303" t="s">
        <v>2725</v>
      </c>
      <c r="N527" s="303" t="s">
        <v>2726</v>
      </c>
      <c r="O527" s="239" t="s">
        <v>367</v>
      </c>
      <c r="P527" s="305" t="s">
        <v>2592</v>
      </c>
      <c r="Q527" s="306" t="s">
        <v>2727</v>
      </c>
      <c r="R527" s="305" t="s">
        <v>194</v>
      </c>
      <c r="S527" s="305" t="s">
        <v>2559</v>
      </c>
    </row>
    <row r="528">
      <c r="A528" s="230">
        <v>528.0</v>
      </c>
      <c r="B528" s="230" t="s">
        <v>188</v>
      </c>
      <c r="C528" s="231"/>
      <c r="D528" s="232"/>
      <c r="E528" s="232">
        <f>IFERROR(__xludf.DUMMYFUNCTION("iferror(SPLIT(D528,""/""),split(""0/0"",""/""))"),0.0)</f>
        <v>0</v>
      </c>
      <c r="F528" s="232">
        <f>IFERROR(__xludf.DUMMYFUNCTION("""COMPUTED_VALUE"""),0.0)</f>
        <v>0</v>
      </c>
      <c r="G528" s="247" t="b">
        <v>0</v>
      </c>
      <c r="H528" s="242" t="str">
        <f t="shared" si="1"/>
        <v/>
      </c>
      <c r="I528" s="243" t="s">
        <v>2728</v>
      </c>
      <c r="J528" s="302" t="str">
        <f t="shared" si="2"/>
        <v>Use gunpowder and sand to craft TNT (Obtain TNT)</v>
      </c>
      <c r="K528" s="303"/>
      <c r="L528" s="304"/>
      <c r="M528" s="303" t="s">
        <v>2729</v>
      </c>
      <c r="N528" s="303" t="s">
        <v>2730</v>
      </c>
      <c r="O528" s="239" t="s">
        <v>2731</v>
      </c>
      <c r="P528" s="305" t="s">
        <v>2592</v>
      </c>
      <c r="Q528" s="306" t="s">
        <v>2732</v>
      </c>
      <c r="R528" s="305" t="s">
        <v>194</v>
      </c>
      <c r="S528" s="306"/>
    </row>
    <row r="529">
      <c r="A529" s="230">
        <v>529.0</v>
      </c>
      <c r="B529" s="230" t="s">
        <v>188</v>
      </c>
      <c r="C529" s="231"/>
      <c r="D529" s="232"/>
      <c r="E529" s="232">
        <f>IFERROR(__xludf.DUMMYFUNCTION("iferror(SPLIT(D529,""/""),split(""0/0"",""/""))"),0.0)</f>
        <v>0</v>
      </c>
      <c r="F529" s="232">
        <f>IFERROR(__xludf.DUMMYFUNCTION("""COMPUTED_VALUE"""),0.0)</f>
        <v>0</v>
      </c>
      <c r="G529" s="247" t="b">
        <v>0</v>
      </c>
      <c r="H529" s="242" t="str">
        <f t="shared" si="1"/>
        <v/>
      </c>
      <c r="I529" s="243" t="s">
        <v>2733</v>
      </c>
      <c r="J529" s="302" t="str">
        <f t="shared" si="2"/>
        <v>Blow up a Creeper with some TNT (Kill a creeper with a TNT's explosion (best to be hand-lit))</v>
      </c>
      <c r="K529" s="303" t="s">
        <v>2734</v>
      </c>
      <c r="L529" s="304"/>
      <c r="M529" s="303" t="s">
        <v>2735</v>
      </c>
      <c r="N529" s="303" t="s">
        <v>2736</v>
      </c>
      <c r="O529" s="239" t="s">
        <v>2438</v>
      </c>
      <c r="P529" s="305" t="s">
        <v>2592</v>
      </c>
      <c r="Q529" s="306" t="s">
        <v>2737</v>
      </c>
      <c r="R529" s="305" t="s">
        <v>194</v>
      </c>
      <c r="S529" s="306"/>
    </row>
    <row r="530">
      <c r="A530" s="230">
        <v>530.0</v>
      </c>
      <c r="B530" s="230" t="s">
        <v>257</v>
      </c>
      <c r="C530" s="231"/>
      <c r="D530" s="232"/>
      <c r="E530" s="232">
        <f>IFERROR(__xludf.DUMMYFUNCTION("iferror(SPLIT(D530,""/""),split(""0/0"",""/""))"),0.0)</f>
        <v>0</v>
      </c>
      <c r="F530" s="232">
        <f>IFERROR(__xludf.DUMMYFUNCTION("""COMPUTED_VALUE"""),0.0)</f>
        <v>0</v>
      </c>
      <c r="G530" s="247" t="b">
        <v>0</v>
      </c>
      <c r="H530" s="242" t="str">
        <f t="shared" si="1"/>
        <v/>
      </c>
      <c r="I530" s="249" t="s">
        <v>2738</v>
      </c>
      <c r="J530" s="302" t="str">
        <f t="shared" si="2"/>
        <v>Blow up every hostile mob with TNT (See requirement notes below)</v>
      </c>
      <c r="K530" s="303" t="s">
        <v>2739</v>
      </c>
      <c r="L530" s="304"/>
      <c r="M530" s="307" t="s">
        <v>238</v>
      </c>
      <c r="N530" s="303" t="s">
        <v>2740</v>
      </c>
      <c r="O530" s="239" t="s">
        <v>2714</v>
      </c>
      <c r="P530" s="305" t="s">
        <v>2592</v>
      </c>
      <c r="Q530" s="306" t="s">
        <v>2741</v>
      </c>
      <c r="R530" s="305" t="s">
        <v>194</v>
      </c>
      <c r="S530" s="306" t="s">
        <v>267</v>
      </c>
    </row>
    <row r="531">
      <c r="A531" s="230">
        <v>531.0</v>
      </c>
      <c r="B531" s="230" t="s">
        <v>188</v>
      </c>
      <c r="C531" s="231"/>
      <c r="D531" s="232"/>
      <c r="E531" s="232">
        <f>IFERROR(__xludf.DUMMYFUNCTION("iferror(SPLIT(D531,""/""),split(""0/0"",""/""))"),0.0)</f>
        <v>0</v>
      </c>
      <c r="F531" s="232">
        <f>IFERROR(__xludf.DUMMYFUNCTION("""COMPUTED_VALUE"""),0.0)</f>
        <v>0</v>
      </c>
      <c r="G531" s="247" t="b">
        <v>0</v>
      </c>
      <c r="H531" s="242" t="str">
        <f t="shared" si="1"/>
        <v/>
      </c>
      <c r="I531" s="243" t="s">
        <v>2742</v>
      </c>
      <c r="J531" s="302" t="str">
        <f t="shared" si="2"/>
        <v>Pull a pig using a fishing rod (Hook a pig with a fishing rod and reel in with it)</v>
      </c>
      <c r="K531" s="303"/>
      <c r="L531" s="304"/>
      <c r="M531" s="303" t="s">
        <v>2743</v>
      </c>
      <c r="N531" s="303" t="s">
        <v>2744</v>
      </c>
      <c r="O531" s="239" t="s">
        <v>1592</v>
      </c>
      <c r="P531" s="305" t="s">
        <v>2592</v>
      </c>
      <c r="Q531" s="306" t="s">
        <v>2745</v>
      </c>
      <c r="R531" s="305" t="s">
        <v>194</v>
      </c>
      <c r="S531" s="306"/>
    </row>
    <row r="532">
      <c r="A532" s="230">
        <v>532.0</v>
      </c>
      <c r="B532" s="230" t="s">
        <v>257</v>
      </c>
      <c r="C532" s="231"/>
      <c r="D532" s="232"/>
      <c r="E532" s="232">
        <f>IFERROR(__xludf.DUMMYFUNCTION("iferror(SPLIT(D532,""/""),split(""0/0"",""/""))"),0.0)</f>
        <v>0</v>
      </c>
      <c r="F532" s="232">
        <f>IFERROR(__xludf.DUMMYFUNCTION("""COMPUTED_VALUE"""),0.0)</f>
        <v>0</v>
      </c>
      <c r="G532" s="247" t="b">
        <v>0</v>
      </c>
      <c r="H532" s="242" t="str">
        <f t="shared" si="1"/>
        <v/>
      </c>
      <c r="I532" s="243" t="s">
        <v>2746</v>
      </c>
      <c r="J532" s="302" t="str">
        <f t="shared" si="2"/>
        <v>Pull a monster using a fishing rod (Works with the same mobs as "Monster Hunter")</v>
      </c>
      <c r="K532" s="303"/>
      <c r="L532" s="304"/>
      <c r="M532" s="303" t="s">
        <v>2747</v>
      </c>
      <c r="N532" s="303" t="s">
        <v>2748</v>
      </c>
      <c r="O532" s="239" t="s">
        <v>2096</v>
      </c>
      <c r="P532" s="305" t="s">
        <v>2592</v>
      </c>
      <c r="Q532" s="306" t="s">
        <v>2749</v>
      </c>
      <c r="R532" s="305" t="s">
        <v>194</v>
      </c>
      <c r="S532" s="306" t="s">
        <v>262</v>
      </c>
    </row>
    <row r="533">
      <c r="A533" s="230">
        <v>533.0</v>
      </c>
      <c r="B533" s="230" t="s">
        <v>257</v>
      </c>
      <c r="C533" s="231"/>
      <c r="D533" s="232"/>
      <c r="E533" s="232">
        <f>IFERROR(__xludf.DUMMYFUNCTION("iferror(SPLIT(D533,""/""),split(""0/0"",""/""))"),0.0)</f>
        <v>0</v>
      </c>
      <c r="F533" s="232">
        <f>IFERROR(__xludf.DUMMYFUNCTION("""COMPUTED_VALUE"""),0.0)</f>
        <v>0</v>
      </c>
      <c r="G533" s="247" t="b">
        <v>0</v>
      </c>
      <c r="H533" s="242" t="str">
        <f t="shared" si="1"/>
        <v/>
      </c>
      <c r="I533" s="249" t="s">
        <v>2750</v>
      </c>
      <c r="J533" s="302" t="str">
        <f t="shared" si="2"/>
        <v>Pull a pig from 25 blocks below you and watch it go (Pull a pig from at least 25 blocks away)</v>
      </c>
      <c r="K533" s="303" t="s">
        <v>2751</v>
      </c>
      <c r="L533" s="304"/>
      <c r="M533" s="303" t="s">
        <v>2752</v>
      </c>
      <c r="N533" s="303" t="s">
        <v>2753</v>
      </c>
      <c r="O533" s="239" t="s">
        <v>2283</v>
      </c>
      <c r="P533" s="305" t="s">
        <v>2592</v>
      </c>
      <c r="Q533" s="306" t="s">
        <v>2754</v>
      </c>
      <c r="R533" s="305" t="s">
        <v>194</v>
      </c>
      <c r="S533" s="306" t="s">
        <v>262</v>
      </c>
    </row>
    <row r="534">
      <c r="A534" s="230">
        <v>534.0</v>
      </c>
      <c r="B534" s="230" t="s">
        <v>188</v>
      </c>
      <c r="C534" s="231"/>
      <c r="D534" s="232"/>
      <c r="E534" s="232">
        <f>IFERROR(__xludf.DUMMYFUNCTION("iferror(SPLIT(D534,""/""),split(""0/0"",""/""))"),0.0)</f>
        <v>0</v>
      </c>
      <c r="F534" s="232">
        <f>IFERROR(__xludf.DUMMYFUNCTION("""COMPUTED_VALUE"""),0.0)</f>
        <v>0</v>
      </c>
      <c r="G534" s="247" t="b">
        <v>0</v>
      </c>
      <c r="H534" s="242" t="str">
        <f t="shared" si="1"/>
        <v/>
      </c>
      <c r="I534" s="243" t="s">
        <v>2755</v>
      </c>
      <c r="J534" s="302" t="str">
        <f t="shared" si="2"/>
        <v>The spirit of Christmas... quickly drowned by a battle (Hit a mob with a thrown snowball)</v>
      </c>
      <c r="K534" s="303" t="s">
        <v>2756</v>
      </c>
      <c r="L534" s="304"/>
      <c r="M534" s="303" t="s">
        <v>2757</v>
      </c>
      <c r="N534" s="303" t="s">
        <v>2758</v>
      </c>
      <c r="O534" s="239" t="s">
        <v>2350</v>
      </c>
      <c r="P534" s="305" t="s">
        <v>2592</v>
      </c>
      <c r="Q534" s="306" t="s">
        <v>2759</v>
      </c>
      <c r="R534" s="305" t="s">
        <v>194</v>
      </c>
      <c r="S534" s="306"/>
    </row>
    <row r="535">
      <c r="A535" s="230">
        <v>535.0</v>
      </c>
      <c r="B535" s="230" t="s">
        <v>257</v>
      </c>
      <c r="C535" s="231"/>
      <c r="D535" s="232"/>
      <c r="E535" s="232">
        <f>IFERROR(__xludf.DUMMYFUNCTION("iferror(SPLIT(D535,""/""),split(""0/0"",""/""))"),0.0)</f>
        <v>0</v>
      </c>
      <c r="F535" s="232">
        <f>IFERROR(__xludf.DUMMYFUNCTION("""COMPUTED_VALUE"""),0.0)</f>
        <v>0</v>
      </c>
      <c r="G535" s="247" t="b">
        <v>0</v>
      </c>
      <c r="H535" s="242" t="str">
        <f t="shared" si="1"/>
        <v/>
      </c>
      <c r="I535" s="246" t="s">
        <v>2760</v>
      </c>
      <c r="J535" s="302" t="str">
        <f t="shared" si="2"/>
        <v>Defeat a Blaze using snowballs (Kill a blaze with a thrown snowball)</v>
      </c>
      <c r="K535" s="303" t="s">
        <v>2761</v>
      </c>
      <c r="L535" s="304"/>
      <c r="M535" s="303" t="s">
        <v>2762</v>
      </c>
      <c r="N535" s="303" t="s">
        <v>2763</v>
      </c>
      <c r="O535" s="239" t="s">
        <v>2764</v>
      </c>
      <c r="P535" s="305" t="s">
        <v>2592</v>
      </c>
      <c r="Q535" s="306" t="s">
        <v>2765</v>
      </c>
      <c r="R535" s="305" t="s">
        <v>194</v>
      </c>
      <c r="S535" s="305" t="s">
        <v>1948</v>
      </c>
    </row>
    <row r="536">
      <c r="A536" s="230">
        <v>536.0</v>
      </c>
      <c r="B536" s="230" t="s">
        <v>257</v>
      </c>
      <c r="C536" s="231"/>
      <c r="D536" s="232"/>
      <c r="E536" s="232">
        <f>IFERROR(__xludf.DUMMYFUNCTION("iferror(SPLIT(D536,""/""),split(""0/0"",""/""))"),0.0)</f>
        <v>0</v>
      </c>
      <c r="F536" s="232">
        <f>IFERROR(__xludf.DUMMYFUNCTION("""COMPUTED_VALUE"""),0.0)</f>
        <v>0</v>
      </c>
      <c r="G536" s="247" t="b">
        <v>0</v>
      </c>
      <c r="H536" s="242" t="str">
        <f t="shared" si="1"/>
        <v/>
      </c>
      <c r="I536" s="246" t="s">
        <v>2766</v>
      </c>
      <c r="J536" s="302" t="str">
        <f t="shared" si="2"/>
        <v>Kill a Blaze using a Blaze Rod while both you and it are on fire</v>
      </c>
      <c r="K536" s="303" t="s">
        <v>2767</v>
      </c>
      <c r="L536" s="304"/>
      <c r="M536" s="303"/>
      <c r="N536" s="303" t="s">
        <v>2768</v>
      </c>
      <c r="O536" s="239" t="s">
        <v>2580</v>
      </c>
      <c r="P536" s="305" t="s">
        <v>2592</v>
      </c>
      <c r="Q536" s="306" t="s">
        <v>2769</v>
      </c>
      <c r="R536" s="305" t="s">
        <v>194</v>
      </c>
      <c r="S536" s="305" t="s">
        <v>1948</v>
      </c>
    </row>
    <row r="537">
      <c r="A537" s="230">
        <v>537.0</v>
      </c>
      <c r="B537" s="230" t="s">
        <v>188</v>
      </c>
      <c r="C537" s="231"/>
      <c r="D537" s="232"/>
      <c r="E537" s="232">
        <f>IFERROR(__xludf.DUMMYFUNCTION("iferror(SPLIT(D537,""/""),split(""0/0"",""/""))"),0.0)</f>
        <v>0</v>
      </c>
      <c r="F537" s="232">
        <f>IFERROR(__xludf.DUMMYFUNCTION("""COMPUTED_VALUE"""),0.0)</f>
        <v>0</v>
      </c>
      <c r="G537" s="247" t="b">
        <v>0</v>
      </c>
      <c r="H537" s="242" t="str">
        <f t="shared" si="1"/>
        <v/>
      </c>
      <c r="I537" s="243" t="s">
        <v>2770</v>
      </c>
      <c r="J537" s="302" t="str">
        <f t="shared" si="2"/>
        <v>Vandalise something with eggs (Hit a mob with a thrown egg)</v>
      </c>
      <c r="K537" s="303" t="s">
        <v>2771</v>
      </c>
      <c r="L537" s="304"/>
      <c r="M537" s="303" t="s">
        <v>2772</v>
      </c>
      <c r="N537" s="303" t="s">
        <v>2773</v>
      </c>
      <c r="O537" s="239" t="s">
        <v>1757</v>
      </c>
      <c r="P537" s="305" t="s">
        <v>2592</v>
      </c>
      <c r="Q537" s="306" t="s">
        <v>2774</v>
      </c>
      <c r="R537" s="305" t="s">
        <v>194</v>
      </c>
      <c r="S537" s="306"/>
    </row>
    <row r="538">
      <c r="A538" s="230">
        <v>538.0</v>
      </c>
      <c r="B538" s="230" t="s">
        <v>257</v>
      </c>
      <c r="C538" s="231"/>
      <c r="D538" s="232"/>
      <c r="E538" s="232">
        <f>IFERROR(__xludf.DUMMYFUNCTION("iferror(SPLIT(D538,""/""),split(""0/0"",""/""))"),0.0)</f>
        <v>0</v>
      </c>
      <c r="F538" s="232">
        <f>IFERROR(__xludf.DUMMYFUNCTION("""COMPUTED_VALUE"""),0.0)</f>
        <v>0</v>
      </c>
      <c r="G538" s="247" t="b">
        <v>0</v>
      </c>
      <c r="H538" s="242" t="str">
        <f t="shared" si="1"/>
        <v/>
      </c>
      <c r="I538" s="246" t="s">
        <v>2775</v>
      </c>
      <c r="J538" s="302" t="str">
        <f t="shared" si="2"/>
        <v>Catapult an egg onto a zombie's head (Hit a zombie with a thrown egg)</v>
      </c>
      <c r="K538" s="303" t="s">
        <v>2776</v>
      </c>
      <c r="L538" s="304"/>
      <c r="M538" s="303" t="s">
        <v>2777</v>
      </c>
      <c r="N538" s="303" t="s">
        <v>2778</v>
      </c>
      <c r="O538" s="239" t="s">
        <v>2243</v>
      </c>
      <c r="P538" s="305" t="s">
        <v>2592</v>
      </c>
      <c r="Q538" s="306" t="s">
        <v>2779</v>
      </c>
      <c r="R538" s="305" t="s">
        <v>194</v>
      </c>
      <c r="S538" s="305" t="s">
        <v>1948</v>
      </c>
    </row>
    <row r="539">
      <c r="A539" s="230">
        <v>539.0</v>
      </c>
      <c r="B539" s="230" t="s">
        <v>283</v>
      </c>
      <c r="C539" s="231"/>
      <c r="D539" s="232"/>
      <c r="E539" s="232">
        <f>IFERROR(__xludf.DUMMYFUNCTION("iferror(SPLIT(D539,""/""),split(""0/0"",""/""))"),0.0)</f>
        <v>0</v>
      </c>
      <c r="F539" s="232">
        <f>IFERROR(__xludf.DUMMYFUNCTION("""COMPUTED_VALUE"""),0.0)</f>
        <v>0</v>
      </c>
      <c r="G539" s="247" t="b">
        <v>0</v>
      </c>
      <c r="H539" s="242" t="str">
        <f t="shared" si="1"/>
        <v/>
      </c>
      <c r="I539" s="243" t="s">
        <v>2780</v>
      </c>
      <c r="J539" s="302" t="str">
        <f t="shared" si="2"/>
        <v>Hit a mob with a stick</v>
      </c>
      <c r="K539" s="303"/>
      <c r="L539" s="304"/>
      <c r="M539" s="303"/>
      <c r="N539" s="303" t="s">
        <v>2781</v>
      </c>
      <c r="O539" s="239" t="s">
        <v>416</v>
      </c>
      <c r="P539" s="305" t="s">
        <v>2592</v>
      </c>
      <c r="Q539" s="306" t="s">
        <v>2782</v>
      </c>
      <c r="R539" s="305" t="s">
        <v>194</v>
      </c>
      <c r="S539" s="306" t="s">
        <v>290</v>
      </c>
    </row>
    <row r="540">
      <c r="A540" s="230">
        <v>540.0</v>
      </c>
      <c r="B540" s="230" t="s">
        <v>283</v>
      </c>
      <c r="C540" s="231"/>
      <c r="D540" s="232"/>
      <c r="E540" s="232">
        <f>IFERROR(__xludf.DUMMYFUNCTION("iferror(SPLIT(D540,""/""),split(""0/0"",""/""))"),0.0)</f>
        <v>0</v>
      </c>
      <c r="F540" s="232">
        <f>IFERROR(__xludf.DUMMYFUNCTION("""COMPUTED_VALUE"""),0.0)</f>
        <v>0</v>
      </c>
      <c r="G540" s="247" t="b">
        <v>0</v>
      </c>
      <c r="H540" s="242" t="str">
        <f t="shared" si="1"/>
        <v/>
      </c>
      <c r="I540" s="243" t="s">
        <v>2783</v>
      </c>
      <c r="J540" s="302" t="str">
        <f t="shared" si="2"/>
        <v>Slap a mob across the face with a fish</v>
      </c>
      <c r="K540" s="303"/>
      <c r="L540" s="304"/>
      <c r="M540" s="303"/>
      <c r="N540" s="303" t="s">
        <v>2784</v>
      </c>
      <c r="O540" s="239" t="s">
        <v>2180</v>
      </c>
      <c r="P540" s="305" t="s">
        <v>2592</v>
      </c>
      <c r="Q540" s="306" t="s">
        <v>2785</v>
      </c>
      <c r="R540" s="305" t="s">
        <v>194</v>
      </c>
      <c r="S540" s="306" t="s">
        <v>290</v>
      </c>
    </row>
    <row r="541">
      <c r="A541" s="230">
        <v>541.0</v>
      </c>
      <c r="B541" s="230" t="s">
        <v>283</v>
      </c>
      <c r="C541" s="231"/>
      <c r="D541" s="232"/>
      <c r="E541" s="232">
        <f>IFERROR(__xludf.DUMMYFUNCTION("iferror(SPLIT(D541,""/""),split(""0/0"",""/""))"),0.0)</f>
        <v>0</v>
      </c>
      <c r="F541" s="232">
        <f>IFERROR(__xludf.DUMMYFUNCTION("""COMPUTED_VALUE"""),0.0)</f>
        <v>0</v>
      </c>
      <c r="G541" s="247" t="b">
        <v>0</v>
      </c>
      <c r="H541" s="242" t="str">
        <f t="shared" si="1"/>
        <v/>
      </c>
      <c r="I541" s="243" t="s">
        <v>2786</v>
      </c>
      <c r="J541" s="302" t="str">
        <f t="shared" si="2"/>
        <v>Hit a mob with diamonds</v>
      </c>
      <c r="K541" s="303"/>
      <c r="L541" s="304"/>
      <c r="M541" s="303"/>
      <c r="N541" s="303" t="s">
        <v>2787</v>
      </c>
      <c r="O541" s="239" t="s">
        <v>702</v>
      </c>
      <c r="P541" s="305" t="s">
        <v>2592</v>
      </c>
      <c r="Q541" s="306" t="s">
        <v>2788</v>
      </c>
      <c r="R541" s="305" t="s">
        <v>194</v>
      </c>
      <c r="S541" s="306" t="s">
        <v>290</v>
      </c>
    </row>
    <row r="542">
      <c r="A542" s="230">
        <v>542.0</v>
      </c>
      <c r="B542" s="230" t="s">
        <v>283</v>
      </c>
      <c r="C542" s="231"/>
      <c r="D542" s="232"/>
      <c r="E542" s="232">
        <f>IFERROR(__xludf.DUMMYFUNCTION("iferror(SPLIT(D542,""/""),split(""0/0"",""/""))"),0.0)</f>
        <v>0</v>
      </c>
      <c r="F542" s="232">
        <f>IFERROR(__xludf.DUMMYFUNCTION("""COMPUTED_VALUE"""),0.0)</f>
        <v>0</v>
      </c>
      <c r="G542" s="247" t="b">
        <v>0</v>
      </c>
      <c r="H542" s="242" t="str">
        <f t="shared" si="1"/>
        <v/>
      </c>
      <c r="I542" s="243" t="s">
        <v>2789</v>
      </c>
      <c r="J542" s="302" t="str">
        <f t="shared" si="2"/>
        <v>Kill a zombie while holding a spyglass</v>
      </c>
      <c r="K542" s="303" t="s">
        <v>2790</v>
      </c>
      <c r="L542" s="304"/>
      <c r="M542" s="303"/>
      <c r="N542" s="303" t="s">
        <v>2791</v>
      </c>
      <c r="O542" s="239" t="s">
        <v>645</v>
      </c>
      <c r="P542" s="305" t="s">
        <v>2592</v>
      </c>
      <c r="Q542" s="306" t="s">
        <v>2792</v>
      </c>
      <c r="R542" s="305" t="s">
        <v>194</v>
      </c>
      <c r="S542" s="306" t="s">
        <v>290</v>
      </c>
    </row>
    <row r="543">
      <c r="A543" s="230">
        <v>543.0</v>
      </c>
      <c r="B543" s="230" t="s">
        <v>283</v>
      </c>
      <c r="C543" s="231"/>
      <c r="D543" s="232"/>
      <c r="E543" s="232">
        <f>IFERROR(__xludf.DUMMYFUNCTION("iferror(SPLIT(D543,""/""),split(""0/0"",""/""))"),0.0)</f>
        <v>0</v>
      </c>
      <c r="F543" s="232">
        <f>IFERROR(__xludf.DUMMYFUNCTION("""COMPUTED_VALUE"""),0.0)</f>
        <v>0</v>
      </c>
      <c r="G543" s="247" t="b">
        <v>0</v>
      </c>
      <c r="H543" s="242" t="str">
        <f t="shared" si="1"/>
        <v/>
      </c>
      <c r="I543" s="243" t="s">
        <v>2793</v>
      </c>
      <c r="J543" s="302" t="str">
        <f t="shared" si="2"/>
        <v>Beat a zombie at rock, paper, shears (See requirement notes below)</v>
      </c>
      <c r="K543" s="303"/>
      <c r="L543" s="304"/>
      <c r="M543" s="307" t="s">
        <v>238</v>
      </c>
      <c r="N543" s="303" t="s">
        <v>2794</v>
      </c>
      <c r="O543" s="239" t="s">
        <v>592</v>
      </c>
      <c r="P543" s="305" t="s">
        <v>2592</v>
      </c>
      <c r="Q543" s="306" t="s">
        <v>2795</v>
      </c>
      <c r="R543" s="305" t="s">
        <v>194</v>
      </c>
      <c r="S543" s="305" t="s">
        <v>1948</v>
      </c>
    </row>
    <row r="544">
      <c r="A544" s="230">
        <v>544.0</v>
      </c>
      <c r="B544" s="230" t="s">
        <v>283</v>
      </c>
      <c r="C544" s="231"/>
      <c r="D544" s="232"/>
      <c r="E544" s="232">
        <f>IFERROR(__xludf.DUMMYFUNCTION("iferror(SPLIT(D544,""/""),split(""0/0"",""/""))"),0.0)</f>
        <v>0</v>
      </c>
      <c r="F544" s="232">
        <f>IFERROR(__xludf.DUMMYFUNCTION("""COMPUTED_VALUE"""),0.0)</f>
        <v>0</v>
      </c>
      <c r="G544" s="247" t="b">
        <v>0</v>
      </c>
      <c r="H544" s="242" t="str">
        <f t="shared" si="1"/>
        <v/>
      </c>
      <c r="I544" s="243" t="s">
        <v>2796</v>
      </c>
      <c r="J544" s="302" t="str">
        <f t="shared" si="2"/>
        <v>Kill something using a clock</v>
      </c>
      <c r="K544" s="303" t="s">
        <v>2797</v>
      </c>
      <c r="L544" s="304"/>
      <c r="M544" s="303"/>
      <c r="N544" s="303" t="s">
        <v>2798</v>
      </c>
      <c r="O544" s="239" t="s">
        <v>624</v>
      </c>
      <c r="P544" s="305" t="s">
        <v>2592</v>
      </c>
      <c r="Q544" s="306" t="s">
        <v>2799</v>
      </c>
      <c r="R544" s="305" t="s">
        <v>194</v>
      </c>
      <c r="S544" s="306" t="s">
        <v>290</v>
      </c>
    </row>
    <row r="545">
      <c r="A545" s="230">
        <v>545.0</v>
      </c>
      <c r="B545" s="230" t="s">
        <v>257</v>
      </c>
      <c r="C545" s="231"/>
      <c r="D545" s="232"/>
      <c r="E545" s="232">
        <f>IFERROR(__xludf.DUMMYFUNCTION("iferror(SPLIT(D545,""/""),split(""0/0"",""/""))"),0.0)</f>
        <v>0</v>
      </c>
      <c r="F545" s="232">
        <f>IFERROR(__xludf.DUMMYFUNCTION("""COMPUTED_VALUE"""),0.0)</f>
        <v>0</v>
      </c>
      <c r="G545" s="247" t="b">
        <v>0</v>
      </c>
      <c r="H545" s="242" t="str">
        <f t="shared" si="1"/>
        <v/>
      </c>
      <c r="I545" s="243" t="s">
        <v>2800</v>
      </c>
      <c r="J545" s="302" t="str">
        <f t="shared" si="2"/>
        <v>Die twice within ten seconds (Die when the last time you died was less than 10 seconds ago)</v>
      </c>
      <c r="K545" s="303"/>
      <c r="L545" s="304"/>
      <c r="M545" s="303" t="s">
        <v>2801</v>
      </c>
      <c r="N545" s="303" t="s">
        <v>2802</v>
      </c>
      <c r="O545" s="239" t="s">
        <v>2803</v>
      </c>
      <c r="P545" s="305" t="s">
        <v>2592</v>
      </c>
      <c r="Q545" s="306" t="s">
        <v>2804</v>
      </c>
      <c r="R545" s="305" t="s">
        <v>194</v>
      </c>
      <c r="S545" s="306" t="s">
        <v>1276</v>
      </c>
    </row>
    <row r="546">
      <c r="A546" s="230">
        <v>546.0</v>
      </c>
      <c r="B546" s="230" t="s">
        <v>257</v>
      </c>
      <c r="C546" s="231"/>
      <c r="D546" s="232"/>
      <c r="E546" s="232">
        <f>IFERROR(__xludf.DUMMYFUNCTION("iferror(SPLIT(D546,""/""),split(""0/0"",""/""))"),0.0)</f>
        <v>0</v>
      </c>
      <c r="F546" s="232">
        <f>IFERROR(__xludf.DUMMYFUNCTION("""COMPUTED_VALUE"""),0.0)</f>
        <v>0</v>
      </c>
      <c r="G546" s="247" t="b">
        <v>0</v>
      </c>
      <c r="H546" s="242" t="str">
        <f t="shared" si="1"/>
        <v/>
      </c>
      <c r="I546" s="246" t="s">
        <v>2805</v>
      </c>
      <c r="J546" s="302" t="str">
        <f t="shared" si="2"/>
        <v>Be on half a heart of health for a minute</v>
      </c>
      <c r="K546" s="303"/>
      <c r="L546" s="304"/>
      <c r="M546" s="303"/>
      <c r="N546" s="303" t="s">
        <v>2806</v>
      </c>
      <c r="O546" s="239" t="s">
        <v>2807</v>
      </c>
      <c r="P546" s="305" t="s">
        <v>2592</v>
      </c>
      <c r="Q546" s="306" t="s">
        <v>2808</v>
      </c>
      <c r="R546" s="305" t="s">
        <v>194</v>
      </c>
      <c r="S546" s="306" t="s">
        <v>262</v>
      </c>
    </row>
    <row r="547">
      <c r="A547" s="230">
        <v>547.0</v>
      </c>
      <c r="B547" s="230" t="s">
        <v>188</v>
      </c>
      <c r="C547" s="231"/>
      <c r="D547" s="232"/>
      <c r="E547" s="232">
        <f>IFERROR(__xludf.DUMMYFUNCTION("iferror(SPLIT(D547,""/""),split(""0/0"",""/""))"),0.0)</f>
        <v>0</v>
      </c>
      <c r="F547" s="232">
        <f>IFERROR(__xludf.DUMMYFUNCTION("""COMPUTED_VALUE"""),0.0)</f>
        <v>0</v>
      </c>
      <c r="G547" s="247" t="b">
        <v>0</v>
      </c>
      <c r="H547" s="242" t="str">
        <f t="shared" si="1"/>
        <v/>
      </c>
      <c r="I547" s="235" t="s">
        <v>2809</v>
      </c>
      <c r="J547" s="308" t="str">
        <f t="shared" si="2"/>
        <v>Village, pillage and exploration (Either kill or get killed by a mob)</v>
      </c>
      <c r="K547" s="309"/>
      <c r="L547" s="310"/>
      <c r="M547" s="309" t="s">
        <v>2810</v>
      </c>
      <c r="N547" s="309" t="s">
        <v>2811</v>
      </c>
      <c r="O547" s="239" t="s">
        <v>2812</v>
      </c>
      <c r="P547" s="311" t="s">
        <v>2809</v>
      </c>
      <c r="Q547" s="312" t="s">
        <v>2813</v>
      </c>
      <c r="R547" s="311" t="s">
        <v>194</v>
      </c>
      <c r="S547" s="312"/>
    </row>
    <row r="548">
      <c r="A548" s="230">
        <v>548.0</v>
      </c>
      <c r="B548" s="230" t="s">
        <v>188</v>
      </c>
      <c r="C548" s="231"/>
      <c r="D548" s="232"/>
      <c r="E548" s="232">
        <f>IFERROR(__xludf.DUMMYFUNCTION("iferror(SPLIT(D548,""/""),split(""0/0"",""/""))"),0.0)</f>
        <v>0</v>
      </c>
      <c r="F548" s="232">
        <f>IFERROR(__xludf.DUMMYFUNCTION("""COMPUTED_VALUE"""),0.0)</f>
        <v>0</v>
      </c>
      <c r="G548" s="247" t="b">
        <v>0</v>
      </c>
      <c r="H548" s="242" t="str">
        <f t="shared" si="1"/>
        <v/>
      </c>
      <c r="I548" s="243" t="s">
        <v>2814</v>
      </c>
      <c r="J548" s="308" t="str">
        <f t="shared" si="2"/>
        <v>Obtain a name tag</v>
      </c>
      <c r="K548" s="309"/>
      <c r="L548" s="310"/>
      <c r="M548" s="309"/>
      <c r="N548" s="309" t="s">
        <v>2815</v>
      </c>
      <c r="O548" s="239" t="s">
        <v>2816</v>
      </c>
      <c r="P548" s="311" t="s">
        <v>2809</v>
      </c>
      <c r="Q548" s="312" t="s">
        <v>2817</v>
      </c>
      <c r="R548" s="311" t="s">
        <v>194</v>
      </c>
      <c r="S548" s="312"/>
    </row>
    <row r="549">
      <c r="A549" s="230">
        <v>549.0</v>
      </c>
      <c r="B549" s="230" t="s">
        <v>283</v>
      </c>
      <c r="C549" s="231"/>
      <c r="D549" s="232"/>
      <c r="E549" s="232">
        <f>IFERROR(__xludf.DUMMYFUNCTION("iferror(SPLIT(D549,""/""),split(""0/0"",""/""))"),0.0)</f>
        <v>0</v>
      </c>
      <c r="F549" s="232">
        <f>IFERROR(__xludf.DUMMYFUNCTION("""COMPUTED_VALUE"""),0.0)</f>
        <v>0</v>
      </c>
      <c r="G549" s="247" t="b">
        <v>0</v>
      </c>
      <c r="H549" s="242" t="str">
        <f t="shared" si="1"/>
        <v/>
      </c>
      <c r="I549" s="243" t="s">
        <v>2818</v>
      </c>
      <c r="J549" s="308" t="str">
        <f t="shared" si="2"/>
        <v>Name a bunny 'Toast'</v>
      </c>
      <c r="K549" s="309" t="s">
        <v>2819</v>
      </c>
      <c r="L549" s="310"/>
      <c r="M549" s="309"/>
      <c r="N549" s="309" t="s">
        <v>2820</v>
      </c>
      <c r="O549" s="239" t="s">
        <v>1656</v>
      </c>
      <c r="P549" s="311" t="s">
        <v>2809</v>
      </c>
      <c r="Q549" s="312" t="s">
        <v>2821</v>
      </c>
      <c r="R549" s="311" t="s">
        <v>194</v>
      </c>
      <c r="S549" s="311" t="s">
        <v>2822</v>
      </c>
    </row>
    <row r="550">
      <c r="A550" s="230">
        <v>550.0</v>
      </c>
      <c r="B550" s="230" t="s">
        <v>283</v>
      </c>
      <c r="C550" s="231"/>
      <c r="D550" s="232"/>
      <c r="E550" s="232">
        <f>IFERROR(__xludf.DUMMYFUNCTION("iferror(SPLIT(D550,""/""),split(""0/0"",""/""))"),0.0)</f>
        <v>0</v>
      </c>
      <c r="F550" s="232">
        <f>IFERROR(__xludf.DUMMYFUNCTION("""COMPUTED_VALUE"""),0.0)</f>
        <v>0</v>
      </c>
      <c r="G550" s="247" t="b">
        <v>0</v>
      </c>
      <c r="H550" s="242" t="str">
        <f t="shared" si="1"/>
        <v/>
      </c>
      <c r="I550" s="243" t="s">
        <v>2823</v>
      </c>
      <c r="J550" s="308" t="str">
        <f t="shared" si="2"/>
        <v>Turn a mob upside-down (Name any mob 'Dinnerbone' or 'Grumm' with a nametag)</v>
      </c>
      <c r="K550" s="309" t="s">
        <v>2824</v>
      </c>
      <c r="L550" s="310"/>
      <c r="M550" s="309" t="s">
        <v>2825</v>
      </c>
      <c r="N550" s="309" t="s">
        <v>2826</v>
      </c>
      <c r="O550" s="239" t="s">
        <v>2283</v>
      </c>
      <c r="P550" s="311" t="s">
        <v>2809</v>
      </c>
      <c r="Q550" s="312" t="s">
        <v>2827</v>
      </c>
      <c r="R550" s="311" t="s">
        <v>194</v>
      </c>
      <c r="S550" s="311" t="s">
        <v>2822</v>
      </c>
    </row>
    <row r="551">
      <c r="A551" s="230">
        <v>551.0</v>
      </c>
      <c r="B551" s="230" t="s">
        <v>283</v>
      </c>
      <c r="C551" s="231"/>
      <c r="D551" s="232"/>
      <c r="E551" s="232">
        <f>IFERROR(__xludf.DUMMYFUNCTION("iferror(SPLIT(D551,""/""),split(""0/0"",""/""))"),0.0)</f>
        <v>0</v>
      </c>
      <c r="F551" s="232">
        <f>IFERROR(__xludf.DUMMYFUNCTION("""COMPUTED_VALUE"""),0.0)</f>
        <v>0</v>
      </c>
      <c r="G551" s="247" t="b">
        <v>0</v>
      </c>
      <c r="H551" s="242" t="str">
        <f t="shared" si="1"/>
        <v/>
      </c>
      <c r="I551" s="243" t="s">
        <v>2828</v>
      </c>
      <c r="J551" s="308" t="str">
        <f t="shared" si="2"/>
        <v>Nyan Nyan Nyan Nyan... (Name a sheep 'jeb_' with a nametag)</v>
      </c>
      <c r="K551" s="309" t="s">
        <v>2824</v>
      </c>
      <c r="L551" s="310"/>
      <c r="M551" s="309" t="s">
        <v>2829</v>
      </c>
      <c r="N551" s="309" t="s">
        <v>2830</v>
      </c>
      <c r="O551" s="239" t="s">
        <v>2831</v>
      </c>
      <c r="P551" s="311" t="s">
        <v>2809</v>
      </c>
      <c r="Q551" s="312" t="s">
        <v>2832</v>
      </c>
      <c r="R551" s="311" t="s">
        <v>194</v>
      </c>
      <c r="S551" s="311" t="s">
        <v>2822</v>
      </c>
    </row>
    <row r="552">
      <c r="A552" s="230">
        <v>552.0</v>
      </c>
      <c r="B552" s="230" t="s">
        <v>283</v>
      </c>
      <c r="C552" s="231"/>
      <c r="D552" s="232"/>
      <c r="E552" s="232">
        <f>IFERROR(__xludf.DUMMYFUNCTION("iferror(SPLIT(D552,""/""),split(""0/0"",""/""))"),0.0)</f>
        <v>0</v>
      </c>
      <c r="F552" s="232">
        <f>IFERROR(__xludf.DUMMYFUNCTION("""COMPUTED_VALUE"""),0.0)</f>
        <v>0</v>
      </c>
      <c r="G552" s="247" t="b">
        <v>0</v>
      </c>
      <c r="H552" s="242" t="str">
        <f t="shared" si="1"/>
        <v/>
      </c>
      <c r="I552" s="246" t="s">
        <v>2833</v>
      </c>
      <c r="J552" s="308" t="str">
        <f t="shared" si="2"/>
        <v>Defeat this terrifying monster (Defeat an Enderman named 'Slenderman')</v>
      </c>
      <c r="K552" s="309" t="s">
        <v>2834</v>
      </c>
      <c r="L552" s="310"/>
      <c r="M552" s="309" t="s">
        <v>2835</v>
      </c>
      <c r="N552" s="309" t="s">
        <v>2836</v>
      </c>
      <c r="O552" s="239" t="s">
        <v>2464</v>
      </c>
      <c r="P552" s="311" t="s">
        <v>2809</v>
      </c>
      <c r="Q552" s="312" t="s">
        <v>2837</v>
      </c>
      <c r="R552" s="311" t="s">
        <v>194</v>
      </c>
      <c r="S552" s="311" t="s">
        <v>2822</v>
      </c>
    </row>
    <row r="553">
      <c r="A553" s="230">
        <v>553.0</v>
      </c>
      <c r="B553" s="230" t="s">
        <v>283</v>
      </c>
      <c r="C553" s="231"/>
      <c r="D553" s="232"/>
      <c r="E553" s="232">
        <f>IFERROR(__xludf.DUMMYFUNCTION("iferror(SPLIT(D553,""/""),split(""0/0"",""/""))"),0.0)</f>
        <v>0</v>
      </c>
      <c r="F553" s="232">
        <f>IFERROR(__xludf.DUMMYFUNCTION("""COMPUTED_VALUE"""),0.0)</f>
        <v>0</v>
      </c>
      <c r="G553" s="247" t="b">
        <v>0</v>
      </c>
      <c r="H553" s="242" t="str">
        <f t="shared" si="1"/>
        <v/>
      </c>
      <c r="I553" s="246" t="s">
        <v>2838</v>
      </c>
      <c r="J553" s="308" t="str">
        <f t="shared" si="2"/>
        <v>Defeat Johnny (Defeat a Vindicator named 'Johnny')</v>
      </c>
      <c r="K553" s="309" t="s">
        <v>2839</v>
      </c>
      <c r="L553" s="310"/>
      <c r="M553" s="309" t="s">
        <v>2840</v>
      </c>
      <c r="N553" s="309" t="s">
        <v>2841</v>
      </c>
      <c r="O553" s="239" t="s">
        <v>2842</v>
      </c>
      <c r="P553" s="311" t="s">
        <v>2809</v>
      </c>
      <c r="Q553" s="312" t="s">
        <v>2843</v>
      </c>
      <c r="R553" s="311" t="s">
        <v>194</v>
      </c>
      <c r="S553" s="311" t="s">
        <v>2822</v>
      </c>
    </row>
    <row r="554">
      <c r="A554" s="230">
        <v>554.0</v>
      </c>
      <c r="B554" s="230" t="s">
        <v>283</v>
      </c>
      <c r="C554" s="231"/>
      <c r="D554" s="232"/>
      <c r="E554" s="232">
        <f>IFERROR(__xludf.DUMMYFUNCTION("iferror(SPLIT(D554,""/""),split(""0/0"",""/""))"),0.0)</f>
        <v>0</v>
      </c>
      <c r="F554" s="232">
        <f>IFERROR(__xludf.DUMMYFUNCTION("""COMPUTED_VALUE"""),0.0)</f>
        <v>0</v>
      </c>
      <c r="G554" s="247" t="b">
        <v>0</v>
      </c>
      <c r="H554" s="242" t="str">
        <f t="shared" si="1"/>
        <v/>
      </c>
      <c r="I554" s="246" t="s">
        <v>2844</v>
      </c>
      <c r="J554" s="308" t="str">
        <f t="shared" si="2"/>
        <v>Name a Piglin Brute 'Technoblade'</v>
      </c>
      <c r="K554" s="309"/>
      <c r="L554" s="310"/>
      <c r="M554" s="309"/>
      <c r="N554" s="309" t="s">
        <v>2845</v>
      </c>
      <c r="O554" s="239" t="s">
        <v>2283</v>
      </c>
      <c r="P554" s="311" t="s">
        <v>2809</v>
      </c>
      <c r="Q554" s="312" t="s">
        <v>2846</v>
      </c>
      <c r="R554" s="311" t="s">
        <v>194</v>
      </c>
      <c r="S554" s="311" t="s">
        <v>2822</v>
      </c>
    </row>
    <row r="555">
      <c r="A555" s="230">
        <v>555.0</v>
      </c>
      <c r="B555" s="230" t="s">
        <v>188</v>
      </c>
      <c r="C555" s="231"/>
      <c r="D555" s="232"/>
      <c r="E555" s="232">
        <f>IFERROR(__xludf.DUMMYFUNCTION("iferror(SPLIT(D555,""/""),split(""0/0"",""/""))"),0.0)</f>
        <v>0</v>
      </c>
      <c r="F555" s="232">
        <f>IFERROR(__xludf.DUMMYFUNCTION("""COMPUTED_VALUE"""),0.0)</f>
        <v>0</v>
      </c>
      <c r="G555" s="247" t="b">
        <v>0</v>
      </c>
      <c r="H555" s="242" t="str">
        <f t="shared" si="1"/>
        <v/>
      </c>
      <c r="I555" s="243" t="s">
        <v>2847</v>
      </c>
      <c r="J555" s="308" t="str">
        <f t="shared" si="2"/>
        <v>Craft a jukebox with planks and a diamond (Obtain a jukebox)</v>
      </c>
      <c r="K555" s="309" t="s">
        <v>660</v>
      </c>
      <c r="L555" s="310"/>
      <c r="M555" s="309" t="s">
        <v>2848</v>
      </c>
      <c r="N555" s="309" t="s">
        <v>2849</v>
      </c>
      <c r="O555" s="239" t="s">
        <v>2850</v>
      </c>
      <c r="P555" s="311" t="s">
        <v>2809</v>
      </c>
      <c r="Q555" s="312" t="s">
        <v>2851</v>
      </c>
      <c r="R555" s="311" t="s">
        <v>194</v>
      </c>
      <c r="S555" s="312"/>
    </row>
    <row r="556">
      <c r="A556" s="230">
        <v>556.0</v>
      </c>
      <c r="B556" s="230" t="s">
        <v>188</v>
      </c>
      <c r="C556" s="231"/>
      <c r="D556" s="232"/>
      <c r="E556" s="232">
        <f>IFERROR(__xludf.DUMMYFUNCTION("iferror(SPLIT(D556,""/""),split(""0/0"",""/""))"),0.0)</f>
        <v>0</v>
      </c>
      <c r="F556" s="232">
        <f>IFERROR(__xludf.DUMMYFUNCTION("""COMPUTED_VALUE"""),0.0)</f>
        <v>0</v>
      </c>
      <c r="G556" s="247" t="b">
        <v>0</v>
      </c>
      <c r="H556" s="242" t="str">
        <f t="shared" si="1"/>
        <v/>
      </c>
      <c r="I556" s="243" t="s">
        <v>2852</v>
      </c>
      <c r="J556" s="308" t="str">
        <f t="shared" si="2"/>
        <v>Play a music disc in a jukebox</v>
      </c>
      <c r="K556" s="309"/>
      <c r="L556" s="310"/>
      <c r="M556" s="309"/>
      <c r="N556" s="309" t="s">
        <v>2853</v>
      </c>
      <c r="O556" s="239" t="s">
        <v>2854</v>
      </c>
      <c r="P556" s="311" t="s">
        <v>2809</v>
      </c>
      <c r="Q556" s="312" t="s">
        <v>2855</v>
      </c>
      <c r="R556" s="311" t="s">
        <v>194</v>
      </c>
      <c r="S556" s="312"/>
    </row>
    <row r="557">
      <c r="A557" s="230">
        <v>557.0</v>
      </c>
      <c r="B557" s="230" t="s">
        <v>257</v>
      </c>
      <c r="C557" s="231"/>
      <c r="D557" s="232"/>
      <c r="E557" s="232">
        <f>IFERROR(__xludf.DUMMYFUNCTION("iferror(SPLIT(D557,""/""),split(""0/0"",""/""))"),0.0)</f>
        <v>0</v>
      </c>
      <c r="F557" s="232">
        <f>IFERROR(__xludf.DUMMYFUNCTION("""COMPUTED_VALUE"""),0.0)</f>
        <v>0</v>
      </c>
      <c r="G557" s="247" t="b">
        <v>0</v>
      </c>
      <c r="H557" s="242" t="str">
        <f t="shared" si="1"/>
        <v/>
      </c>
      <c r="I557" s="246" t="s">
        <v>2856</v>
      </c>
      <c r="J557" s="308" t="str">
        <f t="shared" si="2"/>
        <v>Make the Meadows come alive with the sound of music from a jukebox‌ (Play any music disc in a jukebox while you are in a Meadows biome)</v>
      </c>
      <c r="K557" s="309"/>
      <c r="L557" s="310"/>
      <c r="M557" s="309" t="s">
        <v>2857</v>
      </c>
      <c r="N557" s="309" t="s">
        <v>2858</v>
      </c>
      <c r="O557" s="239" t="s">
        <v>2859</v>
      </c>
      <c r="P557" s="311" t="s">
        <v>2809</v>
      </c>
      <c r="Q557" s="312" t="s">
        <v>2860</v>
      </c>
      <c r="R557" s="311" t="s">
        <v>194</v>
      </c>
      <c r="S557" s="312" t="s">
        <v>2861</v>
      </c>
    </row>
    <row r="558">
      <c r="A558" s="230">
        <v>558.0</v>
      </c>
      <c r="B558" s="230" t="s">
        <v>257</v>
      </c>
      <c r="C558" s="231"/>
      <c r="D558" s="232"/>
      <c r="E558" s="232">
        <f>IFERROR(__xludf.DUMMYFUNCTION("iferror(SPLIT(D558,""/""),split(""0/0"",""/""))"),0.0)</f>
        <v>0</v>
      </c>
      <c r="F558" s="232">
        <f>IFERROR(__xludf.DUMMYFUNCTION("""COMPUTED_VALUE"""),0.0)</f>
        <v>0</v>
      </c>
      <c r="G558" s="247" t="b">
        <v>0</v>
      </c>
      <c r="H558" s="242" t="str">
        <f t="shared" si="1"/>
        <v/>
      </c>
      <c r="I558" s="249" t="s">
        <v>2862</v>
      </c>
      <c r="J558" s="308" t="str">
        <f t="shared" si="2"/>
        <v>Listen to all the music discs (See requirement notes below)</v>
      </c>
      <c r="K558" s="309"/>
      <c r="L558" s="310"/>
      <c r="M558" s="313" t="s">
        <v>238</v>
      </c>
      <c r="N558" s="309" t="s">
        <v>2863</v>
      </c>
      <c r="O558" s="239" t="s">
        <v>2864</v>
      </c>
      <c r="P558" s="311" t="s">
        <v>2809</v>
      </c>
      <c r="Q558" s="312" t="s">
        <v>2865</v>
      </c>
      <c r="R558" s="311" t="s">
        <v>194</v>
      </c>
      <c r="S558" s="312" t="s">
        <v>2861</v>
      </c>
    </row>
    <row r="559">
      <c r="A559" s="230">
        <v>559.0</v>
      </c>
      <c r="B559" s="230" t="s">
        <v>188</v>
      </c>
      <c r="C559" s="231"/>
      <c r="D559" s="232"/>
      <c r="E559" s="232">
        <f>IFERROR(__xludf.DUMMYFUNCTION("iferror(SPLIT(D559,""/""),split(""0/0"",""/""))"),0.0)</f>
        <v>0</v>
      </c>
      <c r="F559" s="232">
        <f>IFERROR(__xludf.DUMMYFUNCTION("""COMPUTED_VALUE"""),0.0)</f>
        <v>0</v>
      </c>
      <c r="G559" s="247" t="b">
        <v>0</v>
      </c>
      <c r="H559" s="242" t="str">
        <f t="shared" si="1"/>
        <v/>
      </c>
      <c r="I559" s="249" t="s">
        <v>2866</v>
      </c>
      <c r="J559" s="308" t="str">
        <f t="shared" si="2"/>
        <v>Obtain a Notch Apple</v>
      </c>
      <c r="K559" s="309"/>
      <c r="L559" s="310"/>
      <c r="M559" s="309"/>
      <c r="N559" s="309" t="s">
        <v>2867</v>
      </c>
      <c r="O559" s="239" t="s">
        <v>2868</v>
      </c>
      <c r="P559" s="311" t="s">
        <v>2809</v>
      </c>
      <c r="Q559" s="312" t="s">
        <v>2869</v>
      </c>
      <c r="R559" s="311" t="s">
        <v>194</v>
      </c>
      <c r="S559" s="312"/>
    </row>
    <row r="560">
      <c r="A560" s="230">
        <v>560.0</v>
      </c>
      <c r="B560" s="230" t="s">
        <v>188</v>
      </c>
      <c r="C560" s="231"/>
      <c r="D560" s="232"/>
      <c r="E560" s="232">
        <f>IFERROR(__xludf.DUMMYFUNCTION("iferror(SPLIT(D560,""/""),split(""0/0"",""/""))"),0.0)</f>
        <v>0</v>
      </c>
      <c r="F560" s="232">
        <f>IFERROR(__xludf.DUMMYFUNCTION("""COMPUTED_VALUE"""),0.0)</f>
        <v>0</v>
      </c>
      <c r="G560" s="233" t="b">
        <v>0</v>
      </c>
      <c r="H560" s="242" t="str">
        <f t="shared" si="1"/>
        <v/>
      </c>
      <c r="I560" s="251" t="s">
        <v>2870</v>
      </c>
      <c r="J560" s="308" t="str">
        <f t="shared" si="2"/>
        <v>Find a broken Nether Portal in the Overworld (Stand in a Ruined Portal in the Overworld)</v>
      </c>
      <c r="K560" s="309"/>
      <c r="L560" s="310"/>
      <c r="M560" s="309" t="s">
        <v>2871</v>
      </c>
      <c r="N560" s="309" t="s">
        <v>2872</v>
      </c>
      <c r="O560" s="239" t="s">
        <v>2873</v>
      </c>
      <c r="P560" s="311" t="s">
        <v>2809</v>
      </c>
      <c r="Q560" s="312" t="s">
        <v>2874</v>
      </c>
      <c r="R560" s="311" t="s">
        <v>194</v>
      </c>
      <c r="S560" s="312"/>
    </row>
    <row r="561">
      <c r="A561" s="230">
        <v>561.0</v>
      </c>
      <c r="B561" s="230" t="s">
        <v>188</v>
      </c>
      <c r="C561" s="231"/>
      <c r="D561" s="232"/>
      <c r="E561" s="232">
        <f>IFERROR(__xludf.DUMMYFUNCTION("iferror(SPLIT(D561,""/""),split(""0/0"",""/""))"),0.0)</f>
        <v>0</v>
      </c>
      <c r="F561" s="232">
        <f>IFERROR(__xludf.DUMMYFUNCTION("""COMPUTED_VALUE"""),0.0)</f>
        <v>0</v>
      </c>
      <c r="G561" s="247" t="b">
        <v>0</v>
      </c>
      <c r="H561" s="242" t="str">
        <f t="shared" si="1"/>
        <v/>
      </c>
      <c r="I561" s="243" t="s">
        <v>2875</v>
      </c>
      <c r="J561" s="308" t="str">
        <f t="shared" si="2"/>
        <v>Enter a pyramid in a desert</v>
      </c>
      <c r="K561" s="309"/>
      <c r="L561" s="310"/>
      <c r="M561" s="309"/>
      <c r="N561" s="309" t="s">
        <v>2876</v>
      </c>
      <c r="O561" s="239" t="s">
        <v>1211</v>
      </c>
      <c r="P561" s="311" t="s">
        <v>2809</v>
      </c>
      <c r="Q561" s="312" t="s">
        <v>2877</v>
      </c>
      <c r="R561" s="311" t="s">
        <v>194</v>
      </c>
      <c r="S561" s="312"/>
    </row>
    <row r="562">
      <c r="A562" s="230">
        <v>562.0</v>
      </c>
      <c r="B562" s="230" t="s">
        <v>188</v>
      </c>
      <c r="C562" s="231"/>
      <c r="D562" s="232"/>
      <c r="E562" s="232">
        <f>IFERROR(__xludf.DUMMYFUNCTION("iferror(SPLIT(D562,""/""),split(""0/0"",""/""))"),0.0)</f>
        <v>0</v>
      </c>
      <c r="F562" s="232">
        <f>IFERROR(__xludf.DUMMYFUNCTION("""COMPUTED_VALUE"""),0.0)</f>
        <v>0</v>
      </c>
      <c r="G562" s="247" t="b">
        <v>0</v>
      </c>
      <c r="H562" s="242" t="str">
        <f t="shared" si="1"/>
        <v/>
      </c>
      <c r="I562" s="243" t="s">
        <v>2878</v>
      </c>
      <c r="J562" s="308" t="str">
        <f t="shared" si="2"/>
        <v>Enter a jungle temple</v>
      </c>
      <c r="K562" s="309"/>
      <c r="L562" s="310"/>
      <c r="M562" s="309"/>
      <c r="N562" s="309" t="s">
        <v>2879</v>
      </c>
      <c r="O562" s="239" t="s">
        <v>294</v>
      </c>
      <c r="P562" s="311" t="s">
        <v>2809</v>
      </c>
      <c r="Q562" s="312" t="s">
        <v>2880</v>
      </c>
      <c r="R562" s="311" t="s">
        <v>194</v>
      </c>
      <c r="S562" s="312"/>
    </row>
    <row r="563">
      <c r="A563" s="230">
        <v>563.0</v>
      </c>
      <c r="B563" s="230" t="s">
        <v>188</v>
      </c>
      <c r="C563" s="231"/>
      <c r="D563" s="232"/>
      <c r="E563" s="232">
        <f>IFERROR(__xludf.DUMMYFUNCTION("iferror(SPLIT(D563,""/""),split(""0/0"",""/""))"),0.0)</f>
        <v>0</v>
      </c>
      <c r="F563" s="232">
        <f>IFERROR(__xludf.DUMMYFUNCTION("""COMPUTED_VALUE"""),0.0)</f>
        <v>0</v>
      </c>
      <c r="G563" s="247" t="b">
        <v>0</v>
      </c>
      <c r="H563" s="242" t="str">
        <f t="shared" si="1"/>
        <v/>
      </c>
      <c r="I563" s="243" t="s">
        <v>2881</v>
      </c>
      <c r="J563" s="308" t="str">
        <f t="shared" si="2"/>
        <v>Find a witch hut in a swamp</v>
      </c>
      <c r="K563" s="309"/>
      <c r="L563" s="310"/>
      <c r="M563" s="309"/>
      <c r="N563" s="309" t="s">
        <v>2882</v>
      </c>
      <c r="O563" s="239" t="s">
        <v>1296</v>
      </c>
      <c r="P563" s="311" t="s">
        <v>2809</v>
      </c>
      <c r="Q563" s="312" t="s">
        <v>2883</v>
      </c>
      <c r="R563" s="311" t="s">
        <v>194</v>
      </c>
      <c r="S563" s="312"/>
    </row>
    <row r="564">
      <c r="A564" s="230">
        <v>564.0</v>
      </c>
      <c r="B564" s="230" t="s">
        <v>188</v>
      </c>
      <c r="C564" s="231"/>
      <c r="D564" s="232"/>
      <c r="E564" s="232">
        <f>IFERROR(__xludf.DUMMYFUNCTION("iferror(SPLIT(D564,""/""),split(""0/0"",""/""))"),0.0)</f>
        <v>0</v>
      </c>
      <c r="F564" s="232">
        <f>IFERROR(__xludf.DUMMYFUNCTION("""COMPUTED_VALUE"""),0.0)</f>
        <v>0</v>
      </c>
      <c r="G564" s="247" t="b">
        <v>0</v>
      </c>
      <c r="H564" s="242" t="str">
        <f t="shared" si="1"/>
        <v/>
      </c>
      <c r="I564" s="243" t="s">
        <v>2884</v>
      </c>
      <c r="J564" s="308" t="str">
        <f t="shared" si="2"/>
        <v>Find an igloo in a snowy tundra</v>
      </c>
      <c r="K564" s="309"/>
      <c r="L564" s="310"/>
      <c r="M564" s="309"/>
      <c r="N564" s="309" t="s">
        <v>2885</v>
      </c>
      <c r="O564" s="239" t="s">
        <v>1509</v>
      </c>
      <c r="P564" s="311" t="s">
        <v>2809</v>
      </c>
      <c r="Q564" s="312" t="s">
        <v>2886</v>
      </c>
      <c r="R564" s="311" t="s">
        <v>194</v>
      </c>
      <c r="S564" s="312"/>
    </row>
    <row r="565">
      <c r="A565" s="230">
        <v>565.0</v>
      </c>
      <c r="B565" s="230" t="s">
        <v>257</v>
      </c>
      <c r="C565" s="231"/>
      <c r="D565" s="232"/>
      <c r="E565" s="232">
        <f>IFERROR(__xludf.DUMMYFUNCTION("iferror(SPLIT(D565,""/""),split(""0/0"",""/""))"),0.0)</f>
        <v>0</v>
      </c>
      <c r="F565" s="232">
        <f>IFERROR(__xludf.DUMMYFUNCTION("""COMPUTED_VALUE"""),0.0)</f>
        <v>0</v>
      </c>
      <c r="G565" s="247" t="b">
        <v>0</v>
      </c>
      <c r="H565" s="242" t="str">
        <f t="shared" si="1"/>
        <v/>
      </c>
      <c r="I565" s="249" t="s">
        <v>2887</v>
      </c>
      <c r="J565" s="308" t="str">
        <f t="shared" si="2"/>
        <v>Discover every structure type (See requirement notes below)</v>
      </c>
      <c r="K565" s="309"/>
      <c r="L565" s="310"/>
      <c r="M565" s="313" t="s">
        <v>238</v>
      </c>
      <c r="N565" s="309" t="s">
        <v>2888</v>
      </c>
      <c r="O565" s="239" t="s">
        <v>2889</v>
      </c>
      <c r="P565" s="311" t="s">
        <v>2809</v>
      </c>
      <c r="Q565" s="312" t="s">
        <v>2890</v>
      </c>
      <c r="R565" s="311" t="s">
        <v>194</v>
      </c>
      <c r="S565" s="312" t="s">
        <v>2891</v>
      </c>
    </row>
    <row r="566">
      <c r="A566" s="230">
        <v>566.0</v>
      </c>
      <c r="B566" s="230" t="s">
        <v>188</v>
      </c>
      <c r="C566" s="231"/>
      <c r="D566" s="232"/>
      <c r="E566" s="232">
        <f>IFERROR(__xludf.DUMMYFUNCTION("iferror(SPLIT(D566,""/""),split(""0/0"",""/""))"),0.0)</f>
        <v>0</v>
      </c>
      <c r="F566" s="232">
        <f>IFERROR(__xludf.DUMMYFUNCTION("""COMPUTED_VALUE"""),0.0)</f>
        <v>0</v>
      </c>
      <c r="G566" s="247" t="b">
        <v>0</v>
      </c>
      <c r="H566" s="242" t="str">
        <f t="shared" si="1"/>
        <v/>
      </c>
      <c r="I566" s="243" t="s">
        <v>2892</v>
      </c>
      <c r="J566" s="308" t="str">
        <f t="shared" si="2"/>
        <v>Craft a Brush using a feather, copper and a stick (Obtain a Brush)</v>
      </c>
      <c r="K566" s="309"/>
      <c r="L566" s="310"/>
      <c r="M566" s="309" t="s">
        <v>2893</v>
      </c>
      <c r="N566" s="309" t="s">
        <v>2894</v>
      </c>
      <c r="O566" s="239" t="s">
        <v>2035</v>
      </c>
      <c r="P566" s="311" t="s">
        <v>2809</v>
      </c>
      <c r="Q566" s="312" t="s">
        <v>2895</v>
      </c>
      <c r="R566" s="311" t="s">
        <v>194</v>
      </c>
      <c r="S566" s="312"/>
    </row>
    <row r="567">
      <c r="A567" s="230">
        <v>567.0</v>
      </c>
      <c r="B567" s="230" t="s">
        <v>188</v>
      </c>
      <c r="C567" s="231"/>
      <c r="D567" s="232"/>
      <c r="E567" s="232">
        <f>IFERROR(__xludf.DUMMYFUNCTION("iferror(SPLIT(D567,""/""),split(""0/0"",""/""))"),0.0)</f>
        <v>0</v>
      </c>
      <c r="F567" s="232">
        <f>IFERROR(__xludf.DUMMYFUNCTION("""COMPUTED_VALUE"""),0.0)</f>
        <v>0</v>
      </c>
      <c r="G567" s="247" t="b">
        <v>0</v>
      </c>
      <c r="H567" s="242" t="str">
        <f t="shared" si="1"/>
        <v/>
      </c>
      <c r="I567" s="243" t="s">
        <v>2896</v>
      </c>
      <c r="J567" s="308" t="str">
        <f t="shared" si="2"/>
        <v>Using a Brush, carefully excavate a Pottery Sherd from a suspicious block</v>
      </c>
      <c r="K567" s="309"/>
      <c r="L567" s="310"/>
      <c r="M567" s="309"/>
      <c r="N567" s="309" t="s">
        <v>2897</v>
      </c>
      <c r="O567" s="239" t="s">
        <v>2898</v>
      </c>
      <c r="P567" s="311" t="s">
        <v>2809</v>
      </c>
      <c r="Q567" s="312" t="s">
        <v>2899</v>
      </c>
      <c r="R567" s="311" t="s">
        <v>194</v>
      </c>
      <c r="S567" s="312"/>
    </row>
    <row r="568">
      <c r="A568" s="230">
        <v>568.0</v>
      </c>
      <c r="B568" s="230" t="s">
        <v>283</v>
      </c>
      <c r="C568" s="231"/>
      <c r="D568" s="232"/>
      <c r="E568" s="232">
        <f>IFERROR(__xludf.DUMMYFUNCTION("iferror(SPLIT(D568,""/""),split(""0/0"",""/""))"),0.0)</f>
        <v>0</v>
      </c>
      <c r="F568" s="232">
        <f>IFERROR(__xludf.DUMMYFUNCTION("""COMPUTED_VALUE"""),0.0)</f>
        <v>0</v>
      </c>
      <c r="G568" s="247" t="b">
        <v>0</v>
      </c>
      <c r="H568" s="242" t="str">
        <f t="shared" si="1"/>
        <v/>
      </c>
      <c r="I568" s="246" t="s">
        <v>2900</v>
      </c>
      <c r="J568" s="308" t="str">
        <f t="shared" si="2"/>
        <v>Put together a Decorated Pot using four Pottery Sherds (Craft a Decorated Pot using four Pottery Sherds)</v>
      </c>
      <c r="K568" s="309"/>
      <c r="L568" s="310"/>
      <c r="M568" s="309" t="s">
        <v>2901</v>
      </c>
      <c r="N568" s="309" t="s">
        <v>2902</v>
      </c>
      <c r="O568" s="239" t="s">
        <v>2903</v>
      </c>
      <c r="P568" s="311" t="s">
        <v>2809</v>
      </c>
      <c r="Q568" s="312" t="s">
        <v>2904</v>
      </c>
      <c r="R568" s="311" t="s">
        <v>194</v>
      </c>
      <c r="S568" s="311" t="s">
        <v>2905</v>
      </c>
    </row>
    <row r="569">
      <c r="A569" s="230">
        <v>569.0</v>
      </c>
      <c r="B569" s="230" t="s">
        <v>188</v>
      </c>
      <c r="C569" s="231"/>
      <c r="D569" s="232"/>
      <c r="E569" s="232">
        <f>IFERROR(__xludf.DUMMYFUNCTION("iferror(SPLIT(D569,""/""),split(""0/0"",""/""))"),0.0)</f>
        <v>0</v>
      </c>
      <c r="F569" s="232">
        <f>IFERROR(__xludf.DUMMYFUNCTION("""COMPUTED_VALUE"""),0.0)</f>
        <v>0</v>
      </c>
      <c r="G569" s="247" t="b">
        <v>0</v>
      </c>
      <c r="H569" s="242" t="str">
        <f t="shared" si="1"/>
        <v/>
      </c>
      <c r="I569" s="249" t="s">
        <v>2906</v>
      </c>
      <c r="J569" s="308" t="str">
        <f t="shared" si="2"/>
        <v>Find one of each type of Pottery Shard throughout your archeology expeditions (See requirement notes below)</v>
      </c>
      <c r="K569" s="309"/>
      <c r="L569" s="310"/>
      <c r="M569" s="313" t="s">
        <v>238</v>
      </c>
      <c r="N569" s="309" t="s">
        <v>2907</v>
      </c>
      <c r="O569" s="239" t="s">
        <v>2908</v>
      </c>
      <c r="P569" s="311" t="s">
        <v>2809</v>
      </c>
      <c r="Q569" s="312" t="s">
        <v>2909</v>
      </c>
      <c r="R569" s="311" t="s">
        <v>194</v>
      </c>
      <c r="S569" s="312"/>
    </row>
    <row r="570">
      <c r="A570" s="230">
        <v>570.0</v>
      </c>
      <c r="B570" s="230" t="s">
        <v>257</v>
      </c>
      <c r="C570" s="231"/>
      <c r="D570" s="232"/>
      <c r="E570" s="232">
        <f>IFERROR(__xludf.DUMMYFUNCTION("iferror(SPLIT(D570,""/""),split(""0/0"",""/""))"),0.0)</f>
        <v>0</v>
      </c>
      <c r="F570" s="232">
        <f>IFERROR(__xludf.DUMMYFUNCTION("""COMPUTED_VALUE"""),0.0)</f>
        <v>0</v>
      </c>
      <c r="G570" s="247" t="b">
        <v>0</v>
      </c>
      <c r="H570" s="242" t="str">
        <f t="shared" si="1"/>
        <v/>
      </c>
      <c r="I570" s="246" t="s">
        <v>2910</v>
      </c>
      <c r="J570" s="308" t="str">
        <f t="shared" si="2"/>
        <v>Obtain a block of Suspicious Sand or Gravel (This can be done by having a sus block fall into a line of cobwebs. After a minute the falling block entity will despawn and drop the sus block as an item)</v>
      </c>
      <c r="K570" s="309"/>
      <c r="L570" s="310"/>
      <c r="M570" s="309" t="s">
        <v>2911</v>
      </c>
      <c r="N570" s="309" t="s">
        <v>2912</v>
      </c>
      <c r="O570" s="239" t="s">
        <v>2913</v>
      </c>
      <c r="P570" s="311" t="s">
        <v>2809</v>
      </c>
      <c r="Q570" s="312" t="s">
        <v>2914</v>
      </c>
      <c r="R570" s="311" t="s">
        <v>194</v>
      </c>
      <c r="S570" s="312"/>
    </row>
    <row r="571">
      <c r="A571" s="230">
        <v>571.0</v>
      </c>
      <c r="B571" s="230" t="s">
        <v>188</v>
      </c>
      <c r="C571" s="231"/>
      <c r="D571" s="232"/>
      <c r="E571" s="232">
        <f>IFERROR(__xludf.DUMMYFUNCTION("iferror(SPLIT(D571,""/""),split(""0/0"",""/""))"),0.0)</f>
        <v>0</v>
      </c>
      <c r="F571" s="232">
        <f>IFERROR(__xludf.DUMMYFUNCTION("""COMPUTED_VALUE"""),0.0)</f>
        <v>0</v>
      </c>
      <c r="G571" s="247" t="b">
        <v>0</v>
      </c>
      <c r="H571" s="242" t="str">
        <f t="shared" si="1"/>
        <v/>
      </c>
      <c r="I571" s="243" t="s">
        <v>2915</v>
      </c>
      <c r="J571" s="308" t="str">
        <f t="shared" si="2"/>
        <v>Find a strange egg among the sand of an Ocean Ruin using a Brush. Smells interesting (Obtain a Sniffer Egg)</v>
      </c>
      <c r="K571" s="309"/>
      <c r="L571" s="310"/>
      <c r="M571" s="309" t="s">
        <v>2916</v>
      </c>
      <c r="N571" s="309" t="s">
        <v>2917</v>
      </c>
      <c r="O571" s="239" t="s">
        <v>2918</v>
      </c>
      <c r="P571" s="311" t="s">
        <v>2809</v>
      </c>
      <c r="Q571" s="312" t="s">
        <v>2919</v>
      </c>
      <c r="R571" s="311" t="s">
        <v>194</v>
      </c>
      <c r="S571" s="312"/>
    </row>
    <row r="572">
      <c r="A572" s="230">
        <v>572.0</v>
      </c>
      <c r="B572" s="230" t="s">
        <v>188</v>
      </c>
      <c r="C572" s="231"/>
      <c r="D572" s="232"/>
      <c r="E572" s="232">
        <f>IFERROR(__xludf.DUMMYFUNCTION("iferror(SPLIT(D572,""/""),split(""0/0"",""/""))"),0.0)</f>
        <v>0</v>
      </c>
      <c r="F572" s="232">
        <f>IFERROR(__xludf.DUMMYFUNCTION("""COMPUTED_VALUE"""),0.0)</f>
        <v>0</v>
      </c>
      <c r="G572" s="247" t="b">
        <v>0</v>
      </c>
      <c r="H572" s="242" t="str">
        <f t="shared" si="1"/>
        <v/>
      </c>
      <c r="I572" s="243" t="s">
        <v>2920</v>
      </c>
      <c r="J572" s="308" t="str">
        <f t="shared" si="2"/>
        <v>Have a Sniffer dig up seeds (Obtain Torchflower Seeds or Pitcher Pod)</v>
      </c>
      <c r="K572" s="309"/>
      <c r="L572" s="310"/>
      <c r="M572" s="309" t="s">
        <v>2921</v>
      </c>
      <c r="N572" s="309" t="s">
        <v>2922</v>
      </c>
      <c r="O572" s="239" t="s">
        <v>2923</v>
      </c>
      <c r="P572" s="311" t="s">
        <v>2809</v>
      </c>
      <c r="Q572" s="312" t="s">
        <v>2924</v>
      </c>
      <c r="R572" s="311" t="s">
        <v>194</v>
      </c>
      <c r="S572" s="312"/>
    </row>
    <row r="573">
      <c r="A573" s="230">
        <v>573.0</v>
      </c>
      <c r="B573" s="230" t="s">
        <v>188</v>
      </c>
      <c r="C573" s="231"/>
      <c r="D573" s="232"/>
      <c r="E573" s="232">
        <f>IFERROR(__xludf.DUMMYFUNCTION("iferror(SPLIT(D573,""/""),split(""0/0"",""/""))"),0.0)</f>
        <v>0</v>
      </c>
      <c r="F573" s="232">
        <f>IFERROR(__xludf.DUMMYFUNCTION("""COMPUTED_VALUE"""),0.0)</f>
        <v>0</v>
      </c>
      <c r="G573" s="247" t="b">
        <v>0</v>
      </c>
      <c r="H573" s="242" t="str">
        <f t="shared" si="1"/>
        <v/>
      </c>
      <c r="I573" s="243" t="s">
        <v>2925</v>
      </c>
      <c r="J573" s="308" t="str">
        <f t="shared" si="2"/>
        <v>Breed two Sniffers together using Torchflower Seeds</v>
      </c>
      <c r="K573" s="309" t="s">
        <v>2926</v>
      </c>
      <c r="L573" s="310"/>
      <c r="M573" s="309"/>
      <c r="N573" s="309" t="s">
        <v>2927</v>
      </c>
      <c r="O573" s="239" t="s">
        <v>2928</v>
      </c>
      <c r="P573" s="311" t="s">
        <v>2809</v>
      </c>
      <c r="Q573" s="312" t="s">
        <v>2929</v>
      </c>
      <c r="R573" s="311" t="s">
        <v>194</v>
      </c>
      <c r="S573" s="312"/>
    </row>
    <row r="574">
      <c r="A574" s="230">
        <v>574.0</v>
      </c>
      <c r="B574" s="230" t="s">
        <v>257</v>
      </c>
      <c r="C574" s="231"/>
      <c r="D574" s="232"/>
      <c r="E574" s="232">
        <f>IFERROR(__xludf.DUMMYFUNCTION("iferror(SPLIT(D574,""/""),split(""0/0"",""/""))"),0.0)</f>
        <v>0</v>
      </c>
      <c r="F574" s="232">
        <f>IFERROR(__xludf.DUMMYFUNCTION("""COMPUTED_VALUE"""),0.0)</f>
        <v>0</v>
      </c>
      <c r="G574" s="247" t="b">
        <v>0</v>
      </c>
      <c r="H574" s="242" t="str">
        <f t="shared" si="1"/>
        <v/>
      </c>
      <c r="I574" s="243" t="s">
        <v>2930</v>
      </c>
      <c r="J574" s="308" t="str">
        <f t="shared" si="2"/>
        <v>Feed a Snifflet (Feed a baby Sniffer with Torchflower Seeds)</v>
      </c>
      <c r="K574" s="309"/>
      <c r="L574" s="310"/>
      <c r="M574" s="309" t="s">
        <v>2931</v>
      </c>
      <c r="N574" s="309" t="s">
        <v>2932</v>
      </c>
      <c r="O574" s="239" t="s">
        <v>2933</v>
      </c>
      <c r="P574" s="311" t="s">
        <v>2809</v>
      </c>
      <c r="Q574" s="312" t="s">
        <v>2934</v>
      </c>
      <c r="R574" s="311" t="s">
        <v>194</v>
      </c>
      <c r="S574" s="312" t="s">
        <v>1991</v>
      </c>
    </row>
    <row r="575">
      <c r="A575" s="230">
        <v>575.0</v>
      </c>
      <c r="B575" s="230" t="s">
        <v>188</v>
      </c>
      <c r="C575" s="231"/>
      <c r="D575" s="232"/>
      <c r="E575" s="232">
        <f>IFERROR(__xludf.DUMMYFUNCTION("iferror(SPLIT(D575,""/""),split(""0/0"",""/""))"),0.0)</f>
        <v>0</v>
      </c>
      <c r="F575" s="232">
        <f>IFERROR(__xludf.DUMMYFUNCTION("""COMPUTED_VALUE"""),0.0)</f>
        <v>0</v>
      </c>
      <c r="G575" s="247" t="b">
        <v>0</v>
      </c>
      <c r="H575" s="242" t="str">
        <f t="shared" si="1"/>
        <v/>
      </c>
      <c r="I575" s="243" t="s">
        <v>2935</v>
      </c>
      <c r="J575" s="308" t="str">
        <f t="shared" si="2"/>
        <v>Plant any Sniffer Seed (Plant a Torchflower Seed or Pitcher Pod)</v>
      </c>
      <c r="K575" s="309"/>
      <c r="L575" s="310"/>
      <c r="M575" s="309" t="s">
        <v>2936</v>
      </c>
      <c r="N575" s="309" t="s">
        <v>2937</v>
      </c>
      <c r="O575" s="239" t="s">
        <v>2938</v>
      </c>
      <c r="P575" s="311" t="s">
        <v>2809</v>
      </c>
      <c r="Q575" s="312" t="s">
        <v>2939</v>
      </c>
      <c r="R575" s="311" t="s">
        <v>194</v>
      </c>
      <c r="S575" s="312"/>
    </row>
    <row r="576">
      <c r="A576" s="230">
        <v>576.0</v>
      </c>
      <c r="B576" s="230" t="s">
        <v>188</v>
      </c>
      <c r="C576" s="231"/>
      <c r="D576" s="232"/>
      <c r="E576" s="232">
        <f>IFERROR(__xludf.DUMMYFUNCTION("iferror(SPLIT(D576,""/""),split(""0/0"",""/""))"),0.0)</f>
        <v>0</v>
      </c>
      <c r="F576" s="232">
        <f>IFERROR(__xludf.DUMMYFUNCTION("""COMPUTED_VALUE"""),0.0)</f>
        <v>0</v>
      </c>
      <c r="G576" s="247" t="b">
        <v>0</v>
      </c>
      <c r="H576" s="242" t="str">
        <f t="shared" si="1"/>
        <v/>
      </c>
      <c r="I576" s="243" t="s">
        <v>2940</v>
      </c>
      <c r="J576" s="308" t="str">
        <f t="shared" si="2"/>
        <v>Discover the Trail Ruins (Enter a Trail Ruins structure)</v>
      </c>
      <c r="K576" s="309"/>
      <c r="L576" s="310"/>
      <c r="M576" s="309" t="s">
        <v>2941</v>
      </c>
      <c r="N576" s="309" t="s">
        <v>2942</v>
      </c>
      <c r="O576" s="239" t="s">
        <v>2943</v>
      </c>
      <c r="P576" s="311" t="s">
        <v>2809</v>
      </c>
      <c r="Q576" s="312" t="s">
        <v>2944</v>
      </c>
      <c r="R576" s="311" t="s">
        <v>194</v>
      </c>
      <c r="S576" s="312"/>
    </row>
    <row r="577">
      <c r="A577" s="230">
        <v>577.0</v>
      </c>
      <c r="B577" s="230" t="s">
        <v>188</v>
      </c>
      <c r="C577" s="231"/>
      <c r="D577" s="232"/>
      <c r="E577" s="232">
        <f>IFERROR(__xludf.DUMMYFUNCTION("iferror(SPLIT(D577,""/""),split(""0/0"",""/""))"),0.0)</f>
        <v>0</v>
      </c>
      <c r="F577" s="232">
        <f>IFERROR(__xludf.DUMMYFUNCTION("""COMPUTED_VALUE"""),0.0)</f>
        <v>0</v>
      </c>
      <c r="G577" s="247" t="b">
        <v>0</v>
      </c>
      <c r="H577" s="242" t="str">
        <f t="shared" si="1"/>
        <v/>
      </c>
      <c r="I577" s="246" t="s">
        <v>2945</v>
      </c>
      <c r="J577" s="308" t="str">
        <f t="shared" si="2"/>
        <v>Carefully excavate a Smithing Template from the Trail Ruins (Obtain one of: Wayfinder, Raiser, Shaper or Host Armor Trim Smithing Templates)</v>
      </c>
      <c r="K577" s="309"/>
      <c r="L577" s="310"/>
      <c r="M577" s="309" t="s">
        <v>2946</v>
      </c>
      <c r="N577" s="309" t="s">
        <v>2947</v>
      </c>
      <c r="O577" s="239" t="s">
        <v>2948</v>
      </c>
      <c r="P577" s="311" t="s">
        <v>2809</v>
      </c>
      <c r="Q577" s="312" t="s">
        <v>2949</v>
      </c>
      <c r="R577" s="311" t="s">
        <v>194</v>
      </c>
      <c r="S577" s="312"/>
    </row>
    <row r="578">
      <c r="A578" s="230">
        <v>578.0</v>
      </c>
      <c r="B578" s="230" t="s">
        <v>188</v>
      </c>
      <c r="C578" s="231"/>
      <c r="D578" s="232"/>
      <c r="E578" s="232">
        <f>IFERROR(__xludf.DUMMYFUNCTION("iferror(SPLIT(D578,""/""),split(""0/0"",""/""))"),0.0)</f>
        <v>0</v>
      </c>
      <c r="F578" s="232">
        <f>IFERROR(__xludf.DUMMYFUNCTION("""COMPUTED_VALUE"""),0.0)</f>
        <v>0</v>
      </c>
      <c r="G578" s="247" t="b">
        <v>0</v>
      </c>
      <c r="H578" s="242" t="str">
        <f t="shared" si="1"/>
        <v/>
      </c>
      <c r="I578" s="276" t="s">
        <v>2950</v>
      </c>
      <c r="J578" s="308" t="str">
        <f t="shared" si="2"/>
        <v>Excavate an ancient record from within the Trail Ruins (Obtain the Relic Music Disc)</v>
      </c>
      <c r="K578" s="309"/>
      <c r="L578" s="310"/>
      <c r="M578" s="309" t="s">
        <v>2951</v>
      </c>
      <c r="N578" s="309" t="s">
        <v>2952</v>
      </c>
      <c r="O578" s="239" t="s">
        <v>2953</v>
      </c>
      <c r="P578" s="311" t="s">
        <v>2809</v>
      </c>
      <c r="Q578" s="312" t="s">
        <v>2954</v>
      </c>
      <c r="R578" s="311" t="s">
        <v>194</v>
      </c>
      <c r="S578" s="314"/>
    </row>
    <row r="579">
      <c r="A579" s="230">
        <v>579.0</v>
      </c>
      <c r="B579" s="230" t="s">
        <v>188</v>
      </c>
      <c r="C579" s="231"/>
      <c r="D579" s="232"/>
      <c r="E579" s="232">
        <f>IFERROR(__xludf.DUMMYFUNCTION("iferror(SPLIT(D579,""/""),split(""0/0"",""/""))"),0.0)</f>
        <v>0</v>
      </c>
      <c r="F579" s="232">
        <f>IFERROR(__xludf.DUMMYFUNCTION("""COMPUTED_VALUE"""),0.0)</f>
        <v>0</v>
      </c>
      <c r="G579" s="233" t="b">
        <v>0</v>
      </c>
      <c r="H579" s="242" t="str">
        <f t="shared" si="1"/>
        <v/>
      </c>
      <c r="I579" s="243" t="s">
        <v>2955</v>
      </c>
      <c r="J579" s="308" t="str">
        <f t="shared" si="2"/>
        <v>Find a Smithing Template (Obtain any Smithing Template)</v>
      </c>
      <c r="K579" s="309"/>
      <c r="L579" s="310"/>
      <c r="M579" s="309" t="s">
        <v>2956</v>
      </c>
      <c r="N579" s="309" t="s">
        <v>2957</v>
      </c>
      <c r="O579" s="239" t="s">
        <v>2958</v>
      </c>
      <c r="P579" s="311" t="s">
        <v>2809</v>
      </c>
      <c r="Q579" s="312" t="s">
        <v>2959</v>
      </c>
      <c r="R579" s="311" t="s">
        <v>194</v>
      </c>
      <c r="S579" s="312"/>
    </row>
    <row r="580">
      <c r="A580" s="230">
        <v>580.0</v>
      </c>
      <c r="B580" s="230" t="s">
        <v>188</v>
      </c>
      <c r="C580" s="231"/>
      <c r="D580" s="232"/>
      <c r="E580" s="232">
        <f>IFERROR(__xludf.DUMMYFUNCTION("iferror(SPLIT(D580,""/""),split(""0/0"",""/""))"),0.0)</f>
        <v>0</v>
      </c>
      <c r="F580" s="232">
        <f>IFERROR(__xludf.DUMMYFUNCTION("""COMPUTED_VALUE"""),0.0)</f>
        <v>0</v>
      </c>
      <c r="G580" s="247" t="b">
        <v>0</v>
      </c>
      <c r="H580" s="242" t="str">
        <f t="shared" si="1"/>
        <v/>
      </c>
      <c r="I580" s="243" t="s">
        <v>2960</v>
      </c>
      <c r="J580" s="308" t="str">
        <f t="shared" si="2"/>
        <v>Use a Smithing Template to apply a trim to a piece of armor (Take a trimmed piece of armor from the output of a Smithing Table)</v>
      </c>
      <c r="K580" s="309"/>
      <c r="L580" s="310"/>
      <c r="M580" s="309" t="s">
        <v>2961</v>
      </c>
      <c r="N580" s="309" t="s">
        <v>2962</v>
      </c>
      <c r="O580" s="239" t="s">
        <v>541</v>
      </c>
      <c r="P580" s="311" t="s">
        <v>2809</v>
      </c>
      <c r="Q580" s="312" t="s">
        <v>2963</v>
      </c>
      <c r="R580" s="311" t="s">
        <v>194</v>
      </c>
      <c r="S580" s="312"/>
    </row>
    <row r="581">
      <c r="A581" s="230">
        <v>581.0</v>
      </c>
      <c r="B581" s="230" t="s">
        <v>188</v>
      </c>
      <c r="C581" s="231"/>
      <c r="D581" s="232"/>
      <c r="E581" s="232">
        <f>IFERROR(__xludf.DUMMYFUNCTION("iferror(SPLIT(D581,""/""),split(""0/0"",""/""))"),0.0)</f>
        <v>0</v>
      </c>
      <c r="F581" s="232">
        <f>IFERROR(__xludf.DUMMYFUNCTION("""COMPUTED_VALUE"""),0.0)</f>
        <v>0</v>
      </c>
      <c r="G581" s="247" t="b">
        <v>0</v>
      </c>
      <c r="H581" s="242" t="str">
        <f t="shared" si="1"/>
        <v/>
      </c>
      <c r="I581" s="243" t="s">
        <v>2964</v>
      </c>
      <c r="J581" s="308" t="str">
        <f t="shared" si="2"/>
        <v>Use seven diamonds to duplicate a Smithing Template (Take a Smithing Template from the output of the crafting table.)</v>
      </c>
      <c r="K581" s="309" t="s">
        <v>695</v>
      </c>
      <c r="L581" s="310"/>
      <c r="M581" s="309" t="s">
        <v>2965</v>
      </c>
      <c r="N581" s="309" t="s">
        <v>2966</v>
      </c>
      <c r="O581" s="239" t="s">
        <v>702</v>
      </c>
      <c r="P581" s="311" t="s">
        <v>2809</v>
      </c>
      <c r="Q581" s="312" t="s">
        <v>2967</v>
      </c>
      <c r="R581" s="311" t="s">
        <v>194</v>
      </c>
      <c r="S581" s="312"/>
    </row>
    <row r="582">
      <c r="A582" s="230">
        <v>582.0</v>
      </c>
      <c r="B582" s="230" t="s">
        <v>257</v>
      </c>
      <c r="C582" s="231"/>
      <c r="D582" s="232"/>
      <c r="E582" s="232">
        <f>IFERROR(__xludf.DUMMYFUNCTION("iferror(SPLIT(D582,""/""),split(""0/0"",""/""))"),0.0)</f>
        <v>0</v>
      </c>
      <c r="F582" s="232">
        <f>IFERROR(__xludf.DUMMYFUNCTION("""COMPUTED_VALUE"""),0.0)</f>
        <v>0</v>
      </c>
      <c r="G582" s="247" t="b">
        <v>0</v>
      </c>
      <c r="H582" s="242" t="str">
        <f t="shared" si="1"/>
        <v/>
      </c>
      <c r="I582" s="246" t="s">
        <v>2968</v>
      </c>
      <c r="J582" s="308" t="str">
        <f t="shared" si="2"/>
        <v>Wear a suit of armor with all four pieces trimmed with the same material</v>
      </c>
      <c r="K582" s="309" t="s">
        <v>695</v>
      </c>
      <c r="L582" s="310"/>
      <c r="M582" s="309"/>
      <c r="N582" s="309" t="s">
        <v>2969</v>
      </c>
      <c r="O582" s="239" t="s">
        <v>2970</v>
      </c>
      <c r="P582" s="311" t="s">
        <v>2809</v>
      </c>
      <c r="Q582" s="312" t="s">
        <v>2971</v>
      </c>
      <c r="R582" s="311" t="s">
        <v>194</v>
      </c>
      <c r="S582" s="312" t="s">
        <v>262</v>
      </c>
    </row>
    <row r="583">
      <c r="A583" s="230">
        <v>583.0</v>
      </c>
      <c r="B583" s="230" t="s">
        <v>257</v>
      </c>
      <c r="C583" s="231"/>
      <c r="D583" s="232"/>
      <c r="E583" s="232">
        <f>IFERROR(__xludf.DUMMYFUNCTION("iferror(SPLIT(D583,""/""),split(""0/0"",""/""))"),0.0)</f>
        <v>0</v>
      </c>
      <c r="F583" s="232">
        <f>IFERROR(__xludf.DUMMYFUNCTION("""COMPUTED_VALUE"""),0.0)</f>
        <v>0</v>
      </c>
      <c r="G583" s="247" t="b">
        <v>0</v>
      </c>
      <c r="H583" s="242" t="str">
        <f t="shared" si="1"/>
        <v/>
      </c>
      <c r="I583" s="246" t="s">
        <v>2972</v>
      </c>
      <c r="J583" s="308" t="str">
        <f t="shared" si="2"/>
        <v>Trim pieces of armor with all types of materials (See requirement notes below)</v>
      </c>
      <c r="K583" s="309" t="s">
        <v>2973</v>
      </c>
      <c r="L583" s="310"/>
      <c r="M583" s="313" t="s">
        <v>238</v>
      </c>
      <c r="N583" s="309" t="s">
        <v>2974</v>
      </c>
      <c r="O583" s="239" t="s">
        <v>2564</v>
      </c>
      <c r="P583" s="311" t="s">
        <v>2809</v>
      </c>
      <c r="Q583" s="312" t="s">
        <v>2975</v>
      </c>
      <c r="R583" s="311" t="s">
        <v>194</v>
      </c>
      <c r="S583" s="312" t="s">
        <v>262</v>
      </c>
    </row>
    <row r="584">
      <c r="A584" s="230">
        <v>584.0</v>
      </c>
      <c r="B584" s="230" t="s">
        <v>188</v>
      </c>
      <c r="C584" s="231"/>
      <c r="D584" s="232"/>
      <c r="E584" s="232">
        <f>IFERROR(__xludf.DUMMYFUNCTION("iferror(SPLIT(D584,""/""),split(""0/0"",""/""))"),0.0)</f>
        <v>0</v>
      </c>
      <c r="F584" s="232">
        <f>IFERROR(__xludf.DUMMYFUNCTION("""COMPUTED_VALUE"""),0.0)</f>
        <v>0</v>
      </c>
      <c r="G584" s="247" t="b">
        <v>0</v>
      </c>
      <c r="H584" s="242" t="str">
        <f t="shared" si="1"/>
        <v/>
      </c>
      <c r="I584" s="246" t="s">
        <v>2976</v>
      </c>
      <c r="J584" s="308" t="str">
        <f t="shared" si="2"/>
        <v>Find the Eye Smithing Template in a Stronghold (Obtain an Eye Armor Trim Smithing Template)</v>
      </c>
      <c r="K584" s="309" t="s">
        <v>2467</v>
      </c>
      <c r="L584" s="310"/>
      <c r="M584" s="309" t="s">
        <v>2977</v>
      </c>
      <c r="N584" s="309" t="s">
        <v>2978</v>
      </c>
      <c r="O584" s="239" t="s">
        <v>2979</v>
      </c>
      <c r="P584" s="311" t="s">
        <v>2809</v>
      </c>
      <c r="Q584" s="312" t="s">
        <v>2980</v>
      </c>
      <c r="R584" s="311" t="s">
        <v>194</v>
      </c>
      <c r="S584" s="312"/>
    </row>
    <row r="585">
      <c r="A585" s="230">
        <v>585.0</v>
      </c>
      <c r="B585" s="230" t="s">
        <v>188</v>
      </c>
      <c r="C585" s="231"/>
      <c r="D585" s="232"/>
      <c r="E585" s="232">
        <f>IFERROR(__xludf.DUMMYFUNCTION("iferror(SPLIT(D585,""/""),split(""0/0"",""/""))"),0.0)</f>
        <v>0</v>
      </c>
      <c r="F585" s="232">
        <f>IFERROR(__xludf.DUMMYFUNCTION("""COMPUTED_VALUE"""),0.0)</f>
        <v>0</v>
      </c>
      <c r="G585" s="247" t="b">
        <v>0</v>
      </c>
      <c r="H585" s="242" t="str">
        <f t="shared" si="1"/>
        <v/>
      </c>
      <c r="I585" s="246" t="s">
        <v>2981</v>
      </c>
      <c r="J585" s="308" t="str">
        <f t="shared" si="2"/>
        <v>Find the Vex Smithing Template in a Woodland Mansion (Obtain a Vex Armor Trim Smithing Template)</v>
      </c>
      <c r="K585" s="309" t="s">
        <v>2982</v>
      </c>
      <c r="L585" s="310"/>
      <c r="M585" s="309" t="s">
        <v>2983</v>
      </c>
      <c r="N585" s="309" t="s">
        <v>2984</v>
      </c>
      <c r="O585" s="239" t="s">
        <v>2985</v>
      </c>
      <c r="P585" s="311" t="s">
        <v>2809</v>
      </c>
      <c r="Q585" s="312" t="s">
        <v>2986</v>
      </c>
      <c r="R585" s="311" t="s">
        <v>194</v>
      </c>
      <c r="S585" s="312"/>
    </row>
    <row r="586">
      <c r="A586" s="230">
        <v>586.0</v>
      </c>
      <c r="B586" s="230" t="s">
        <v>188</v>
      </c>
      <c r="C586" s="231"/>
      <c r="D586" s="232"/>
      <c r="E586" s="232">
        <f>IFERROR(__xludf.DUMMYFUNCTION("iferror(SPLIT(D586,""/""),split(""0/0"",""/""))"),0.0)</f>
        <v>0</v>
      </c>
      <c r="F586" s="232">
        <f>IFERROR(__xludf.DUMMYFUNCTION("""COMPUTED_VALUE"""),0.0)</f>
        <v>0</v>
      </c>
      <c r="G586" s="247" t="b">
        <v>0</v>
      </c>
      <c r="H586" s="242" t="str">
        <f t="shared" si="1"/>
        <v/>
      </c>
      <c r="I586" s="246" t="s">
        <v>2987</v>
      </c>
      <c r="J586" s="308" t="str">
        <f t="shared" si="2"/>
        <v>Find the Silence Smithing Template in an Ancient City (Obtain a Silence Armor Trim Smithing Template)</v>
      </c>
      <c r="K586" s="309" t="s">
        <v>2988</v>
      </c>
      <c r="L586" s="310"/>
      <c r="M586" s="309" t="s">
        <v>2989</v>
      </c>
      <c r="N586" s="309" t="s">
        <v>2990</v>
      </c>
      <c r="O586" s="239" t="s">
        <v>2991</v>
      </c>
      <c r="P586" s="311" t="s">
        <v>2809</v>
      </c>
      <c r="Q586" s="312" t="s">
        <v>2992</v>
      </c>
      <c r="R586" s="311" t="s">
        <v>194</v>
      </c>
      <c r="S586" s="312"/>
    </row>
    <row r="587">
      <c r="A587" s="230">
        <v>587.0</v>
      </c>
      <c r="B587" s="230" t="s">
        <v>188</v>
      </c>
      <c r="C587" s="231"/>
      <c r="D587" s="232"/>
      <c r="E587" s="232">
        <f>IFERROR(__xludf.DUMMYFUNCTION("iferror(SPLIT(D587,""/""),split(""0/0"",""/""))"),0.0)</f>
        <v>0</v>
      </c>
      <c r="F587" s="232">
        <f>IFERROR(__xludf.DUMMYFUNCTION("""COMPUTED_VALUE"""),0.0)</f>
        <v>0</v>
      </c>
      <c r="G587" s="247" t="b">
        <v>0</v>
      </c>
      <c r="H587" s="242" t="str">
        <f t="shared" si="1"/>
        <v/>
      </c>
      <c r="I587" s="249" t="s">
        <v>2993</v>
      </c>
      <c r="J587" s="308" t="str">
        <f t="shared" si="2"/>
        <v>Find one of every Smithing Template (See requirement notes below)</v>
      </c>
      <c r="K587" s="309" t="s">
        <v>2994</v>
      </c>
      <c r="L587" s="310"/>
      <c r="M587" s="313" t="s">
        <v>238</v>
      </c>
      <c r="N587" s="309" t="s">
        <v>2995</v>
      </c>
      <c r="O587" s="239" t="s">
        <v>2996</v>
      </c>
      <c r="P587" s="311" t="s">
        <v>2809</v>
      </c>
      <c r="Q587" s="312" t="s">
        <v>2997</v>
      </c>
      <c r="R587" s="311" t="s">
        <v>194</v>
      </c>
      <c r="S587" s="312"/>
    </row>
    <row r="588">
      <c r="A588" s="230">
        <v>588.0</v>
      </c>
      <c r="B588" s="230" t="s">
        <v>188</v>
      </c>
      <c r="C588" s="231"/>
      <c r="D588" s="232"/>
      <c r="E588" s="232">
        <f>IFERROR(__xludf.DUMMYFUNCTION("iferror(SPLIT(D588,""/""),split(""0/0"",""/""))"),0.0)</f>
        <v>0</v>
      </c>
      <c r="F588" s="232">
        <f>IFERROR(__xludf.DUMMYFUNCTION("""COMPUTED_VALUE"""),0.0)</f>
        <v>0</v>
      </c>
      <c r="G588" s="247" t="b">
        <v>0</v>
      </c>
      <c r="H588" s="242" t="str">
        <f t="shared" si="1"/>
        <v/>
      </c>
      <c r="I588" s="243" t="s">
        <v>2998</v>
      </c>
      <c r="J588" s="308" t="str">
        <f t="shared" si="2"/>
        <v>Enter a Pillager Outpost</v>
      </c>
      <c r="K588" s="309"/>
      <c r="L588" s="310"/>
      <c r="M588" s="309"/>
      <c r="N588" s="309" t="s">
        <v>2999</v>
      </c>
      <c r="O588" s="239" t="s">
        <v>3000</v>
      </c>
      <c r="P588" s="311" t="s">
        <v>2809</v>
      </c>
      <c r="Q588" s="312" t="s">
        <v>3001</v>
      </c>
      <c r="R588" s="311" t="s">
        <v>194</v>
      </c>
      <c r="S588" s="312"/>
    </row>
    <row r="589">
      <c r="A589" s="230">
        <v>589.0</v>
      </c>
      <c r="B589" s="230" t="s">
        <v>188</v>
      </c>
      <c r="C589" s="231"/>
      <c r="D589" s="232"/>
      <c r="E589" s="232">
        <f>IFERROR(__xludf.DUMMYFUNCTION("iferror(SPLIT(D589,""/""),split(""0/0"",""/""))"),0.0)</f>
        <v>0</v>
      </c>
      <c r="F589" s="232">
        <f>IFERROR(__xludf.DUMMYFUNCTION("""COMPUTED_VALUE"""),0.0)</f>
        <v>0</v>
      </c>
      <c r="G589" s="247" t="b">
        <v>0</v>
      </c>
      <c r="H589" s="242" t="str">
        <f t="shared" si="1"/>
        <v/>
      </c>
      <c r="I589" s="243" t="s">
        <v>3002</v>
      </c>
      <c r="J589" s="308" t="str">
        <f t="shared" si="2"/>
        <v>Deflect a Pillager's crossbow bolt</v>
      </c>
      <c r="K589" s="309"/>
      <c r="L589" s="310"/>
      <c r="M589" s="309"/>
      <c r="N589" s="309" t="s">
        <v>3003</v>
      </c>
      <c r="O589" s="239" t="s">
        <v>2298</v>
      </c>
      <c r="P589" s="311" t="s">
        <v>2809</v>
      </c>
      <c r="Q589" s="312" t="s">
        <v>3004</v>
      </c>
      <c r="R589" s="311" t="s">
        <v>194</v>
      </c>
      <c r="S589" s="312"/>
    </row>
    <row r="590">
      <c r="A590" s="230">
        <v>590.0</v>
      </c>
      <c r="B590" s="230" t="s">
        <v>257</v>
      </c>
      <c r="C590" s="231"/>
      <c r="D590" s="232"/>
      <c r="E590" s="232">
        <f>IFERROR(__xludf.DUMMYFUNCTION("iferror(SPLIT(D590,""/""),split(""0/0"",""/""))"),0.0)</f>
        <v>0</v>
      </c>
      <c r="F590" s="232">
        <f>IFERROR(__xludf.DUMMYFUNCTION("""COMPUTED_VALUE"""),0.0)</f>
        <v>0</v>
      </c>
      <c r="G590" s="247" t="b">
        <v>0</v>
      </c>
      <c r="H590" s="242" t="str">
        <f t="shared" si="1"/>
        <v/>
      </c>
      <c r="I590" s="246" t="s">
        <v>3005</v>
      </c>
      <c r="J590" s="308" t="str">
        <f t="shared" si="2"/>
        <v>Befriend a Pillager that doesn’t have a crossbow (Be within 5 blocks of a Pillager that is not holding a crossbow)</v>
      </c>
      <c r="K590" s="309" t="s">
        <v>480</v>
      </c>
      <c r="L590" s="310"/>
      <c r="M590" s="309" t="s">
        <v>3006</v>
      </c>
      <c r="N590" s="309" t="s">
        <v>3007</v>
      </c>
      <c r="O590" s="239" t="s">
        <v>3008</v>
      </c>
      <c r="P590" s="311" t="s">
        <v>2809</v>
      </c>
      <c r="Q590" s="312" t="s">
        <v>3009</v>
      </c>
      <c r="R590" s="311" t="s">
        <v>194</v>
      </c>
      <c r="S590" s="312" t="s">
        <v>1634</v>
      </c>
    </row>
    <row r="591">
      <c r="A591" s="230">
        <v>591.0</v>
      </c>
      <c r="B591" s="230" t="s">
        <v>188</v>
      </c>
      <c r="C591" s="231"/>
      <c r="D591" s="232"/>
      <c r="E591" s="232">
        <f>IFERROR(__xludf.DUMMYFUNCTION("iferror(SPLIT(D591,""/""),split(""0/0"",""/""))"),0.0)</f>
        <v>0</v>
      </c>
      <c r="F591" s="232">
        <f>IFERROR(__xludf.DUMMYFUNCTION("""COMPUTED_VALUE"""),0.0)</f>
        <v>0</v>
      </c>
      <c r="G591" s="247" t="b">
        <v>0</v>
      </c>
      <c r="H591" s="242" t="str">
        <f t="shared" si="1"/>
        <v/>
      </c>
      <c r="I591" s="243" t="s">
        <v>3010</v>
      </c>
      <c r="J591" s="308" t="str">
        <f t="shared" si="2"/>
        <v>Kill a raid captain. Maybe consider staying away from villages for the time being... (Kill a raid captain)</v>
      </c>
      <c r="K591" s="309" t="s">
        <v>1858</v>
      </c>
      <c r="L591" s="310"/>
      <c r="M591" s="309" t="s">
        <v>3011</v>
      </c>
      <c r="N591" s="309" t="s">
        <v>3012</v>
      </c>
      <c r="O591" s="239" t="s">
        <v>1861</v>
      </c>
      <c r="P591" s="311" t="s">
        <v>2809</v>
      </c>
      <c r="Q591" s="312" t="s">
        <v>3013</v>
      </c>
      <c r="R591" s="311" t="s">
        <v>194</v>
      </c>
      <c r="S591" s="312"/>
    </row>
    <row r="592">
      <c r="A592" s="230">
        <v>592.0</v>
      </c>
      <c r="B592" s="230" t="s">
        <v>188</v>
      </c>
      <c r="C592" s="231"/>
      <c r="D592" s="232"/>
      <c r="E592" s="232">
        <f>IFERROR(__xludf.DUMMYFUNCTION("iferror(SPLIT(D592,""/""),split(""0/0"",""/""))"),0.0)</f>
        <v>0</v>
      </c>
      <c r="F592" s="232">
        <f>IFERROR(__xludf.DUMMYFUNCTION("""COMPUTED_VALUE"""),0.0)</f>
        <v>0</v>
      </c>
      <c r="G592" s="247" t="b">
        <v>0</v>
      </c>
      <c r="H592" s="242" t="str">
        <f t="shared" si="1"/>
        <v/>
      </c>
      <c r="I592" s="243" t="s">
        <v>3014</v>
      </c>
      <c r="J592" s="308" t="str">
        <f t="shared" si="2"/>
        <v>Trigger a Pillager Raid (Trigger a raid)</v>
      </c>
      <c r="K592" s="309"/>
      <c r="L592" s="310"/>
      <c r="M592" s="309" t="s">
        <v>3015</v>
      </c>
      <c r="N592" s="309" t="s">
        <v>3016</v>
      </c>
      <c r="O592" s="239" t="s">
        <v>2535</v>
      </c>
      <c r="P592" s="311" t="s">
        <v>2809</v>
      </c>
      <c r="Q592" s="312" t="s">
        <v>3017</v>
      </c>
      <c r="R592" s="311" t="s">
        <v>194</v>
      </c>
      <c r="S592" s="312"/>
    </row>
    <row r="593">
      <c r="A593" s="230">
        <v>593.0</v>
      </c>
      <c r="B593" s="230" t="s">
        <v>257</v>
      </c>
      <c r="C593" s="231"/>
      <c r="D593" s="232"/>
      <c r="E593" s="232">
        <f>IFERROR(__xludf.DUMMYFUNCTION("iferror(SPLIT(D593,""/""),split(""0/0"",""/""))"),0.0)</f>
        <v>0</v>
      </c>
      <c r="F593" s="232">
        <f>IFERROR(__xludf.DUMMYFUNCTION("""COMPUTED_VALUE"""),0.0)</f>
        <v>0</v>
      </c>
      <c r="G593" s="247" t="b">
        <v>0</v>
      </c>
      <c r="H593" s="242" t="str">
        <f t="shared" si="1"/>
        <v/>
      </c>
      <c r="I593" s="243" t="s">
        <v>3018</v>
      </c>
      <c r="J593" s="308" t="str">
        <f t="shared" si="2"/>
        <v>Ring the bell with a hostile enemy in the village (Ring a bell while at least one illager that is part of a raid is within 32 blocks of you)</v>
      </c>
      <c r="K593" s="309"/>
      <c r="L593" s="310"/>
      <c r="M593" s="309" t="s">
        <v>3019</v>
      </c>
      <c r="N593" s="309" t="s">
        <v>3020</v>
      </c>
      <c r="O593" s="239" t="s">
        <v>3021</v>
      </c>
      <c r="P593" s="311" t="s">
        <v>2809</v>
      </c>
      <c r="Q593" s="312" t="s">
        <v>3022</v>
      </c>
      <c r="R593" s="311" t="s">
        <v>194</v>
      </c>
      <c r="S593" s="311" t="s">
        <v>1863</v>
      </c>
    </row>
    <row r="594">
      <c r="A594" s="230">
        <v>594.0</v>
      </c>
      <c r="B594" s="230" t="s">
        <v>188</v>
      </c>
      <c r="C594" s="231"/>
      <c r="D594" s="232"/>
      <c r="E594" s="232">
        <f>IFERROR(__xludf.DUMMYFUNCTION("iferror(SPLIT(D594,""/""),split(""0/0"",""/""))"),0.0)</f>
        <v>0</v>
      </c>
      <c r="F594" s="232">
        <f>IFERROR(__xludf.DUMMYFUNCTION("""COMPUTED_VALUE"""),0.0)</f>
        <v>0</v>
      </c>
      <c r="G594" s="247" t="b">
        <v>0</v>
      </c>
      <c r="H594" s="242" t="str">
        <f t="shared" si="1"/>
        <v/>
      </c>
      <c r="I594" s="246" t="s">
        <v>3023</v>
      </c>
      <c r="J594" s="308" t="str">
        <f t="shared" si="2"/>
        <v>Slay a Ravager in a raid (Kill a Ravager)</v>
      </c>
      <c r="K594" s="309" t="s">
        <v>1858</v>
      </c>
      <c r="L594" s="310"/>
      <c r="M594" s="309" t="s">
        <v>3024</v>
      </c>
      <c r="N594" s="309" t="s">
        <v>3025</v>
      </c>
      <c r="O594" s="239" t="s">
        <v>1919</v>
      </c>
      <c r="P594" s="311" t="s">
        <v>2809</v>
      </c>
      <c r="Q594" s="312" t="s">
        <v>3026</v>
      </c>
      <c r="R594" s="311" t="s">
        <v>194</v>
      </c>
      <c r="S594" s="312"/>
    </row>
    <row r="595">
      <c r="A595" s="230">
        <v>595.0</v>
      </c>
      <c r="B595" s="230" t="s">
        <v>188</v>
      </c>
      <c r="C595" s="231"/>
      <c r="D595" s="232"/>
      <c r="E595" s="232">
        <f>IFERROR(__xludf.DUMMYFUNCTION("iferror(SPLIT(D595,""/""),split(""0/0"",""/""))"),0.0)</f>
        <v>0</v>
      </c>
      <c r="F595" s="232">
        <f>IFERROR(__xludf.DUMMYFUNCTION("""COMPUTED_VALUE"""),0.0)</f>
        <v>0</v>
      </c>
      <c r="G595" s="247" t="b">
        <v>0</v>
      </c>
      <c r="H595" s="242" t="str">
        <f t="shared" si="1"/>
        <v/>
      </c>
      <c r="I595" s="243" t="s">
        <v>3027</v>
      </c>
      <c r="J595" s="308" t="str">
        <f t="shared" si="2"/>
        <v>Have a Ravager slam into your shield (Block a Ravager's attack)</v>
      </c>
      <c r="K595" s="309"/>
      <c r="L595" s="310"/>
      <c r="M595" s="309" t="s">
        <v>3028</v>
      </c>
      <c r="N595" s="309" t="s">
        <v>3029</v>
      </c>
      <c r="O595" s="239" t="s">
        <v>2298</v>
      </c>
      <c r="P595" s="311" t="s">
        <v>2809</v>
      </c>
      <c r="Q595" s="312" t="s">
        <v>3030</v>
      </c>
      <c r="R595" s="311" t="s">
        <v>194</v>
      </c>
      <c r="S595" s="312"/>
    </row>
    <row r="596">
      <c r="A596" s="230">
        <v>596.0</v>
      </c>
      <c r="B596" s="230" t="s">
        <v>188</v>
      </c>
      <c r="C596" s="231"/>
      <c r="D596" s="232"/>
      <c r="E596" s="232">
        <f>IFERROR(__xludf.DUMMYFUNCTION("iferror(SPLIT(D596,""/""),split(""0/0"",""/""))"),0.0)</f>
        <v>0</v>
      </c>
      <c r="F596" s="232">
        <f>IFERROR(__xludf.DUMMYFUNCTION("""COMPUTED_VALUE"""),0.0)</f>
        <v>0</v>
      </c>
      <c r="G596" s="247" t="b">
        <v>0</v>
      </c>
      <c r="H596" s="242" t="str">
        <f t="shared" si="1"/>
        <v/>
      </c>
      <c r="I596" s="246" t="s">
        <v>3031</v>
      </c>
      <c r="J596" s="308" t="str">
        <f t="shared" si="2"/>
        <v>Hit a Ravager with a thrown trident</v>
      </c>
      <c r="K596" s="309"/>
      <c r="L596" s="310"/>
      <c r="M596" s="309"/>
      <c r="N596" s="309" t="s">
        <v>3032</v>
      </c>
      <c r="O596" s="239" t="s">
        <v>1716</v>
      </c>
      <c r="P596" s="311" t="s">
        <v>2809</v>
      </c>
      <c r="Q596" s="312" t="s">
        <v>3033</v>
      </c>
      <c r="R596" s="311" t="s">
        <v>194</v>
      </c>
      <c r="S596" s="311" t="s">
        <v>267</v>
      </c>
    </row>
    <row r="597">
      <c r="A597" s="230">
        <v>597.0</v>
      </c>
      <c r="B597" s="230" t="s">
        <v>188</v>
      </c>
      <c r="C597" s="231"/>
      <c r="D597" s="232"/>
      <c r="E597" s="232">
        <f>IFERROR(__xludf.DUMMYFUNCTION("iferror(SPLIT(D597,""/""),split(""0/0"",""/""))"),0.0)</f>
        <v>0</v>
      </c>
      <c r="F597" s="232">
        <f>IFERROR(__xludf.DUMMYFUNCTION("""COMPUTED_VALUE"""),0.0)</f>
        <v>0</v>
      </c>
      <c r="G597" s="247" t="b">
        <v>0</v>
      </c>
      <c r="H597" s="242" t="str">
        <f t="shared" si="1"/>
        <v/>
      </c>
      <c r="I597" s="246" t="s">
        <v>3034</v>
      </c>
      <c r="J597" s="308" t="str">
        <f t="shared" si="2"/>
        <v>Defeat every type of Illager as part of a raid (Kill a Pillager, Vinidicator, Witch, Evoker and Ravager as part of a raid)</v>
      </c>
      <c r="K597" s="309" t="s">
        <v>3035</v>
      </c>
      <c r="L597" s="310"/>
      <c r="M597" s="309" t="s">
        <v>3036</v>
      </c>
      <c r="N597" s="309" t="s">
        <v>3037</v>
      </c>
      <c r="O597" s="239" t="s">
        <v>2078</v>
      </c>
      <c r="P597" s="311" t="s">
        <v>2809</v>
      </c>
      <c r="Q597" s="312" t="s">
        <v>3038</v>
      </c>
      <c r="R597" s="311" t="s">
        <v>194</v>
      </c>
      <c r="S597" s="312"/>
    </row>
    <row r="598">
      <c r="A598" s="230">
        <v>598.0</v>
      </c>
      <c r="B598" s="230" t="s">
        <v>188</v>
      </c>
      <c r="C598" s="231"/>
      <c r="D598" s="232"/>
      <c r="E598" s="232">
        <f>IFERROR(__xludf.DUMMYFUNCTION("iferror(SPLIT(D598,""/""),split(""0/0"",""/""))"),0.0)</f>
        <v>0</v>
      </c>
      <c r="F598" s="232">
        <f>IFERROR(__xludf.DUMMYFUNCTION("""COMPUTED_VALUE"""),0.0)</f>
        <v>0</v>
      </c>
      <c r="G598" s="247" t="b">
        <v>0</v>
      </c>
      <c r="H598" s="242" t="str">
        <f t="shared" si="1"/>
        <v/>
      </c>
      <c r="I598" s="246" t="s">
        <v>3039</v>
      </c>
      <c r="J598" s="308" t="str">
        <f t="shared" si="2"/>
        <v>Triumph over a full raid for the first time (Get the Hero of the Village Effect)</v>
      </c>
      <c r="K598" s="309" t="s">
        <v>480</v>
      </c>
      <c r="L598" s="310"/>
      <c r="M598" s="309" t="s">
        <v>3040</v>
      </c>
      <c r="N598" s="309" t="s">
        <v>3041</v>
      </c>
      <c r="O598" s="239" t="s">
        <v>2648</v>
      </c>
      <c r="P598" s="311" t="s">
        <v>2809</v>
      </c>
      <c r="Q598" s="312" t="s">
        <v>3042</v>
      </c>
      <c r="R598" s="311" t="s">
        <v>194</v>
      </c>
      <c r="S598" s="312"/>
    </row>
    <row r="599">
      <c r="A599" s="230">
        <v>599.0</v>
      </c>
      <c r="B599" s="230" t="s">
        <v>188</v>
      </c>
      <c r="C599" s="231"/>
      <c r="D599" s="232"/>
      <c r="E599" s="232">
        <f>IFERROR(__xludf.DUMMYFUNCTION("iferror(SPLIT(D599,""/""),split(""0/0"",""/""))"),0.0)</f>
        <v>0</v>
      </c>
      <c r="F599" s="232">
        <f>IFERROR(__xludf.DUMMYFUNCTION("""COMPUTED_VALUE"""),0.0)</f>
        <v>0</v>
      </c>
      <c r="G599" s="247" t="b">
        <v>0</v>
      </c>
      <c r="H599" s="242" t="str">
        <f t="shared" si="1"/>
        <v/>
      </c>
      <c r="I599" s="246" t="s">
        <v>3043</v>
      </c>
      <c r="J599" s="308" t="str">
        <f t="shared" si="2"/>
        <v>Defeat enough raid captains to obtain a stack of Ominous Banners (Obtain 16 Ominous Banners)</v>
      </c>
      <c r="K599" s="309" t="s">
        <v>480</v>
      </c>
      <c r="L599" s="310"/>
      <c r="M599" s="309" t="s">
        <v>3044</v>
      </c>
      <c r="N599" s="309" t="s">
        <v>3045</v>
      </c>
      <c r="O599" s="239" t="s">
        <v>3046</v>
      </c>
      <c r="P599" s="311" t="s">
        <v>2809</v>
      </c>
      <c r="Q599" s="312" t="s">
        <v>3047</v>
      </c>
      <c r="R599" s="311" t="s">
        <v>194</v>
      </c>
      <c r="S599" s="312"/>
    </row>
    <row r="600">
      <c r="A600" s="230">
        <v>600.0</v>
      </c>
      <c r="B600" s="230" t="s">
        <v>257</v>
      </c>
      <c r="C600" s="231"/>
      <c r="D600" s="232"/>
      <c r="E600" s="232">
        <f>IFERROR(__xludf.DUMMYFUNCTION("iferror(SPLIT(D600,""/""),split(""0/0"",""/""))"),0.0)</f>
        <v>0</v>
      </c>
      <c r="F600" s="232">
        <f>IFERROR(__xludf.DUMMYFUNCTION("""COMPUTED_VALUE"""),0.0)</f>
        <v>0</v>
      </c>
      <c r="G600" s="247" t="b">
        <v>0</v>
      </c>
      <c r="H600" s="242" t="str">
        <f t="shared" si="1"/>
        <v/>
      </c>
      <c r="I600" s="249" t="s">
        <v>3048</v>
      </c>
      <c r="J600" s="308" t="str">
        <f t="shared" si="2"/>
        <v>Kill each type of Illager with a single crossbow arrow (Kill a Pillager, Vindicator, Witch, Evoker and Ravager with a single crossbow arrow)</v>
      </c>
      <c r="K600" s="309" t="s">
        <v>3049</v>
      </c>
      <c r="L600" s="310"/>
      <c r="M600" s="309" t="s">
        <v>3050</v>
      </c>
      <c r="N600" s="309" t="s">
        <v>3051</v>
      </c>
      <c r="O600" s="239" t="s">
        <v>2359</v>
      </c>
      <c r="P600" s="311" t="s">
        <v>2809</v>
      </c>
      <c r="Q600" s="312" t="s">
        <v>3052</v>
      </c>
      <c r="R600" s="311" t="s">
        <v>194</v>
      </c>
      <c r="S600" s="311" t="s">
        <v>3053</v>
      </c>
    </row>
    <row r="601">
      <c r="A601" s="230">
        <v>601.0</v>
      </c>
      <c r="B601" s="230" t="s">
        <v>206</v>
      </c>
      <c r="C601" s="231"/>
      <c r="D601" s="232"/>
      <c r="E601" s="232">
        <f>IFERROR(__xludf.DUMMYFUNCTION("iferror(SPLIT(D601,""/""),split(""0/0"",""/""))"),0.0)</f>
        <v>0</v>
      </c>
      <c r="F601" s="232">
        <f>IFERROR(__xludf.DUMMYFUNCTION("""COMPUTED_VALUE"""),0.0)</f>
        <v>0</v>
      </c>
      <c r="G601" s="247" t="b">
        <v>0</v>
      </c>
      <c r="H601" s="242" t="str">
        <f t="shared" si="1"/>
        <v/>
      </c>
      <c r="I601" s="246" t="s">
        <v>3054</v>
      </c>
      <c r="J601" s="308" t="str">
        <f t="shared" si="2"/>
        <v>Trade with a villager while under the Hero of the Village effect</v>
      </c>
      <c r="K601" s="309" t="s">
        <v>1858</v>
      </c>
      <c r="L601" s="310"/>
      <c r="M601" s="309"/>
      <c r="N601" s="309" t="s">
        <v>3055</v>
      </c>
      <c r="O601" s="239" t="s">
        <v>2073</v>
      </c>
      <c r="P601" s="311" t="s">
        <v>2809</v>
      </c>
      <c r="Q601" s="312" t="s">
        <v>3056</v>
      </c>
      <c r="R601" s="311" t="s">
        <v>194</v>
      </c>
      <c r="S601" s="312"/>
    </row>
    <row r="602">
      <c r="A602" s="230">
        <v>602.0</v>
      </c>
      <c r="B602" s="230" t="s">
        <v>257</v>
      </c>
      <c r="C602" s="231"/>
      <c r="D602" s="232"/>
      <c r="E602" s="232">
        <f>IFERROR(__xludf.DUMMYFUNCTION("iferror(SPLIT(D602,""/""),split(""0/0"",""/""))"),0.0)</f>
        <v>0</v>
      </c>
      <c r="F602" s="232">
        <f>IFERROR(__xludf.DUMMYFUNCTION("""COMPUTED_VALUE"""),0.0)</f>
        <v>0</v>
      </c>
      <c r="G602" s="247" t="b">
        <v>0</v>
      </c>
      <c r="H602" s="242" t="str">
        <f t="shared" si="1"/>
        <v/>
      </c>
      <c r="I602" s="249" t="s">
        <v>3057</v>
      </c>
      <c r="J602" s="308" t="str">
        <f t="shared" si="2"/>
        <v>Receive every type of gift from Villagers as a Hero of the Village (See requirement notes below)</v>
      </c>
      <c r="K602" s="309" t="s">
        <v>3049</v>
      </c>
      <c r="L602" s="310"/>
      <c r="M602" s="313" t="s">
        <v>238</v>
      </c>
      <c r="N602" s="309" t="s">
        <v>3058</v>
      </c>
      <c r="O602" s="239" t="s">
        <v>2831</v>
      </c>
      <c r="P602" s="311" t="s">
        <v>2809</v>
      </c>
      <c r="Q602" s="312" t="s">
        <v>3059</v>
      </c>
      <c r="R602" s="311" t="s">
        <v>194</v>
      </c>
      <c r="S602" s="312" t="s">
        <v>3057</v>
      </c>
    </row>
    <row r="603">
      <c r="A603" s="230">
        <v>603.0</v>
      </c>
      <c r="B603" s="230" t="s">
        <v>206</v>
      </c>
      <c r="C603" s="231"/>
      <c r="D603" s="232"/>
      <c r="E603" s="232">
        <f>IFERROR(__xludf.DUMMYFUNCTION("iferror(SPLIT(D603,""/""),split(""0/0"",""/""))"),0.0)</f>
        <v>0</v>
      </c>
      <c r="F603" s="232">
        <f>IFERROR(__xludf.DUMMYFUNCTION("""COMPUTED_VALUE"""),0.0)</f>
        <v>0</v>
      </c>
      <c r="G603" s="247" t="b">
        <v>0</v>
      </c>
      <c r="H603" s="242" t="str">
        <f t="shared" si="1"/>
        <v/>
      </c>
      <c r="I603" s="249" t="s">
        <v>3060</v>
      </c>
      <c r="J603" s="308" t="str">
        <f t="shared" si="2"/>
        <v>Start a Raid with the highest level of Bad Omen (Get Rain Omen V)</v>
      </c>
      <c r="K603" s="309" t="s">
        <v>3061</v>
      </c>
      <c r="L603" s="310"/>
      <c r="M603" s="309" t="s">
        <v>3062</v>
      </c>
      <c r="N603" s="309" t="s">
        <v>3063</v>
      </c>
      <c r="O603" s="239" t="s">
        <v>3064</v>
      </c>
      <c r="P603" s="311" t="s">
        <v>2809</v>
      </c>
      <c r="Q603" s="312" t="s">
        <v>3065</v>
      </c>
      <c r="R603" s="311" t="s">
        <v>194</v>
      </c>
      <c r="S603" s="311" t="s">
        <v>1863</v>
      </c>
    </row>
    <row r="604">
      <c r="A604" s="230">
        <v>604.0</v>
      </c>
      <c r="B604" s="230" t="s">
        <v>206</v>
      </c>
      <c r="C604" s="231"/>
      <c r="D604" s="232"/>
      <c r="E604" s="232">
        <f>IFERROR(__xludf.DUMMYFUNCTION("iferror(SPLIT(D604,""/""),split(""0/0"",""/""))"),0.0)</f>
        <v>0</v>
      </c>
      <c r="F604" s="232">
        <f>IFERROR(__xludf.DUMMYFUNCTION("""COMPUTED_VALUE"""),0.0)</f>
        <v>0</v>
      </c>
      <c r="G604" s="247" t="b">
        <v>0</v>
      </c>
      <c r="H604" s="242" t="str">
        <f t="shared" si="1"/>
        <v/>
      </c>
      <c r="I604" s="294" t="s">
        <v>3066</v>
      </c>
      <c r="J604" s="308" t="str">
        <f t="shared" si="2"/>
        <v>Attain the highest level of Hero of the Village (Get Hero of the Village V)</v>
      </c>
      <c r="K604" s="309" t="s">
        <v>3067</v>
      </c>
      <c r="L604" s="310"/>
      <c r="M604" s="309" t="s">
        <v>3068</v>
      </c>
      <c r="N604" s="309" t="s">
        <v>3069</v>
      </c>
      <c r="O604" s="239" t="s">
        <v>3070</v>
      </c>
      <c r="P604" s="311" t="s">
        <v>2809</v>
      </c>
      <c r="Q604" s="312" t="s">
        <v>3071</v>
      </c>
      <c r="R604" s="311" t="s">
        <v>194</v>
      </c>
      <c r="S604" s="311" t="s">
        <v>1863</v>
      </c>
    </row>
    <row r="605">
      <c r="A605" s="230">
        <v>605.0</v>
      </c>
      <c r="B605" s="230" t="s">
        <v>188</v>
      </c>
      <c r="C605" s="231"/>
      <c r="D605" s="232"/>
      <c r="E605" s="232">
        <f>IFERROR(__xludf.DUMMYFUNCTION("iferror(SPLIT(D605,""/""),split(""0/0"",""/""))"),0.0)</f>
        <v>0</v>
      </c>
      <c r="F605" s="232">
        <f>IFERROR(__xludf.DUMMYFUNCTION("""COMPUTED_VALUE"""),0.0)</f>
        <v>0</v>
      </c>
      <c r="G605" s="247" t="b">
        <v>0</v>
      </c>
      <c r="H605" s="242" t="str">
        <f t="shared" si="1"/>
        <v/>
      </c>
      <c r="I605" s="243" t="s">
        <v>3072</v>
      </c>
      <c r="J605" s="308" t="str">
        <f t="shared" si="2"/>
        <v>Rescue an Allay from a Pillager Outpost or Woodland Mansion and give it something to play with (Right-click an Allay with an item)</v>
      </c>
      <c r="K605" s="309"/>
      <c r="L605" s="310"/>
      <c r="M605" s="309" t="s">
        <v>3073</v>
      </c>
      <c r="N605" s="309" t="s">
        <v>3074</v>
      </c>
      <c r="O605" s="239" t="s">
        <v>3075</v>
      </c>
      <c r="P605" s="311" t="s">
        <v>2809</v>
      </c>
      <c r="Q605" s="312" t="s">
        <v>3076</v>
      </c>
      <c r="R605" s="311" t="s">
        <v>194</v>
      </c>
      <c r="S605" s="312"/>
    </row>
    <row r="606">
      <c r="A606" s="230">
        <v>606.0</v>
      </c>
      <c r="B606" s="230" t="s">
        <v>188</v>
      </c>
      <c r="C606" s="231"/>
      <c r="D606" s="232"/>
      <c r="E606" s="232">
        <f>IFERROR(__xludf.DUMMYFUNCTION("iferror(SPLIT(D606,""/""),split(""0/0"",""/""))"),0.0)</f>
        <v>0</v>
      </c>
      <c r="F606" s="232">
        <f>IFERROR(__xludf.DUMMYFUNCTION("""COMPUTED_VALUE"""),0.0)</f>
        <v>0</v>
      </c>
      <c r="G606" s="233" t="b">
        <v>0</v>
      </c>
      <c r="H606" s="242" t="str">
        <f t="shared" si="1"/>
        <v/>
      </c>
      <c r="I606" s="243" t="s">
        <v>3077</v>
      </c>
      <c r="J606" s="308" t="str">
        <f t="shared" si="2"/>
        <v>Have an Allay deliver items to you (Pick up an item dropped by an Allay)</v>
      </c>
      <c r="K606" s="309"/>
      <c r="L606" s="310"/>
      <c r="M606" s="309" t="s">
        <v>3078</v>
      </c>
      <c r="N606" s="309" t="s">
        <v>3079</v>
      </c>
      <c r="O606" s="239" t="s">
        <v>1488</v>
      </c>
      <c r="P606" s="311" t="s">
        <v>2809</v>
      </c>
      <c r="Q606" s="312" t="s">
        <v>3080</v>
      </c>
      <c r="R606" s="311" t="s">
        <v>194</v>
      </c>
      <c r="S606" s="312"/>
    </row>
    <row r="607">
      <c r="A607" s="230">
        <v>607.0</v>
      </c>
      <c r="B607" s="230" t="s">
        <v>257</v>
      </c>
      <c r="C607" s="231"/>
      <c r="D607" s="232"/>
      <c r="E607" s="232">
        <f>IFERROR(__xludf.DUMMYFUNCTION("iferror(SPLIT(D607,""/""),split(""0/0"",""/""))"),0.0)</f>
        <v>0</v>
      </c>
      <c r="F607" s="232">
        <f>IFERROR(__xludf.DUMMYFUNCTION("""COMPUTED_VALUE"""),0.0)</f>
        <v>0</v>
      </c>
      <c r="G607" s="247" t="b">
        <v>0</v>
      </c>
      <c r="H607" s="242" t="str">
        <f t="shared" si="1"/>
        <v/>
      </c>
      <c r="I607" s="243" t="s">
        <v>3081</v>
      </c>
      <c r="J607" s="308" t="str">
        <f t="shared" si="2"/>
        <v>Have an Allay deliver Spruce Saplings to you while chopping down trees (Pick up Spruce Saplings that were dropped by an Allay)</v>
      </c>
      <c r="K607" s="309" t="s">
        <v>3082</v>
      </c>
      <c r="L607" s="310"/>
      <c r="M607" s="309" t="s">
        <v>3083</v>
      </c>
      <c r="N607" s="309" t="s">
        <v>3084</v>
      </c>
      <c r="O607" s="239" t="s">
        <v>1038</v>
      </c>
      <c r="P607" s="311" t="s">
        <v>2809</v>
      </c>
      <c r="Q607" s="312" t="s">
        <v>3085</v>
      </c>
      <c r="R607" s="311" t="s">
        <v>194</v>
      </c>
      <c r="S607" s="312" t="s">
        <v>3086</v>
      </c>
    </row>
    <row r="608">
      <c r="A608" s="230">
        <v>608.0</v>
      </c>
      <c r="B608" s="230" t="s">
        <v>257</v>
      </c>
      <c r="C608" s="231"/>
      <c r="D608" s="232"/>
      <c r="E608" s="232">
        <f>IFERROR(__xludf.DUMMYFUNCTION("iferror(SPLIT(D608,""/""),split(""0/0"",""/""))"),0.0)</f>
        <v>0</v>
      </c>
      <c r="F608" s="232">
        <f>IFERROR(__xludf.DUMMYFUNCTION("""COMPUTED_VALUE"""),0.0)</f>
        <v>0</v>
      </c>
      <c r="G608" s="247" t="b">
        <v>0</v>
      </c>
      <c r="H608" s="242" t="str">
        <f t="shared" si="1"/>
        <v/>
      </c>
      <c r="I608" s="243" t="s">
        <v>3087</v>
      </c>
      <c r="J608" s="308" t="str">
        <f t="shared" si="2"/>
        <v>Give an Allay an Iron Sword (Right-click an Allay with an Iron Sword)</v>
      </c>
      <c r="K608" s="309"/>
      <c r="L608" s="310"/>
      <c r="M608" s="309" t="s">
        <v>3088</v>
      </c>
      <c r="N608" s="309" t="s">
        <v>3089</v>
      </c>
      <c r="O608" s="239" t="s">
        <v>1969</v>
      </c>
      <c r="P608" s="311" t="s">
        <v>2809</v>
      </c>
      <c r="Q608" s="312" t="s">
        <v>3090</v>
      </c>
      <c r="R608" s="311" t="s">
        <v>194</v>
      </c>
      <c r="S608" s="312" t="s">
        <v>3086</v>
      </c>
    </row>
    <row r="609">
      <c r="A609" s="230">
        <v>609.0</v>
      </c>
      <c r="B609" s="230" t="s">
        <v>257</v>
      </c>
      <c r="C609" s="231"/>
      <c r="D609" s="232"/>
      <c r="E609" s="232">
        <f>IFERROR(__xludf.DUMMYFUNCTION("iferror(SPLIT(D609,""/""),split(""0/0"",""/""))"),0.0)</f>
        <v>0</v>
      </c>
      <c r="F609" s="232">
        <f>IFERROR(__xludf.DUMMYFUNCTION("""COMPUTED_VALUE"""),0.0)</f>
        <v>0</v>
      </c>
      <c r="G609" s="247" t="b">
        <v>0</v>
      </c>
      <c r="H609" s="242" t="str">
        <f t="shared" si="1"/>
        <v/>
      </c>
      <c r="I609" s="246" t="s">
        <v>3091</v>
      </c>
      <c r="J609" s="308" t="str">
        <f t="shared" si="2"/>
        <v>Have an Allay deliver a potion to you in the Deep Dark (Pick up a potion that was dropped by an Allay in the Deep Dark biome or an Ancient City)</v>
      </c>
      <c r="K609" s="309" t="s">
        <v>1847</v>
      </c>
      <c r="L609" s="310"/>
      <c r="M609" s="309" t="s">
        <v>3092</v>
      </c>
      <c r="N609" s="309" t="s">
        <v>3093</v>
      </c>
      <c r="O609" s="239" t="s">
        <v>1996</v>
      </c>
      <c r="P609" s="311" t="s">
        <v>2809</v>
      </c>
      <c r="Q609" s="312" t="s">
        <v>3094</v>
      </c>
      <c r="R609" s="311" t="s">
        <v>194</v>
      </c>
      <c r="S609" s="312" t="s">
        <v>3086</v>
      </c>
    </row>
    <row r="610">
      <c r="A610" s="230">
        <v>610.0</v>
      </c>
      <c r="B610" s="230" t="s">
        <v>257</v>
      </c>
      <c r="C610" s="231"/>
      <c r="D610" s="232"/>
      <c r="E610" s="232">
        <f>IFERROR(__xludf.DUMMYFUNCTION("iferror(SPLIT(D610,""/""),split(""0/0"",""/""))"),0.0)</f>
        <v>0</v>
      </c>
      <c r="F610" s="232">
        <f>IFERROR(__xludf.DUMMYFUNCTION("""COMPUTED_VALUE"""),0.0)</f>
        <v>0</v>
      </c>
      <c r="G610" s="247" t="b">
        <v>0</v>
      </c>
      <c r="H610" s="242" t="str">
        <f t="shared" si="1"/>
        <v/>
      </c>
      <c r="I610" s="246" t="s">
        <v>3095</v>
      </c>
      <c r="J610" s="308" t="str">
        <f t="shared" si="2"/>
        <v>Play a jukebox near some Allays, then give one an Amethyst Shard and see what happens! (Duplicate an Allay by giving one an Amethyst Shard while a jukebox is playing nearby)</v>
      </c>
      <c r="K610" s="309"/>
      <c r="L610" s="310"/>
      <c r="M610" s="309" t="s">
        <v>3096</v>
      </c>
      <c r="N610" s="309" t="s">
        <v>3097</v>
      </c>
      <c r="O610" s="239" t="s">
        <v>3098</v>
      </c>
      <c r="P610" s="311" t="s">
        <v>2809</v>
      </c>
      <c r="Q610" s="312" t="s">
        <v>3099</v>
      </c>
      <c r="R610" s="311" t="s">
        <v>194</v>
      </c>
      <c r="S610" s="312" t="s">
        <v>3086</v>
      </c>
    </row>
    <row r="611">
      <c r="A611" s="230">
        <v>611.0</v>
      </c>
      <c r="B611" s="230" t="s">
        <v>257</v>
      </c>
      <c r="C611" s="231"/>
      <c r="D611" s="232"/>
      <c r="E611" s="232">
        <f>IFERROR(__xludf.DUMMYFUNCTION("iferror(SPLIT(D611,""/""),split(""0/0"",""/""))"),0.0)</f>
        <v>0</v>
      </c>
      <c r="F611" s="232">
        <f>IFERROR(__xludf.DUMMYFUNCTION("""COMPUTED_VALUE"""),0.0)</f>
        <v>0</v>
      </c>
      <c r="G611" s="247" t="b">
        <v>0</v>
      </c>
      <c r="H611" s="242" t="str">
        <f t="shared" si="1"/>
        <v/>
      </c>
      <c r="I611" s="246" t="s">
        <v>3100</v>
      </c>
      <c r="J611" s="308" t="str">
        <f t="shared" si="2"/>
        <v>Have an Allay drop a cake at a note block</v>
      </c>
      <c r="K611" s="309" t="s">
        <v>1476</v>
      </c>
      <c r="L611" s="310"/>
      <c r="M611" s="309"/>
      <c r="N611" s="309" t="s">
        <v>3101</v>
      </c>
      <c r="O611" s="239" t="s">
        <v>1867</v>
      </c>
      <c r="P611" s="311" t="s">
        <v>2809</v>
      </c>
      <c r="Q611" s="312" t="s">
        <v>3102</v>
      </c>
      <c r="R611" s="311" t="s">
        <v>194</v>
      </c>
      <c r="S611" s="312" t="s">
        <v>3086</v>
      </c>
    </row>
    <row r="612">
      <c r="A612" s="230">
        <v>612.0</v>
      </c>
      <c r="B612" s="230" t="s">
        <v>188</v>
      </c>
      <c r="C612" s="231"/>
      <c r="D612" s="232"/>
      <c r="E612" s="232">
        <f>IFERROR(__xludf.DUMMYFUNCTION("iferror(SPLIT(D612,""/""),split(""0/0"",""/""))"),0.0)</f>
        <v>0</v>
      </c>
      <c r="F612" s="232">
        <f>IFERROR(__xludf.DUMMYFUNCTION("""COMPUTED_VALUE"""),0.0)</f>
        <v>0</v>
      </c>
      <c r="G612" s="247" t="b">
        <v>0</v>
      </c>
      <c r="H612" s="242" t="str">
        <f t="shared" si="1"/>
        <v/>
      </c>
      <c r="I612" s="243" t="s">
        <v>3103</v>
      </c>
      <c r="J612" s="308" t="str">
        <f t="shared" si="2"/>
        <v>Trade with a Wandering Trader</v>
      </c>
      <c r="K612" s="309" t="s">
        <v>2637</v>
      </c>
      <c r="L612" s="310"/>
      <c r="M612" s="309"/>
      <c r="N612" s="309" t="s">
        <v>3104</v>
      </c>
      <c r="O612" s="239" t="s">
        <v>3105</v>
      </c>
      <c r="P612" s="311" t="s">
        <v>2809</v>
      </c>
      <c r="Q612" s="312" t="s">
        <v>3106</v>
      </c>
      <c r="R612" s="311" t="s">
        <v>194</v>
      </c>
      <c r="S612" s="312"/>
    </row>
    <row r="613">
      <c r="A613" s="230">
        <v>613.0</v>
      </c>
      <c r="B613" s="230" t="s">
        <v>257</v>
      </c>
      <c r="C613" s="231"/>
      <c r="D613" s="232"/>
      <c r="E613" s="232">
        <f>IFERROR(__xludf.DUMMYFUNCTION("iferror(SPLIT(D613,""/""),split(""0/0"",""/""))"),0.0)</f>
        <v>0</v>
      </c>
      <c r="F613" s="232">
        <f>IFERROR(__xludf.DUMMYFUNCTION("""COMPUTED_VALUE"""),0.0)</f>
        <v>0</v>
      </c>
      <c r="G613" s="233" t="b">
        <v>0</v>
      </c>
      <c r="H613" s="242" t="str">
        <f t="shared" si="1"/>
        <v/>
      </c>
      <c r="I613" s="246" t="s">
        <v>43</v>
      </c>
      <c r="J613" s="308" t="str">
        <f t="shared" si="2"/>
        <v>Trade with the Wandering Trader while he is invisible</v>
      </c>
      <c r="K613" s="309" t="s">
        <v>3107</v>
      </c>
      <c r="L613" s="310"/>
      <c r="M613" s="309"/>
      <c r="N613" s="309" t="s">
        <v>3108</v>
      </c>
      <c r="O613" s="239" t="s">
        <v>1996</v>
      </c>
      <c r="P613" s="311" t="s">
        <v>2809</v>
      </c>
      <c r="Q613" s="312" t="s">
        <v>3109</v>
      </c>
      <c r="R613" s="311" t="s">
        <v>194</v>
      </c>
      <c r="S613" s="311" t="s">
        <v>28</v>
      </c>
    </row>
    <row r="614">
      <c r="A614" s="230">
        <v>614.0</v>
      </c>
      <c r="B614" s="230" t="s">
        <v>257</v>
      </c>
      <c r="C614" s="231"/>
      <c r="D614" s="232"/>
      <c r="E614" s="232">
        <f>IFERROR(__xludf.DUMMYFUNCTION("iferror(SPLIT(D614,""/""),split(""0/0"",""/""))"),0.0)</f>
        <v>0</v>
      </c>
      <c r="F614" s="232">
        <f>IFERROR(__xludf.DUMMYFUNCTION("""COMPUTED_VALUE"""),0.0)</f>
        <v>0</v>
      </c>
      <c r="G614" s="247" t="b">
        <v>0</v>
      </c>
      <c r="H614" s="242" t="str">
        <f t="shared" si="1"/>
        <v/>
      </c>
      <c r="I614" s="243" t="s">
        <v>47</v>
      </c>
      <c r="J614" s="308" t="str">
        <f t="shared" si="2"/>
        <v>Trade for a flower from the Wandering Trader</v>
      </c>
      <c r="K614" s="309"/>
      <c r="L614" s="310"/>
      <c r="M614" s="309"/>
      <c r="N614" s="309" t="s">
        <v>3110</v>
      </c>
      <c r="O614" s="239" t="s">
        <v>3111</v>
      </c>
      <c r="P614" s="311" t="s">
        <v>2809</v>
      </c>
      <c r="Q614" s="312" t="s">
        <v>3112</v>
      </c>
      <c r="R614" s="311" t="s">
        <v>194</v>
      </c>
      <c r="S614" s="311" t="s">
        <v>28</v>
      </c>
    </row>
    <row r="615">
      <c r="A615" s="230">
        <v>615.0</v>
      </c>
      <c r="B615" s="230" t="s">
        <v>257</v>
      </c>
      <c r="C615" s="231"/>
      <c r="D615" s="232"/>
      <c r="E615" s="232">
        <f>IFERROR(__xludf.DUMMYFUNCTION("iferror(SPLIT(D615,""/""),split(""0/0"",""/""))"),0.0)</f>
        <v>0</v>
      </c>
      <c r="F615" s="232">
        <f>IFERROR(__xludf.DUMMYFUNCTION("""COMPUTED_VALUE"""),0.0)</f>
        <v>0</v>
      </c>
      <c r="G615" s="247" t="b">
        <v>0</v>
      </c>
      <c r="H615" s="242" t="str">
        <f t="shared" si="1"/>
        <v/>
      </c>
      <c r="I615" s="276" t="s">
        <v>51</v>
      </c>
      <c r="J615" s="308" t="str">
        <f t="shared" si="2"/>
        <v>Trade for a coral block from the Wandering Trader</v>
      </c>
      <c r="K615" s="309" t="s">
        <v>3113</v>
      </c>
      <c r="L615" s="310"/>
      <c r="M615" s="309"/>
      <c r="N615" s="309" t="s">
        <v>3114</v>
      </c>
      <c r="O615" s="239" t="s">
        <v>3115</v>
      </c>
      <c r="P615" s="311" t="s">
        <v>2809</v>
      </c>
      <c r="Q615" s="312" t="s">
        <v>3116</v>
      </c>
      <c r="R615" s="311" t="s">
        <v>194</v>
      </c>
      <c r="S615" s="311" t="s">
        <v>28</v>
      </c>
    </row>
    <row r="616">
      <c r="A616" s="230">
        <v>616.0</v>
      </c>
      <c r="B616" s="230" t="s">
        <v>257</v>
      </c>
      <c r="C616" s="231"/>
      <c r="D616" s="232"/>
      <c r="E616" s="232">
        <f>IFERROR(__xludf.DUMMYFUNCTION("iferror(SPLIT(D616,""/""),split(""0/0"",""/""))"),0.0)</f>
        <v>0</v>
      </c>
      <c r="F616" s="232">
        <f>IFERROR(__xludf.DUMMYFUNCTION("""COMPUTED_VALUE"""),0.0)</f>
        <v>0</v>
      </c>
      <c r="G616" s="233" t="b">
        <v>0</v>
      </c>
      <c r="H616" s="242" t="str">
        <f t="shared" si="1"/>
        <v/>
      </c>
      <c r="I616" s="243" t="s">
        <v>3117</v>
      </c>
      <c r="J616" s="308" t="str">
        <f t="shared" si="2"/>
        <v>Get spat at by one of the Trader Llamas (Get damaged by a Trader Llama)</v>
      </c>
      <c r="K616" s="309"/>
      <c r="L616" s="310"/>
      <c r="M616" s="309" t="s">
        <v>3118</v>
      </c>
      <c r="N616" s="309" t="s">
        <v>3119</v>
      </c>
      <c r="O616" s="239" t="s">
        <v>3120</v>
      </c>
      <c r="P616" s="311" t="s">
        <v>2809</v>
      </c>
      <c r="Q616" s="312" t="s">
        <v>3121</v>
      </c>
      <c r="R616" s="311" t="s">
        <v>194</v>
      </c>
      <c r="S616" s="312" t="s">
        <v>1276</v>
      </c>
    </row>
    <row r="617">
      <c r="A617" s="230">
        <v>617.0</v>
      </c>
      <c r="B617" s="230" t="s">
        <v>188</v>
      </c>
      <c r="C617" s="231"/>
      <c r="D617" s="232"/>
      <c r="E617" s="232">
        <f>IFERROR(__xludf.DUMMYFUNCTION("iferror(SPLIT(D617,""/""),split(""0/0"",""/""))"),0.0)</f>
        <v>0</v>
      </c>
      <c r="F617" s="232">
        <f>IFERROR(__xludf.DUMMYFUNCTION("""COMPUTED_VALUE"""),0.0)</f>
        <v>0</v>
      </c>
      <c r="G617" s="247" t="b">
        <v>0</v>
      </c>
      <c r="H617" s="242" t="str">
        <f t="shared" si="1"/>
        <v/>
      </c>
      <c r="I617" s="243" t="s">
        <v>3122</v>
      </c>
      <c r="J617" s="308" t="str">
        <f t="shared" si="2"/>
        <v>Find an NPC village (Enter a village)</v>
      </c>
      <c r="K617" s="309"/>
      <c r="L617" s="310"/>
      <c r="M617" s="309" t="s">
        <v>3123</v>
      </c>
      <c r="N617" s="309" t="s">
        <v>3124</v>
      </c>
      <c r="O617" s="239" t="s">
        <v>759</v>
      </c>
      <c r="P617" s="311" t="s">
        <v>2809</v>
      </c>
      <c r="Q617" s="312" t="s">
        <v>3125</v>
      </c>
      <c r="R617" s="311" t="s">
        <v>194</v>
      </c>
      <c r="S617" s="312"/>
    </row>
    <row r="618">
      <c r="A618" s="230">
        <v>618.0</v>
      </c>
      <c r="B618" s="230" t="s">
        <v>206</v>
      </c>
      <c r="C618" s="231"/>
      <c r="D618" s="232"/>
      <c r="E618" s="232">
        <f>IFERROR(__xludf.DUMMYFUNCTION("iferror(SPLIT(D618,""/""),split(""0/0"",""/""))"),0.0)</f>
        <v>0</v>
      </c>
      <c r="F618" s="232">
        <f>IFERROR(__xludf.DUMMYFUNCTION("""COMPUTED_VALUE"""),0.0)</f>
        <v>0</v>
      </c>
      <c r="G618" s="233" t="b">
        <v>0</v>
      </c>
      <c r="H618" s="242" t="str">
        <f t="shared" si="1"/>
        <v/>
      </c>
      <c r="I618" s="243" t="s">
        <v>3126</v>
      </c>
      <c r="J618" s="308" t="str">
        <f t="shared" si="2"/>
        <v>Ring a bell in a village (Ring a bell that is within the bounding box of a village structure. Also works with Fortified Villages in Terralith)</v>
      </c>
      <c r="K618" s="309"/>
      <c r="L618" s="310"/>
      <c r="M618" s="309" t="s">
        <v>3127</v>
      </c>
      <c r="N618" s="309" t="s">
        <v>3128</v>
      </c>
      <c r="O618" s="239" t="s">
        <v>3021</v>
      </c>
      <c r="P618" s="311" t="s">
        <v>2809</v>
      </c>
      <c r="Q618" s="312" t="s">
        <v>3129</v>
      </c>
      <c r="R618" s="311" t="s">
        <v>194</v>
      </c>
      <c r="S618" s="312"/>
    </row>
    <row r="619">
      <c r="A619" s="230">
        <v>619.0</v>
      </c>
      <c r="B619" s="230" t="s">
        <v>188</v>
      </c>
      <c r="C619" s="231"/>
      <c r="D619" s="232"/>
      <c r="E619" s="232">
        <f>IFERROR(__xludf.DUMMYFUNCTION("iferror(SPLIT(D619,""/""),split(""0/0"",""/""))"),0.0)</f>
        <v>0</v>
      </c>
      <c r="F619" s="232">
        <f>IFERROR(__xludf.DUMMYFUNCTION("""COMPUTED_VALUE"""),0.0)</f>
        <v>0</v>
      </c>
      <c r="G619" s="247" t="b">
        <v>0</v>
      </c>
      <c r="H619" s="242" t="str">
        <f t="shared" si="1"/>
        <v/>
      </c>
      <c r="I619" s="246" t="s">
        <v>3130</v>
      </c>
      <c r="J619" s="308" t="str">
        <f t="shared" si="2"/>
        <v>Find Tall Grass or a Large Fern inside a village chest (Obtain Tall Grass or a Large Fern (double-tall grass or ferns))</v>
      </c>
      <c r="K619" s="309"/>
      <c r="L619" s="310"/>
      <c r="M619" s="309" t="s">
        <v>3131</v>
      </c>
      <c r="N619" s="309" t="s">
        <v>3132</v>
      </c>
      <c r="O619" s="239" t="s">
        <v>3133</v>
      </c>
      <c r="P619" s="311" t="s">
        <v>2809</v>
      </c>
      <c r="Q619" s="312" t="s">
        <v>3134</v>
      </c>
      <c r="R619" s="311" t="s">
        <v>194</v>
      </c>
      <c r="S619" s="312"/>
    </row>
    <row r="620">
      <c r="A620" s="230">
        <v>620.0</v>
      </c>
      <c r="B620" s="230" t="s">
        <v>188</v>
      </c>
      <c r="C620" s="231"/>
      <c r="D620" s="232"/>
      <c r="E620" s="232">
        <f>IFERROR(__xludf.DUMMYFUNCTION("iferror(SPLIT(D620,""/""),split(""0/0"",""/""))"),0.0)</f>
        <v>0</v>
      </c>
      <c r="F620" s="232">
        <f>IFERROR(__xludf.DUMMYFUNCTION("""COMPUTED_VALUE"""),0.0)</f>
        <v>0</v>
      </c>
      <c r="G620" s="247" t="b">
        <v>0</v>
      </c>
      <c r="H620" s="242" t="str">
        <f t="shared" si="1"/>
        <v/>
      </c>
      <c r="I620" s="243" t="s">
        <v>3135</v>
      </c>
      <c r="J620" s="308" t="str">
        <f t="shared" si="2"/>
        <v>Succesfully trade with a villager</v>
      </c>
      <c r="K620" s="309" t="s">
        <v>2637</v>
      </c>
      <c r="L620" s="310"/>
      <c r="M620" s="309"/>
      <c r="N620" s="309" t="s">
        <v>3136</v>
      </c>
      <c r="O620" s="239" t="s">
        <v>2073</v>
      </c>
      <c r="P620" s="311" t="s">
        <v>2809</v>
      </c>
      <c r="Q620" s="312" t="s">
        <v>3137</v>
      </c>
      <c r="R620" s="311" t="s">
        <v>194</v>
      </c>
      <c r="S620" s="312"/>
    </row>
    <row r="621">
      <c r="A621" s="230">
        <v>621.0</v>
      </c>
      <c r="B621" s="230" t="s">
        <v>188</v>
      </c>
      <c r="C621" s="231"/>
      <c r="D621" s="232"/>
      <c r="E621" s="232">
        <f>IFERROR(__xludf.DUMMYFUNCTION("iferror(SPLIT(D621,""/""),split(""0/0"",""/""))"),0.0)</f>
        <v>0</v>
      </c>
      <c r="F621" s="232">
        <f>IFERROR(__xludf.DUMMYFUNCTION("""COMPUTED_VALUE"""),0.0)</f>
        <v>0</v>
      </c>
      <c r="G621" s="247" t="b">
        <v>0</v>
      </c>
      <c r="H621" s="242" t="str">
        <f t="shared" si="1"/>
        <v/>
      </c>
      <c r="I621" s="243" t="s">
        <v>3138</v>
      </c>
      <c r="J621" s="308" t="str">
        <f t="shared" si="2"/>
        <v>Tame a stray cat in a village</v>
      </c>
      <c r="K621" s="309" t="s">
        <v>3139</v>
      </c>
      <c r="L621" s="310"/>
      <c r="M621" s="309"/>
      <c r="N621" s="309" t="s">
        <v>3140</v>
      </c>
      <c r="O621" s="239" t="s">
        <v>2184</v>
      </c>
      <c r="P621" s="311" t="s">
        <v>2809</v>
      </c>
      <c r="Q621" s="312" t="s">
        <v>3141</v>
      </c>
      <c r="R621" s="311" t="s">
        <v>194</v>
      </c>
      <c r="S621" s="312"/>
    </row>
    <row r="622">
      <c r="A622" s="230">
        <v>622.0</v>
      </c>
      <c r="B622" s="230" t="s">
        <v>188</v>
      </c>
      <c r="C622" s="231"/>
      <c r="D622" s="232"/>
      <c r="E622" s="232">
        <f>IFERROR(__xludf.DUMMYFUNCTION("iferror(SPLIT(D622,""/""),split(""0/0"",""/""))"),0.0)</f>
        <v>0</v>
      </c>
      <c r="F622" s="232">
        <f>IFERROR(__xludf.DUMMYFUNCTION("""COMPUTED_VALUE"""),0.0)</f>
        <v>0</v>
      </c>
      <c r="G622" s="247" t="b">
        <v>0</v>
      </c>
      <c r="H622" s="242" t="str">
        <f t="shared" si="1"/>
        <v/>
      </c>
      <c r="I622" s="243" t="s">
        <v>3142</v>
      </c>
      <c r="J622" s="308" t="str">
        <f t="shared" si="2"/>
        <v>Breed two cats together to get a kitty!</v>
      </c>
      <c r="K622" s="309" t="s">
        <v>2094</v>
      </c>
      <c r="L622" s="310"/>
      <c r="M622" s="309"/>
      <c r="N622" s="309" t="s">
        <v>3143</v>
      </c>
      <c r="O622" s="239" t="s">
        <v>3144</v>
      </c>
      <c r="P622" s="311" t="s">
        <v>2809</v>
      </c>
      <c r="Q622" s="312" t="s">
        <v>3145</v>
      </c>
      <c r="R622" s="311" t="s">
        <v>194</v>
      </c>
      <c r="S622" s="312"/>
    </row>
    <row r="623">
      <c r="A623" s="230">
        <v>623.0</v>
      </c>
      <c r="B623" s="230" t="s">
        <v>257</v>
      </c>
      <c r="C623" s="231"/>
      <c r="D623" s="232"/>
      <c r="E623" s="232">
        <f>IFERROR(__xludf.DUMMYFUNCTION("iferror(SPLIT(D623,""/""),split(""0/0"",""/""))"),0.0)</f>
        <v>0</v>
      </c>
      <c r="F623" s="232">
        <f>IFERROR(__xludf.DUMMYFUNCTION("""COMPUTED_VALUE"""),0.0)</f>
        <v>0</v>
      </c>
      <c r="G623" s="247" t="b">
        <v>0</v>
      </c>
      <c r="H623" s="242" t="str">
        <f t="shared" si="1"/>
        <v/>
      </c>
      <c r="I623" s="249" t="s">
        <v>3146</v>
      </c>
      <c r="J623" s="308" t="str">
        <f t="shared" si="2"/>
        <v>Tame all cat variants! (See requirement notes below)</v>
      </c>
      <c r="K623" s="309"/>
      <c r="L623" s="310"/>
      <c r="M623" s="313" t="s">
        <v>238</v>
      </c>
      <c r="N623" s="309" t="s">
        <v>3147</v>
      </c>
      <c r="O623" s="239" t="s">
        <v>2180</v>
      </c>
      <c r="P623" s="311" t="s">
        <v>2809</v>
      </c>
      <c r="Q623" s="312" t="s">
        <v>3148</v>
      </c>
      <c r="R623" s="311" t="s">
        <v>194</v>
      </c>
      <c r="S623" s="311" t="s">
        <v>1661</v>
      </c>
    </row>
    <row r="624">
      <c r="A624" s="230">
        <v>624.0</v>
      </c>
      <c r="B624" s="230" t="s">
        <v>188</v>
      </c>
      <c r="C624" s="231"/>
      <c r="D624" s="232"/>
      <c r="E624" s="232">
        <f>IFERROR(__xludf.DUMMYFUNCTION("iferror(SPLIT(D624,""/""),split(""0/0"",""/""))"),0.0)</f>
        <v>0</v>
      </c>
      <c r="F624" s="232">
        <f>IFERROR(__xludf.DUMMYFUNCTION("""COMPUTED_VALUE"""),0.0)</f>
        <v>0</v>
      </c>
      <c r="G624" s="247" t="b">
        <v>0</v>
      </c>
      <c r="H624" s="242" t="str">
        <f t="shared" si="1"/>
        <v/>
      </c>
      <c r="I624" s="246" t="s">
        <v>3149</v>
      </c>
      <c r="J624" s="308" t="str">
        <f t="shared" si="2"/>
        <v>Summon an Iron Golem to help defend a village</v>
      </c>
      <c r="K624" s="309" t="s">
        <v>3150</v>
      </c>
      <c r="L624" s="310"/>
      <c r="M624" s="309"/>
      <c r="N624" s="309" t="s">
        <v>3151</v>
      </c>
      <c r="O624" s="239" t="s">
        <v>551</v>
      </c>
      <c r="P624" s="311" t="s">
        <v>2809</v>
      </c>
      <c r="Q624" s="312" t="s">
        <v>3152</v>
      </c>
      <c r="R624" s="311" t="s">
        <v>194</v>
      </c>
      <c r="S624" s="312"/>
    </row>
    <row r="625">
      <c r="A625" s="230">
        <v>625.0</v>
      </c>
      <c r="B625" s="230" t="s">
        <v>206</v>
      </c>
      <c r="C625" s="231"/>
      <c r="D625" s="232"/>
      <c r="E625" s="232">
        <f>IFERROR(__xludf.DUMMYFUNCTION("iferror(SPLIT(D625,""/""),split(""0/0"",""/""))"),0.0)</f>
        <v>0</v>
      </c>
      <c r="F625" s="232">
        <f>IFERROR(__xludf.DUMMYFUNCTION("""COMPUTED_VALUE"""),0.0)</f>
        <v>0</v>
      </c>
      <c r="G625" s="247" t="b">
        <v>0</v>
      </c>
      <c r="H625" s="242" t="str">
        <f t="shared" si="1"/>
        <v/>
      </c>
      <c r="I625" s="243" t="s">
        <v>3153</v>
      </c>
      <c r="J625" s="308" t="str">
        <f t="shared" si="2"/>
        <v>Use an Iron Ingot to repair a damaged Iron Golem</v>
      </c>
      <c r="K625" s="309" t="s">
        <v>314</v>
      </c>
      <c r="L625" s="310"/>
      <c r="M625" s="309"/>
      <c r="N625" s="309" t="s">
        <v>3154</v>
      </c>
      <c r="O625" s="239" t="s">
        <v>521</v>
      </c>
      <c r="P625" s="311" t="s">
        <v>2809</v>
      </c>
      <c r="Q625" s="312" t="s">
        <v>3155</v>
      </c>
      <c r="R625" s="311" t="s">
        <v>194</v>
      </c>
      <c r="S625" s="312"/>
    </row>
    <row r="626">
      <c r="A626" s="230">
        <v>626.0</v>
      </c>
      <c r="B626" s="230" t="s">
        <v>188</v>
      </c>
      <c r="C626" s="231"/>
      <c r="D626" s="232"/>
      <c r="E626" s="232">
        <f>IFERROR(__xludf.DUMMYFUNCTION("iferror(SPLIT(D626,""/""),split(""0/0"",""/""))"),0.0)</f>
        <v>0</v>
      </c>
      <c r="F626" s="232">
        <f>IFERROR(__xludf.DUMMYFUNCTION("""COMPUTED_VALUE"""),0.0)</f>
        <v>0</v>
      </c>
      <c r="G626" s="247" t="b">
        <v>0</v>
      </c>
      <c r="H626" s="242" t="str">
        <f t="shared" si="1"/>
        <v/>
      </c>
      <c r="I626" s="243" t="s">
        <v>3156</v>
      </c>
      <c r="J626" s="308" t="str">
        <f t="shared" si="2"/>
        <v>Kill a villager</v>
      </c>
      <c r="K626" s="309"/>
      <c r="L626" s="310"/>
      <c r="M626" s="309"/>
      <c r="N626" s="309" t="s">
        <v>3157</v>
      </c>
      <c r="O626" s="239" t="s">
        <v>1969</v>
      </c>
      <c r="P626" s="311" t="s">
        <v>2809</v>
      </c>
      <c r="Q626" s="312" t="s">
        <v>3158</v>
      </c>
      <c r="R626" s="311" t="s">
        <v>194</v>
      </c>
      <c r="S626" s="312"/>
    </row>
    <row r="627">
      <c r="A627" s="230">
        <v>627.0</v>
      </c>
      <c r="B627" s="230" t="s">
        <v>188</v>
      </c>
      <c r="C627" s="231"/>
      <c r="D627" s="232"/>
      <c r="E627" s="232">
        <f>IFERROR(__xludf.DUMMYFUNCTION("iferror(SPLIT(D627,""/""),split(""0/0"",""/""))"),0.0)</f>
        <v>0</v>
      </c>
      <c r="F627" s="232">
        <f>IFERROR(__xludf.DUMMYFUNCTION("""COMPUTED_VALUE"""),0.0)</f>
        <v>0</v>
      </c>
      <c r="G627" s="247" t="b">
        <v>0</v>
      </c>
      <c r="H627" s="242" t="str">
        <f t="shared" si="1"/>
        <v/>
      </c>
      <c r="I627" s="243" t="s">
        <v>3159</v>
      </c>
      <c r="J627" s="308" t="str">
        <f t="shared" si="2"/>
        <v>Get killed by a natural iron golem defending its village</v>
      </c>
      <c r="K627" s="309"/>
      <c r="L627" s="310"/>
      <c r="M627" s="309"/>
      <c r="N627" s="309" t="s">
        <v>3160</v>
      </c>
      <c r="O627" s="239" t="s">
        <v>1206</v>
      </c>
      <c r="P627" s="311" t="s">
        <v>2809</v>
      </c>
      <c r="Q627" s="312" t="s">
        <v>3161</v>
      </c>
      <c r="R627" s="311" t="s">
        <v>194</v>
      </c>
      <c r="S627" s="312"/>
    </row>
    <row r="628">
      <c r="A628" s="230">
        <v>628.0</v>
      </c>
      <c r="B628" s="230" t="s">
        <v>283</v>
      </c>
      <c r="C628" s="231"/>
      <c r="D628" s="232"/>
      <c r="E628" s="232">
        <f>IFERROR(__xludf.DUMMYFUNCTION("iferror(SPLIT(D628,""/""),split(""0/0"",""/""))"),0.0)</f>
        <v>0</v>
      </c>
      <c r="F628" s="232">
        <f>IFERROR(__xludf.DUMMYFUNCTION("""COMPUTED_VALUE"""),0.0)</f>
        <v>0</v>
      </c>
      <c r="G628" s="247" t="b">
        <v>0</v>
      </c>
      <c r="H628" s="242" t="str">
        <f t="shared" si="1"/>
        <v/>
      </c>
      <c r="I628" s="249" t="s">
        <v>3162</v>
      </c>
      <c r="J628" s="308" t="str">
        <f t="shared" si="2"/>
        <v>Murder one of every villager profession using a crossbow (See requirement notes below)</v>
      </c>
      <c r="K628" s="309" t="s">
        <v>3049</v>
      </c>
      <c r="L628" s="310"/>
      <c r="M628" s="313" t="s">
        <v>238</v>
      </c>
      <c r="N628" s="309" t="s">
        <v>3163</v>
      </c>
      <c r="O628" s="239" t="s">
        <v>2283</v>
      </c>
      <c r="P628" s="311" t="s">
        <v>2809</v>
      </c>
      <c r="Q628" s="312" t="s">
        <v>3164</v>
      </c>
      <c r="R628" s="311" t="s">
        <v>194</v>
      </c>
      <c r="S628" s="312" t="s">
        <v>3165</v>
      </c>
    </row>
    <row r="629">
      <c r="A629" s="230">
        <v>629.0</v>
      </c>
      <c r="B629" s="230" t="s">
        <v>188</v>
      </c>
      <c r="C629" s="231"/>
      <c r="D629" s="232"/>
      <c r="E629" s="232">
        <f>IFERROR(__xludf.DUMMYFUNCTION("iferror(SPLIT(D629,""/""),split(""0/0"",""/""))"),0.0)</f>
        <v>0</v>
      </c>
      <c r="F629" s="232">
        <f>IFERROR(__xludf.DUMMYFUNCTION("""COMPUTED_VALUE"""),0.0)</f>
        <v>0</v>
      </c>
      <c r="G629" s="247" t="b">
        <v>0</v>
      </c>
      <c r="H629" s="242" t="str">
        <f t="shared" si="1"/>
        <v/>
      </c>
      <c r="I629" s="246" t="s">
        <v>3166</v>
      </c>
      <c r="J629" s="308" t="str">
        <f t="shared" si="2"/>
        <v>Make 64 emeralds (Obtain 64 Emeralds)</v>
      </c>
      <c r="K629" s="309" t="s">
        <v>480</v>
      </c>
      <c r="L629" s="310"/>
      <c r="M629" s="309" t="s">
        <v>3167</v>
      </c>
      <c r="N629" s="309" t="s">
        <v>3168</v>
      </c>
      <c r="O629" s="239" t="s">
        <v>2073</v>
      </c>
      <c r="P629" s="311" t="s">
        <v>2809</v>
      </c>
      <c r="Q629" s="312" t="s">
        <v>3169</v>
      </c>
      <c r="R629" s="311" t="s">
        <v>194</v>
      </c>
      <c r="S629" s="312"/>
    </row>
    <row r="630">
      <c r="A630" s="230">
        <v>630.0</v>
      </c>
      <c r="B630" s="230" t="s">
        <v>188</v>
      </c>
      <c r="C630" s="231"/>
      <c r="D630" s="232"/>
      <c r="E630" s="232">
        <f>IFERROR(__xludf.DUMMYFUNCTION("iferror(SPLIT(D630,""/""),split(""0/0"",""/""))"),0.0)</f>
        <v>0</v>
      </c>
      <c r="F630" s="232">
        <f>IFERROR(__xludf.DUMMYFUNCTION("""COMPUTED_VALUE"""),0.0)</f>
        <v>0</v>
      </c>
      <c r="G630" s="247" t="b">
        <v>0</v>
      </c>
      <c r="H630" s="242" t="str">
        <f t="shared" si="1"/>
        <v/>
      </c>
      <c r="I630" s="249" t="s">
        <v>3170</v>
      </c>
      <c r="J630" s="308" t="str">
        <f t="shared" si="2"/>
        <v>Make 64 emerald blocks (Obtain 64 Emerald Blocks)</v>
      </c>
      <c r="K630" s="309" t="s">
        <v>3171</v>
      </c>
      <c r="L630" s="310"/>
      <c r="M630" s="309" t="s">
        <v>3172</v>
      </c>
      <c r="N630" s="309" t="s">
        <v>3173</v>
      </c>
      <c r="O630" s="239" t="s">
        <v>3070</v>
      </c>
      <c r="P630" s="311" t="s">
        <v>2809</v>
      </c>
      <c r="Q630" s="312" t="s">
        <v>3174</v>
      </c>
      <c r="R630" s="311" t="s">
        <v>194</v>
      </c>
      <c r="S630" s="312"/>
    </row>
    <row r="631">
      <c r="A631" s="230">
        <v>631.0</v>
      </c>
      <c r="B631" s="230" t="s">
        <v>257</v>
      </c>
      <c r="C631" s="231"/>
      <c r="D631" s="232"/>
      <c r="E631" s="232">
        <f>IFERROR(__xludf.DUMMYFUNCTION("iferror(SPLIT(D631,""/""),split(""0/0"",""/""))"),0.0)</f>
        <v>0</v>
      </c>
      <c r="F631" s="232">
        <f>IFERROR(__xludf.DUMMYFUNCTION("""COMPUTED_VALUE"""),0.0)</f>
        <v>0</v>
      </c>
      <c r="G631" s="247" t="b">
        <v>0</v>
      </c>
      <c r="H631" s="242" t="str">
        <f t="shared" si="1"/>
        <v/>
      </c>
      <c r="I631" s="246" t="s">
        <v>3175</v>
      </c>
      <c r="J631" s="308" t="str">
        <f t="shared" si="2"/>
        <v>Use a Spyglass to look at two Villagers sitting in a Boat from at least 50 blocks away (Use a spyglass to look at a boat with two villager passengers in it)</v>
      </c>
      <c r="K631" s="309"/>
      <c r="L631" s="310"/>
      <c r="M631" s="309" t="s">
        <v>3176</v>
      </c>
      <c r="N631" s="309" t="s">
        <v>3177</v>
      </c>
      <c r="O631" s="239" t="s">
        <v>3178</v>
      </c>
      <c r="P631" s="311" t="s">
        <v>2809</v>
      </c>
      <c r="Q631" s="312" t="s">
        <v>3179</v>
      </c>
      <c r="R631" s="311" t="s">
        <v>194</v>
      </c>
      <c r="S631" s="311" t="s">
        <v>267</v>
      </c>
    </row>
    <row r="632">
      <c r="A632" s="230">
        <v>632.0</v>
      </c>
      <c r="B632" s="230" t="s">
        <v>188</v>
      </c>
      <c r="C632" s="231"/>
      <c r="D632" s="232"/>
      <c r="E632" s="232">
        <f>IFERROR(__xludf.DUMMYFUNCTION("iferror(SPLIT(D632,""/""),split(""0/0"",""/""))"),0.0)</f>
        <v>0</v>
      </c>
      <c r="F632" s="232">
        <f>IFERROR(__xludf.DUMMYFUNCTION("""COMPUTED_VALUE"""),0.0)</f>
        <v>0</v>
      </c>
      <c r="G632" s="247" t="b">
        <v>0</v>
      </c>
      <c r="H632" s="242" t="str">
        <f t="shared" si="1"/>
        <v/>
      </c>
      <c r="I632" s="246" t="s">
        <v>3180</v>
      </c>
      <c r="J632" s="308" t="str">
        <f t="shared" si="2"/>
        <v>Travel to every type of village and trade with a villager in each (Trade with a villager from: Plains, Desert, Savanna, Taiga and Snow)</v>
      </c>
      <c r="K632" s="309" t="s">
        <v>3181</v>
      </c>
      <c r="L632" s="310"/>
      <c r="M632" s="309" t="s">
        <v>3182</v>
      </c>
      <c r="N632" s="309" t="s">
        <v>3183</v>
      </c>
      <c r="O632" s="239" t="s">
        <v>1078</v>
      </c>
      <c r="P632" s="311" t="s">
        <v>2809</v>
      </c>
      <c r="Q632" s="312" t="s">
        <v>3184</v>
      </c>
      <c r="R632" s="311" t="s">
        <v>194</v>
      </c>
      <c r="S632" s="312"/>
    </row>
    <row r="633">
      <c r="A633" s="230">
        <v>633.0</v>
      </c>
      <c r="B633" s="230" t="s">
        <v>188</v>
      </c>
      <c r="C633" s="231"/>
      <c r="D633" s="232"/>
      <c r="E633" s="232">
        <f>IFERROR(__xludf.DUMMYFUNCTION("iferror(SPLIT(D633,""/""),split(""0/0"",""/""))"),0.0)</f>
        <v>0</v>
      </c>
      <c r="F633" s="232">
        <f>IFERROR(__xludf.DUMMYFUNCTION("""COMPUTED_VALUE"""),0.0)</f>
        <v>0</v>
      </c>
      <c r="G633" s="247" t="b">
        <v>0</v>
      </c>
      <c r="H633" s="242" t="str">
        <f t="shared" si="1"/>
        <v/>
      </c>
      <c r="I633" s="243" t="s">
        <v>3185</v>
      </c>
      <c r="J633" s="308" t="str">
        <f t="shared" si="2"/>
        <v>Trade for a new bell to establish a new village</v>
      </c>
      <c r="K633" s="309" t="s">
        <v>3181</v>
      </c>
      <c r="L633" s="310"/>
      <c r="M633" s="309"/>
      <c r="N633" s="309" t="s">
        <v>3186</v>
      </c>
      <c r="O633" s="239" t="s">
        <v>3021</v>
      </c>
      <c r="P633" s="311" t="s">
        <v>2809</v>
      </c>
      <c r="Q633" s="312" t="s">
        <v>3187</v>
      </c>
      <c r="R633" s="311" t="s">
        <v>194</v>
      </c>
      <c r="S633" s="312"/>
    </row>
    <row r="634">
      <c r="A634" s="230">
        <v>634.0</v>
      </c>
      <c r="B634" s="230" t="s">
        <v>283</v>
      </c>
      <c r="C634" s="231"/>
      <c r="D634" s="232"/>
      <c r="E634" s="232">
        <f>IFERROR(__xludf.DUMMYFUNCTION("iferror(SPLIT(D634,""/""),split(""0/0"",""/""))"),0.0)</f>
        <v>0</v>
      </c>
      <c r="F634" s="232">
        <f>IFERROR(__xludf.DUMMYFUNCTION("""COMPUTED_VALUE"""),0.0)</f>
        <v>0</v>
      </c>
      <c r="G634" s="247" t="b">
        <v>0</v>
      </c>
      <c r="H634" s="242" t="str">
        <f t="shared" si="1"/>
        <v/>
      </c>
      <c r="I634" s="246" t="s">
        <v>3188</v>
      </c>
      <c r="J634" s="308" t="str">
        <f t="shared" si="2"/>
        <v>Craft and place every type of villager workstation (See requirement notes below)</v>
      </c>
      <c r="K634" s="309" t="s">
        <v>3181</v>
      </c>
      <c r="L634" s="310"/>
      <c r="M634" s="313" t="s">
        <v>238</v>
      </c>
      <c r="N634" s="309" t="s">
        <v>3189</v>
      </c>
      <c r="O634" s="239" t="s">
        <v>1288</v>
      </c>
      <c r="P634" s="311" t="s">
        <v>2809</v>
      </c>
      <c r="Q634" s="312" t="s">
        <v>3190</v>
      </c>
      <c r="R634" s="311" t="s">
        <v>194</v>
      </c>
      <c r="S634" s="312" t="s">
        <v>290</v>
      </c>
    </row>
    <row r="635">
      <c r="A635" s="230">
        <v>635.0</v>
      </c>
      <c r="B635" s="230" t="s">
        <v>188</v>
      </c>
      <c r="C635" s="231"/>
      <c r="D635" s="232"/>
      <c r="E635" s="232">
        <f>IFERROR(__xludf.DUMMYFUNCTION("iferror(SPLIT(D635,""/""),split(""0/0"",""/""))"),0.0)</f>
        <v>0</v>
      </c>
      <c r="F635" s="232">
        <f>IFERROR(__xludf.DUMMYFUNCTION("""COMPUTED_VALUE"""),0.0)</f>
        <v>0</v>
      </c>
      <c r="G635" s="247" t="b">
        <v>0</v>
      </c>
      <c r="H635" s="242" t="str">
        <f t="shared" si="1"/>
        <v/>
      </c>
      <c r="I635" s="249" t="s">
        <v>3191</v>
      </c>
      <c r="J635" s="308" t="str">
        <f t="shared" si="2"/>
        <v>Craft a stack of all the villager job site blocks (See requirement notes below)</v>
      </c>
      <c r="K635" s="309" t="s">
        <v>3049</v>
      </c>
      <c r="L635" s="310"/>
      <c r="M635" s="313" t="s">
        <v>238</v>
      </c>
      <c r="N635" s="309" t="s">
        <v>3192</v>
      </c>
      <c r="O635" s="239" t="s">
        <v>3193</v>
      </c>
      <c r="P635" s="311" t="s">
        <v>2809</v>
      </c>
      <c r="Q635" s="312" t="s">
        <v>3194</v>
      </c>
      <c r="R635" s="311" t="s">
        <v>194</v>
      </c>
      <c r="S635" s="312"/>
    </row>
    <row r="636">
      <c r="A636" s="230">
        <v>636.0</v>
      </c>
      <c r="B636" s="230" t="s">
        <v>188</v>
      </c>
      <c r="C636" s="231"/>
      <c r="D636" s="232"/>
      <c r="E636" s="232">
        <f>IFERROR(__xludf.DUMMYFUNCTION("iferror(SPLIT(D636,""/""),split(""0/0"",""/""))"),0.0)</f>
        <v>0</v>
      </c>
      <c r="F636" s="232">
        <f>IFERROR(__xludf.DUMMYFUNCTION("""COMPUTED_VALUE"""),0.0)</f>
        <v>0</v>
      </c>
      <c r="G636" s="247" t="b">
        <v>0</v>
      </c>
      <c r="H636" s="242" t="str">
        <f t="shared" si="1"/>
        <v/>
      </c>
      <c r="I636" s="246" t="s">
        <v>3195</v>
      </c>
      <c r="J636" s="308" t="str">
        <f t="shared" si="2"/>
        <v>Trade with a villager at master level</v>
      </c>
      <c r="K636" s="309" t="s">
        <v>3181</v>
      </c>
      <c r="L636" s="310"/>
      <c r="M636" s="309"/>
      <c r="N636" s="309" t="s">
        <v>3196</v>
      </c>
      <c r="O636" s="239" t="s">
        <v>892</v>
      </c>
      <c r="P636" s="311" t="s">
        <v>2809</v>
      </c>
      <c r="Q636" s="312" t="s">
        <v>3197</v>
      </c>
      <c r="R636" s="311" t="s">
        <v>194</v>
      </c>
      <c r="S636" s="312"/>
    </row>
    <row r="637">
      <c r="A637" s="230">
        <v>637.0</v>
      </c>
      <c r="B637" s="230" t="s">
        <v>188</v>
      </c>
      <c r="C637" s="231"/>
      <c r="D637" s="232"/>
      <c r="E637" s="232">
        <f>IFERROR(__xludf.DUMMYFUNCTION("iferror(SPLIT(D637,""/""),split(""0/0"",""/""))"),0.0)</f>
        <v>0</v>
      </c>
      <c r="F637" s="232">
        <f>IFERROR(__xludf.DUMMYFUNCTION("""COMPUTED_VALUE"""),0.0)</f>
        <v>0</v>
      </c>
      <c r="G637" s="247" t="b">
        <v>0</v>
      </c>
      <c r="H637" s="242" t="str">
        <f t="shared" si="1"/>
        <v/>
      </c>
      <c r="I637" s="246" t="s">
        <v>3198</v>
      </c>
      <c r="J637" s="308" t="str">
        <f t="shared" si="2"/>
        <v>Trade with every type of villager career (See requirement notes below)</v>
      </c>
      <c r="K637" s="309" t="s">
        <v>3199</v>
      </c>
      <c r="L637" s="310"/>
      <c r="M637" s="313" t="s">
        <v>238</v>
      </c>
      <c r="N637" s="309" t="s">
        <v>3200</v>
      </c>
      <c r="O637" s="239" t="s">
        <v>2603</v>
      </c>
      <c r="P637" s="311" t="s">
        <v>2809</v>
      </c>
      <c r="Q637" s="312" t="s">
        <v>3201</v>
      </c>
      <c r="R637" s="311" t="s">
        <v>194</v>
      </c>
      <c r="S637" s="312"/>
    </row>
    <row r="638">
      <c r="A638" s="230">
        <v>638.0</v>
      </c>
      <c r="B638" s="230" t="s">
        <v>188</v>
      </c>
      <c r="C638" s="231"/>
      <c r="D638" s="232"/>
      <c r="E638" s="232">
        <f>IFERROR(__xludf.DUMMYFUNCTION("iferror(SPLIT(D638,""/""),split(""0/0"",""/""))"),0.0)</f>
        <v>0</v>
      </c>
      <c r="F638" s="232">
        <f>IFERROR(__xludf.DUMMYFUNCTION("""COMPUTED_VALUE"""),0.0)</f>
        <v>0</v>
      </c>
      <c r="G638" s="247" t="b">
        <v>0</v>
      </c>
      <c r="H638" s="242" t="str">
        <f t="shared" si="1"/>
        <v/>
      </c>
      <c r="I638" s="246" t="s">
        <v>3202</v>
      </c>
      <c r="J638" s="308" t="str">
        <f t="shared" si="2"/>
        <v>Breed and trade with a jungle villager</v>
      </c>
      <c r="K638" s="309" t="s">
        <v>480</v>
      </c>
      <c r="L638" s="310"/>
      <c r="M638" s="309"/>
      <c r="N638" s="309" t="s">
        <v>3203</v>
      </c>
      <c r="O638" s="239" t="s">
        <v>3204</v>
      </c>
      <c r="P638" s="311" t="s">
        <v>2809</v>
      </c>
      <c r="Q638" s="312" t="s">
        <v>3205</v>
      </c>
      <c r="R638" s="311" t="s">
        <v>194</v>
      </c>
      <c r="S638" s="312"/>
    </row>
    <row r="639">
      <c r="A639" s="230">
        <v>639.0</v>
      </c>
      <c r="B639" s="230" t="s">
        <v>188</v>
      </c>
      <c r="C639" s="231"/>
      <c r="D639" s="232"/>
      <c r="E639" s="232">
        <f>IFERROR(__xludf.DUMMYFUNCTION("iferror(SPLIT(D639,""/""),split(""0/0"",""/""))"),0.0)</f>
        <v>0</v>
      </c>
      <c r="F639" s="232">
        <f>IFERROR(__xludf.DUMMYFUNCTION("""COMPUTED_VALUE"""),0.0)</f>
        <v>0</v>
      </c>
      <c r="G639" s="247" t="b">
        <v>0</v>
      </c>
      <c r="H639" s="242" t="str">
        <f t="shared" si="1"/>
        <v/>
      </c>
      <c r="I639" s="246" t="s">
        <v>3206</v>
      </c>
      <c r="J639" s="308" t="str">
        <f t="shared" si="2"/>
        <v>Breed and trade with a swamp villager</v>
      </c>
      <c r="K639" s="309" t="s">
        <v>480</v>
      </c>
      <c r="L639" s="310"/>
      <c r="M639" s="309"/>
      <c r="N639" s="309" t="s">
        <v>3207</v>
      </c>
      <c r="O639" s="239" t="s">
        <v>3208</v>
      </c>
      <c r="P639" s="311" t="s">
        <v>2809</v>
      </c>
      <c r="Q639" s="312" t="s">
        <v>3209</v>
      </c>
      <c r="R639" s="311" t="s">
        <v>194</v>
      </c>
      <c r="S639" s="312"/>
    </row>
    <row r="640">
      <c r="A640" s="230">
        <v>640.0</v>
      </c>
      <c r="B640" s="230" t="s">
        <v>257</v>
      </c>
      <c r="C640" s="231"/>
      <c r="D640" s="232"/>
      <c r="E640" s="232">
        <f>IFERROR(__xludf.DUMMYFUNCTION("iferror(SPLIT(D640,""/""),split(""0/0"",""/""))"),0.0)</f>
        <v>0</v>
      </c>
      <c r="F640" s="232">
        <f>IFERROR(__xludf.DUMMYFUNCTION("""COMPUTED_VALUE"""),0.0)</f>
        <v>0</v>
      </c>
      <c r="G640" s="247" t="b">
        <v>0</v>
      </c>
      <c r="H640" s="242" t="str">
        <f t="shared" si="1"/>
        <v/>
      </c>
      <c r="I640" s="246" t="s">
        <v>3210</v>
      </c>
      <c r="J640" s="308" t="str">
        <f t="shared" si="2"/>
        <v>Trade with a villager at the build height limit (Trade with a villager who is standing at y-level 319 or higher in the Overworld, or y-level 255 or higher in the Nether or End)</v>
      </c>
      <c r="K640" s="309" t="s">
        <v>3049</v>
      </c>
      <c r="L640" s="310"/>
      <c r="M640" s="309" t="s">
        <v>3211</v>
      </c>
      <c r="N640" s="309" t="s">
        <v>3212</v>
      </c>
      <c r="O640" s="239" t="s">
        <v>3213</v>
      </c>
      <c r="P640" s="311" t="s">
        <v>2809</v>
      </c>
      <c r="Q640" s="312" t="s">
        <v>3214</v>
      </c>
      <c r="R640" s="311" t="s">
        <v>194</v>
      </c>
      <c r="S640" s="312" t="s">
        <v>347</v>
      </c>
    </row>
    <row r="641">
      <c r="A641" s="230">
        <v>641.0</v>
      </c>
      <c r="B641" s="230" t="s">
        <v>257</v>
      </c>
      <c r="C641" s="231"/>
      <c r="D641" s="232"/>
      <c r="E641" s="232">
        <f>IFERROR(__xludf.DUMMYFUNCTION("iferror(SPLIT(D641,""/""),split(""0/0"",""/""))"),0.0)</f>
        <v>0</v>
      </c>
      <c r="F641" s="232">
        <f>IFERROR(__xludf.DUMMYFUNCTION("""COMPUTED_VALUE"""),0.0)</f>
        <v>0</v>
      </c>
      <c r="G641" s="247" t="b">
        <v>0</v>
      </c>
      <c r="H641" s="242" t="str">
        <f t="shared" si="1"/>
        <v/>
      </c>
      <c r="I641" s="249" t="s">
        <v>3215</v>
      </c>
      <c r="J641" s="308" t="str">
        <f t="shared" si="2"/>
        <v>Trade with every type of villager career at master level (See requirement notes below)</v>
      </c>
      <c r="K641" s="309" t="s">
        <v>3067</v>
      </c>
      <c r="L641" s="310"/>
      <c r="M641" s="313" t="s">
        <v>238</v>
      </c>
      <c r="N641" s="309" t="s">
        <v>3216</v>
      </c>
      <c r="O641" s="239" t="s">
        <v>1284</v>
      </c>
      <c r="P641" s="311" t="s">
        <v>2809</v>
      </c>
      <c r="Q641" s="312" t="s">
        <v>3217</v>
      </c>
      <c r="R641" s="311" t="s">
        <v>194</v>
      </c>
      <c r="S641" s="311" t="s">
        <v>3218</v>
      </c>
    </row>
    <row r="642">
      <c r="A642" s="230">
        <v>642.0</v>
      </c>
      <c r="B642" s="230" t="s">
        <v>188</v>
      </c>
      <c r="C642" s="231"/>
      <c r="D642" s="232"/>
      <c r="E642" s="232">
        <f>IFERROR(__xludf.DUMMYFUNCTION("iferror(SPLIT(D642,""/""),split(""0/0"",""/""))"),0.0)</f>
        <v>0</v>
      </c>
      <c r="F642" s="232">
        <f>IFERROR(__xludf.DUMMYFUNCTION("""COMPUTED_VALUE"""),0.0)</f>
        <v>0</v>
      </c>
      <c r="G642" s="247" t="b">
        <v>0</v>
      </c>
      <c r="H642" s="242" t="str">
        <f t="shared" si="1"/>
        <v/>
      </c>
      <c r="I642" s="243" t="s">
        <v>3219</v>
      </c>
      <c r="J642" s="308" t="str">
        <f t="shared" si="2"/>
        <v>Trade for an enchanted book</v>
      </c>
      <c r="K642" s="309"/>
      <c r="L642" s="310"/>
      <c r="M642" s="309"/>
      <c r="N642" s="309" t="s">
        <v>3220</v>
      </c>
      <c r="O642" s="239" t="s">
        <v>3221</v>
      </c>
      <c r="P642" s="311" t="s">
        <v>2809</v>
      </c>
      <c r="Q642" s="312" t="s">
        <v>3222</v>
      </c>
      <c r="R642" s="311" t="s">
        <v>194</v>
      </c>
      <c r="S642" s="312"/>
    </row>
    <row r="643">
      <c r="A643" s="230">
        <v>643.0</v>
      </c>
      <c r="B643" s="230" t="s">
        <v>188</v>
      </c>
      <c r="C643" s="231"/>
      <c r="D643" s="232"/>
      <c r="E643" s="232">
        <f>IFERROR(__xludf.DUMMYFUNCTION("iferror(SPLIT(D643,""/""),split(""0/0"",""/""))"),0.0)</f>
        <v>0</v>
      </c>
      <c r="F643" s="232">
        <f>IFERROR(__xludf.DUMMYFUNCTION("""COMPUTED_VALUE"""),0.0)</f>
        <v>0</v>
      </c>
      <c r="G643" s="247" t="b">
        <v>0</v>
      </c>
      <c r="H643" s="242" t="str">
        <f t="shared" si="1"/>
        <v/>
      </c>
      <c r="I643" s="243" t="s">
        <v>3223</v>
      </c>
      <c r="J643" s="308" t="str">
        <f t="shared" si="2"/>
        <v>Trade for a Bottle o’ Enchanting from a Cleric</v>
      </c>
      <c r="K643" s="309" t="s">
        <v>480</v>
      </c>
      <c r="L643" s="310"/>
      <c r="M643" s="309"/>
      <c r="N643" s="309" t="s">
        <v>3224</v>
      </c>
      <c r="O643" s="239" t="s">
        <v>3225</v>
      </c>
      <c r="P643" s="311" t="s">
        <v>2809</v>
      </c>
      <c r="Q643" s="312" t="s">
        <v>3226</v>
      </c>
      <c r="R643" s="311" t="s">
        <v>194</v>
      </c>
      <c r="S643" s="312"/>
    </row>
    <row r="644">
      <c r="A644" s="230">
        <v>644.0</v>
      </c>
      <c r="B644" s="230" t="s">
        <v>188</v>
      </c>
      <c r="C644" s="231"/>
      <c r="D644" s="232"/>
      <c r="E644" s="232">
        <f>IFERROR(__xludf.DUMMYFUNCTION("iferror(SPLIT(D644,""/""),split(""0/0"",""/""))"),0.0)</f>
        <v>0</v>
      </c>
      <c r="F644" s="232">
        <f>IFERROR(__xludf.DUMMYFUNCTION("""COMPUTED_VALUE"""),0.0)</f>
        <v>0</v>
      </c>
      <c r="G644" s="247" t="b">
        <v>0</v>
      </c>
      <c r="H644" s="242" t="str">
        <f t="shared" si="1"/>
        <v/>
      </c>
      <c r="I644" s="243" t="s">
        <v>3227</v>
      </c>
      <c r="J644" s="308" t="str">
        <f t="shared" si="2"/>
        <v>Trade for a piece of chain armor from an armorer villager</v>
      </c>
      <c r="K644" s="309"/>
      <c r="L644" s="310"/>
      <c r="M644" s="309"/>
      <c r="N644" s="309" t="s">
        <v>3228</v>
      </c>
      <c r="O644" s="239" t="s">
        <v>1274</v>
      </c>
      <c r="P644" s="311" t="s">
        <v>2809</v>
      </c>
      <c r="Q644" s="312" t="s">
        <v>3229</v>
      </c>
      <c r="R644" s="311" t="s">
        <v>194</v>
      </c>
      <c r="S644" s="312"/>
    </row>
    <row r="645">
      <c r="A645" s="230">
        <v>645.0</v>
      </c>
      <c r="B645" s="230" t="s">
        <v>188</v>
      </c>
      <c r="C645" s="231"/>
      <c r="D645" s="232"/>
      <c r="E645" s="232">
        <f>IFERROR(__xludf.DUMMYFUNCTION("iferror(SPLIT(D645,""/""),split(""0/0"",""/""))"),0.0)</f>
        <v>0</v>
      </c>
      <c r="F645" s="232">
        <f>IFERROR(__xludf.DUMMYFUNCTION("""COMPUTED_VALUE"""),0.0)</f>
        <v>0</v>
      </c>
      <c r="G645" s="247" t="b">
        <v>0</v>
      </c>
      <c r="H645" s="242" t="str">
        <f t="shared" si="1"/>
        <v/>
      </c>
      <c r="I645" s="246" t="s">
        <v>3230</v>
      </c>
      <c r="J645" s="308" t="str">
        <f t="shared" si="2"/>
        <v>Trade for a full suit of chain armor from an armorer villager</v>
      </c>
      <c r="K645" s="309" t="s">
        <v>1858</v>
      </c>
      <c r="L645" s="310"/>
      <c r="M645" s="309"/>
      <c r="N645" s="309" t="s">
        <v>3231</v>
      </c>
      <c r="O645" s="239" t="s">
        <v>204</v>
      </c>
      <c r="P645" s="311" t="s">
        <v>2809</v>
      </c>
      <c r="Q645" s="312" t="s">
        <v>3232</v>
      </c>
      <c r="R645" s="311" t="s">
        <v>194</v>
      </c>
      <c r="S645" s="312"/>
    </row>
    <row r="646">
      <c r="A646" s="230">
        <v>646.0</v>
      </c>
      <c r="B646" s="230" t="s">
        <v>188</v>
      </c>
      <c r="C646" s="231"/>
      <c r="D646" s="232"/>
      <c r="E646" s="232">
        <f>IFERROR(__xludf.DUMMYFUNCTION("iferror(SPLIT(D646,""/""),split(""0/0"",""/""))"),0.0)</f>
        <v>0</v>
      </c>
      <c r="F646" s="232">
        <f>IFERROR(__xludf.DUMMYFUNCTION("""COMPUTED_VALUE"""),0.0)</f>
        <v>0</v>
      </c>
      <c r="G646" s="247" t="b">
        <v>0</v>
      </c>
      <c r="H646" s="242" t="str">
        <f t="shared" si="1"/>
        <v/>
      </c>
      <c r="I646" s="243" t="s">
        <v>3233</v>
      </c>
      <c r="J646" s="308" t="str">
        <f t="shared" si="2"/>
        <v>Craft or trade an empty map (Obtain an empty map)</v>
      </c>
      <c r="K646" s="309"/>
      <c r="L646" s="310"/>
      <c r="M646" s="309" t="s">
        <v>3234</v>
      </c>
      <c r="N646" s="309" t="s">
        <v>3235</v>
      </c>
      <c r="O646" s="239" t="s">
        <v>2812</v>
      </c>
      <c r="P646" s="311" t="s">
        <v>2809</v>
      </c>
      <c r="Q646" s="312" t="s">
        <v>3236</v>
      </c>
      <c r="R646" s="311" t="s">
        <v>194</v>
      </c>
      <c r="S646" s="312"/>
    </row>
    <row r="647">
      <c r="A647" s="230">
        <v>647.0</v>
      </c>
      <c r="B647" s="230" t="s">
        <v>188</v>
      </c>
      <c r="C647" s="231"/>
      <c r="D647" s="232"/>
      <c r="E647" s="232">
        <f>IFERROR(__xludf.DUMMYFUNCTION("iferror(SPLIT(D647,""/""),split(""0/0"",""/""))"),0.0)</f>
        <v>0</v>
      </c>
      <c r="F647" s="232">
        <f>IFERROR(__xludf.DUMMYFUNCTION("""COMPUTED_VALUE"""),0.0)</f>
        <v>0</v>
      </c>
      <c r="G647" s="247" t="b">
        <v>0</v>
      </c>
      <c r="H647" s="242" t="str">
        <f t="shared" si="1"/>
        <v/>
      </c>
      <c r="I647" s="243" t="s">
        <v>3237</v>
      </c>
      <c r="J647" s="308" t="str">
        <f t="shared" si="2"/>
        <v>Craft a cartography table with paper and planks (Obtain a cartography table)</v>
      </c>
      <c r="K647" s="309"/>
      <c r="L647" s="310"/>
      <c r="M647" s="309" t="s">
        <v>3238</v>
      </c>
      <c r="N647" s="309" t="s">
        <v>3239</v>
      </c>
      <c r="O647" s="239" t="s">
        <v>3240</v>
      </c>
      <c r="P647" s="311" t="s">
        <v>2809</v>
      </c>
      <c r="Q647" s="312" t="s">
        <v>3241</v>
      </c>
      <c r="R647" s="311" t="s">
        <v>194</v>
      </c>
      <c r="S647" s="312"/>
    </row>
    <row r="648">
      <c r="A648" s="230">
        <v>648.0</v>
      </c>
      <c r="B648" s="230" t="s">
        <v>257</v>
      </c>
      <c r="C648" s="231"/>
      <c r="D648" s="232"/>
      <c r="E648" s="232">
        <f>IFERROR(__xludf.DUMMYFUNCTION("iferror(SPLIT(D648,""/""),split(""0/0"",""/""))"),0.0)</f>
        <v>0</v>
      </c>
      <c r="F648" s="232">
        <f>IFERROR(__xludf.DUMMYFUNCTION("""COMPUTED_VALUE"""),0.0)</f>
        <v>0</v>
      </c>
      <c r="G648" s="247" t="b">
        <v>0</v>
      </c>
      <c r="H648" s="242" t="str">
        <f t="shared" si="1"/>
        <v/>
      </c>
      <c r="I648" s="243" t="s">
        <v>3242</v>
      </c>
      <c r="J648" s="308" t="str">
        <f t="shared" si="2"/>
        <v>Right-click a banner with a map</v>
      </c>
      <c r="K648" s="309"/>
      <c r="L648" s="310"/>
      <c r="M648" s="309"/>
      <c r="N648" s="309" t="s">
        <v>3243</v>
      </c>
      <c r="O648" s="239" t="s">
        <v>3244</v>
      </c>
      <c r="P648" s="311" t="s">
        <v>2809</v>
      </c>
      <c r="Q648" s="312" t="s">
        <v>3245</v>
      </c>
      <c r="R648" s="311" t="s">
        <v>194</v>
      </c>
      <c r="S648" s="312" t="s">
        <v>262</v>
      </c>
    </row>
    <row r="649">
      <c r="A649" s="230">
        <v>649.0</v>
      </c>
      <c r="B649" s="230" t="s">
        <v>283</v>
      </c>
      <c r="C649" s="231"/>
      <c r="D649" s="232"/>
      <c r="E649" s="232">
        <f>IFERROR(__xludf.DUMMYFUNCTION("iferror(SPLIT(D649,""/""),split(""0/0"",""/""))"),0.0)</f>
        <v>0</v>
      </c>
      <c r="F649" s="232">
        <f>IFERROR(__xludf.DUMMYFUNCTION("""COMPUTED_VALUE"""),0.0)</f>
        <v>0</v>
      </c>
      <c r="G649" s="247" t="b">
        <v>0</v>
      </c>
      <c r="H649" s="242" t="str">
        <f t="shared" si="1"/>
        <v/>
      </c>
      <c r="I649" s="251" t="s">
        <v>3246</v>
      </c>
      <c r="J649" s="308" t="str">
        <f t="shared" si="2"/>
        <v>Place a map in an item frame</v>
      </c>
      <c r="K649" s="309"/>
      <c r="L649" s="310"/>
      <c r="M649" s="309"/>
      <c r="N649" s="309" t="s">
        <v>3247</v>
      </c>
      <c r="O649" s="239" t="s">
        <v>873</v>
      </c>
      <c r="P649" s="311" t="s">
        <v>2809</v>
      </c>
      <c r="Q649" s="312" t="s">
        <v>3248</v>
      </c>
      <c r="R649" s="311" t="s">
        <v>194</v>
      </c>
      <c r="S649" s="312" t="s">
        <v>290</v>
      </c>
    </row>
    <row r="650">
      <c r="A650" s="230">
        <v>650.0</v>
      </c>
      <c r="B650" s="230" t="s">
        <v>283</v>
      </c>
      <c r="C650" s="231"/>
      <c r="D650" s="232"/>
      <c r="E650" s="232">
        <f>IFERROR(__xludf.DUMMYFUNCTION("iferror(SPLIT(D650,""/""),split(""0/0"",""/""))"),0.0)</f>
        <v>0</v>
      </c>
      <c r="F650" s="232">
        <f>IFERROR(__xludf.DUMMYFUNCTION("""COMPUTED_VALUE"""),0.0)</f>
        <v>0</v>
      </c>
      <c r="G650" s="247" t="b">
        <v>0</v>
      </c>
      <c r="H650" s="242" t="str">
        <f t="shared" si="1"/>
        <v/>
      </c>
      <c r="I650" s="243" t="s">
        <v>3249</v>
      </c>
      <c r="J650" s="308" t="str">
        <f t="shared" si="2"/>
        <v>Trade for an explorer map</v>
      </c>
      <c r="K650" s="309"/>
      <c r="L650" s="310"/>
      <c r="M650" s="309"/>
      <c r="N650" s="309" t="s">
        <v>3250</v>
      </c>
      <c r="O650" s="239" t="s">
        <v>3251</v>
      </c>
      <c r="P650" s="311" t="s">
        <v>2809</v>
      </c>
      <c r="Q650" s="312" t="s">
        <v>3252</v>
      </c>
      <c r="R650" s="311" t="s">
        <v>194</v>
      </c>
      <c r="S650" s="311" t="s">
        <v>28</v>
      </c>
    </row>
    <row r="651">
      <c r="A651" s="230">
        <v>651.0</v>
      </c>
      <c r="B651" s="230" t="s">
        <v>188</v>
      </c>
      <c r="C651" s="231"/>
      <c r="D651" s="232"/>
      <c r="E651" s="232">
        <f>IFERROR(__xludf.DUMMYFUNCTION("iferror(SPLIT(D651,""/""),split(""0/0"",""/""))"),0.0)</f>
        <v>0</v>
      </c>
      <c r="F651" s="232">
        <f>IFERROR(__xludf.DUMMYFUNCTION("""COMPUTED_VALUE"""),0.0)</f>
        <v>0</v>
      </c>
      <c r="G651" s="247" t="b">
        <v>0</v>
      </c>
      <c r="H651" s="242" t="str">
        <f t="shared" si="1"/>
        <v/>
      </c>
      <c r="I651" s="243" t="s">
        <v>3253</v>
      </c>
      <c r="J651" s="308" t="str">
        <f t="shared" si="2"/>
        <v>Find an Ocean Monument</v>
      </c>
      <c r="K651" s="309" t="s">
        <v>3254</v>
      </c>
      <c r="L651" s="310"/>
      <c r="M651" s="309"/>
      <c r="N651" s="309" t="s">
        <v>3255</v>
      </c>
      <c r="O651" s="239" t="s">
        <v>3256</v>
      </c>
      <c r="P651" s="311" t="s">
        <v>2809</v>
      </c>
      <c r="Q651" s="312" t="s">
        <v>3257</v>
      </c>
      <c r="R651" s="311" t="s">
        <v>194</v>
      </c>
      <c r="S651" s="312"/>
    </row>
    <row r="652">
      <c r="A652" s="230">
        <v>652.0</v>
      </c>
      <c r="B652" s="230" t="s">
        <v>188</v>
      </c>
      <c r="C652" s="231"/>
      <c r="D652" s="232"/>
      <c r="E652" s="232">
        <f>IFERROR(__xludf.DUMMYFUNCTION("iferror(SPLIT(D652,""/""),split(""0/0"",""/""))"),0.0)</f>
        <v>0</v>
      </c>
      <c r="F652" s="232">
        <f>IFERROR(__xludf.DUMMYFUNCTION("""COMPUTED_VALUE"""),0.0)</f>
        <v>0</v>
      </c>
      <c r="G652" s="233" t="b">
        <v>0</v>
      </c>
      <c r="H652" s="242" t="str">
        <f t="shared" si="1"/>
        <v/>
      </c>
      <c r="I652" s="243" t="s">
        <v>3258</v>
      </c>
      <c r="J652" s="308" t="str">
        <f t="shared" si="2"/>
        <v>Defeat a Guardian</v>
      </c>
      <c r="K652" s="309" t="s">
        <v>3259</v>
      </c>
      <c r="L652" s="310"/>
      <c r="M652" s="309"/>
      <c r="N652" s="309" t="s">
        <v>3260</v>
      </c>
      <c r="O652" s="239" t="s">
        <v>2156</v>
      </c>
      <c r="P652" s="311" t="s">
        <v>2809</v>
      </c>
      <c r="Q652" s="312" t="s">
        <v>3261</v>
      </c>
      <c r="R652" s="311" t="s">
        <v>194</v>
      </c>
      <c r="S652" s="312"/>
    </row>
    <row r="653">
      <c r="A653" s="230">
        <v>653.0</v>
      </c>
      <c r="B653" s="230" t="s">
        <v>257</v>
      </c>
      <c r="C653" s="231"/>
      <c r="D653" s="232"/>
      <c r="E653" s="232">
        <f>IFERROR(__xludf.DUMMYFUNCTION("iferror(SPLIT(D653,""/""),split(""0/0"",""/""))"),0.0)</f>
        <v>0</v>
      </c>
      <c r="F653" s="232">
        <f>IFERROR(__xludf.DUMMYFUNCTION("""COMPUTED_VALUE"""),0.0)</f>
        <v>0</v>
      </c>
      <c r="G653" s="247" t="b">
        <v>0</v>
      </c>
      <c r="H653" s="242" t="str">
        <f t="shared" si="1"/>
        <v/>
      </c>
      <c r="I653" s="243" t="s">
        <v>3262</v>
      </c>
      <c r="J653" s="308" t="str">
        <f t="shared" si="2"/>
        <v>Kill a Guardian with arrows</v>
      </c>
      <c r="K653" s="309" t="s">
        <v>3263</v>
      </c>
      <c r="L653" s="310"/>
      <c r="M653" s="309"/>
      <c r="N653" s="309" t="s">
        <v>3264</v>
      </c>
      <c r="O653" s="239" t="s">
        <v>2474</v>
      </c>
      <c r="P653" s="311" t="s">
        <v>2809</v>
      </c>
      <c r="Q653" s="312" t="s">
        <v>3265</v>
      </c>
      <c r="R653" s="311" t="s">
        <v>194</v>
      </c>
      <c r="S653" s="311" t="s">
        <v>267</v>
      </c>
    </row>
    <row r="654">
      <c r="A654" s="230">
        <v>654.0</v>
      </c>
      <c r="B654" s="230" t="s">
        <v>188</v>
      </c>
      <c r="C654" s="231"/>
      <c r="D654" s="232"/>
      <c r="E654" s="232">
        <f>IFERROR(__xludf.DUMMYFUNCTION("iferror(SPLIT(D654,""/""),split(""0/0"",""/""))"),0.0)</f>
        <v>0</v>
      </c>
      <c r="F654" s="232">
        <f>IFERROR(__xludf.DUMMYFUNCTION("""COMPUTED_VALUE"""),0.0)</f>
        <v>0</v>
      </c>
      <c r="G654" s="247" t="b">
        <v>0</v>
      </c>
      <c r="H654" s="242" t="str">
        <f t="shared" si="1"/>
        <v/>
      </c>
      <c r="I654" s="246" t="s">
        <v>3266</v>
      </c>
      <c r="J654" s="308" t="str">
        <f t="shared" si="2"/>
        <v>Collect a stack of prismarine shards and crystals</v>
      </c>
      <c r="K654" s="309" t="s">
        <v>3267</v>
      </c>
      <c r="L654" s="310"/>
      <c r="M654" s="309"/>
      <c r="N654" s="309" t="s">
        <v>3268</v>
      </c>
      <c r="O654" s="239" t="s">
        <v>3269</v>
      </c>
      <c r="P654" s="311" t="s">
        <v>2809</v>
      </c>
      <c r="Q654" s="312" t="s">
        <v>3270</v>
      </c>
      <c r="R654" s="311" t="s">
        <v>194</v>
      </c>
      <c r="S654" s="312"/>
    </row>
    <row r="655">
      <c r="A655" s="230">
        <v>655.0</v>
      </c>
      <c r="B655" s="230" t="s">
        <v>188</v>
      </c>
      <c r="C655" s="231"/>
      <c r="D655" s="232"/>
      <c r="E655" s="232">
        <f>IFERROR(__xludf.DUMMYFUNCTION("iferror(SPLIT(D655,""/""),split(""0/0"",""/""))"),0.0)</f>
        <v>0</v>
      </c>
      <c r="F655" s="232">
        <f>IFERROR(__xludf.DUMMYFUNCTION("""COMPUTED_VALUE"""),0.0)</f>
        <v>0</v>
      </c>
      <c r="G655" s="247" t="b">
        <v>0</v>
      </c>
      <c r="H655" s="242" t="str">
        <f t="shared" si="1"/>
        <v/>
      </c>
      <c r="I655" s="246" t="s">
        <v>3271</v>
      </c>
      <c r="J655" s="308" t="str">
        <f t="shared" si="2"/>
        <v>Defeat an Elder Guardian</v>
      </c>
      <c r="K655" s="309" t="s">
        <v>3272</v>
      </c>
      <c r="L655" s="310"/>
      <c r="M655" s="309"/>
      <c r="N655" s="309" t="s">
        <v>3273</v>
      </c>
      <c r="O655" s="239" t="s">
        <v>3274</v>
      </c>
      <c r="P655" s="311" t="s">
        <v>2809</v>
      </c>
      <c r="Q655" s="312" t="s">
        <v>3275</v>
      </c>
      <c r="R655" s="311" t="s">
        <v>194</v>
      </c>
      <c r="S655" s="312"/>
    </row>
    <row r="656">
      <c r="A656" s="230">
        <v>656.0</v>
      </c>
      <c r="B656" s="230" t="s">
        <v>188</v>
      </c>
      <c r="C656" s="231"/>
      <c r="D656" s="232"/>
      <c r="E656" s="232">
        <f>IFERROR(__xludf.DUMMYFUNCTION("iferror(SPLIT(D656,""/""),split(""0/0"",""/""))"),0.0)</f>
        <v>0</v>
      </c>
      <c r="F656" s="232">
        <f>IFERROR(__xludf.DUMMYFUNCTION("""COMPUTED_VALUE"""),0.0)</f>
        <v>0</v>
      </c>
      <c r="G656" s="247" t="b">
        <v>0</v>
      </c>
      <c r="H656" s="242" t="str">
        <f t="shared" si="1"/>
        <v/>
      </c>
      <c r="I656" s="251" t="s">
        <v>3276</v>
      </c>
      <c r="J656" s="308" t="str">
        <f t="shared" si="2"/>
        <v>Dry a sponge in a furnace (Obtain a (Dry) Sponge)</v>
      </c>
      <c r="K656" s="309"/>
      <c r="L656" s="310"/>
      <c r="M656" s="309" t="s">
        <v>3277</v>
      </c>
      <c r="N656" s="309" t="s">
        <v>3278</v>
      </c>
      <c r="O656" s="239" t="s">
        <v>3279</v>
      </c>
      <c r="P656" s="311" t="s">
        <v>2809</v>
      </c>
      <c r="Q656" s="312" t="s">
        <v>3280</v>
      </c>
      <c r="R656" s="311" t="s">
        <v>194</v>
      </c>
      <c r="S656" s="312"/>
    </row>
    <row r="657">
      <c r="A657" s="230">
        <v>657.0</v>
      </c>
      <c r="B657" s="230" t="s">
        <v>188</v>
      </c>
      <c r="C657" s="231"/>
      <c r="D657" s="232"/>
      <c r="E657" s="232">
        <f>IFERROR(__xludf.DUMMYFUNCTION("iferror(SPLIT(D657,""/""),split(""0/0"",""/""))"),0.0)</f>
        <v>0</v>
      </c>
      <c r="F657" s="232">
        <f>IFERROR(__xludf.DUMMYFUNCTION("""COMPUTED_VALUE"""),0.0)</f>
        <v>0</v>
      </c>
      <c r="G657" s="247" t="b">
        <v>0</v>
      </c>
      <c r="H657" s="242" t="str">
        <f t="shared" si="1"/>
        <v/>
      </c>
      <c r="I657" s="246" t="s">
        <v>3281</v>
      </c>
      <c r="J657" s="308" t="str">
        <f t="shared" si="2"/>
        <v>Collect a stack of sponges from ocean monuments (Obtain 64 (Dry) Sponges)</v>
      </c>
      <c r="K657" s="309" t="s">
        <v>3282</v>
      </c>
      <c r="L657" s="310"/>
      <c r="M657" s="309" t="s">
        <v>3283</v>
      </c>
      <c r="N657" s="309" t="s">
        <v>3284</v>
      </c>
      <c r="O657" s="239" t="s">
        <v>3285</v>
      </c>
      <c r="P657" s="311" t="s">
        <v>2809</v>
      </c>
      <c r="Q657" s="312" t="s">
        <v>3286</v>
      </c>
      <c r="R657" s="311" t="s">
        <v>194</v>
      </c>
      <c r="S657" s="312"/>
    </row>
    <row r="658">
      <c r="A658" s="230">
        <v>658.0</v>
      </c>
      <c r="B658" s="230" t="s">
        <v>188</v>
      </c>
      <c r="C658" s="231"/>
      <c r="D658" s="232"/>
      <c r="E658" s="232">
        <f>IFERROR(__xludf.DUMMYFUNCTION("iferror(SPLIT(D658,""/""),split(""0/0"",""/""))"),0.0)</f>
        <v>0</v>
      </c>
      <c r="F658" s="232">
        <f>IFERROR(__xludf.DUMMYFUNCTION("""COMPUTED_VALUE"""),0.0)</f>
        <v>0</v>
      </c>
      <c r="G658" s="247" t="b">
        <v>0</v>
      </c>
      <c r="H658" s="242" t="str">
        <f t="shared" si="1"/>
        <v/>
      </c>
      <c r="I658" s="251" t="s">
        <v>3287</v>
      </c>
      <c r="J658" s="308" t="str">
        <f t="shared" si="2"/>
        <v>Find a Woodland Mansion</v>
      </c>
      <c r="K658" s="309" t="s">
        <v>1858</v>
      </c>
      <c r="L658" s="310"/>
      <c r="M658" s="309"/>
      <c r="N658" s="309" t="s">
        <v>3288</v>
      </c>
      <c r="O658" s="239" t="s">
        <v>3289</v>
      </c>
      <c r="P658" s="311" t="s">
        <v>2809</v>
      </c>
      <c r="Q658" s="312" t="s">
        <v>3290</v>
      </c>
      <c r="R658" s="311" t="s">
        <v>194</v>
      </c>
      <c r="S658" s="312"/>
    </row>
    <row r="659">
      <c r="A659" s="230">
        <v>659.0</v>
      </c>
      <c r="B659" s="230" t="s">
        <v>257</v>
      </c>
      <c r="C659" s="231"/>
      <c r="D659" s="232"/>
      <c r="E659" s="232">
        <f>IFERROR(__xludf.DUMMYFUNCTION("iferror(SPLIT(D659,""/""),split(""0/0"",""/""))"),0.0)</f>
        <v>0</v>
      </c>
      <c r="F659" s="232">
        <f>IFERROR(__xludf.DUMMYFUNCTION("""COMPUTED_VALUE"""),0.0)</f>
        <v>0</v>
      </c>
      <c r="G659" s="233" t="b">
        <v>0</v>
      </c>
      <c r="H659" s="242" t="str">
        <f t="shared" si="1"/>
        <v/>
      </c>
      <c r="I659" s="251" t="s">
        <v>3291</v>
      </c>
      <c r="J659" s="308" t="str">
        <f t="shared" si="2"/>
        <v>Kill a Vindicator in a Woodland Mansion (Kill a Vindicator that is within the bounding-box of a Woodland Mansion)</v>
      </c>
      <c r="K659" s="309" t="s">
        <v>2637</v>
      </c>
      <c r="L659" s="310"/>
      <c r="M659" s="309" t="s">
        <v>3292</v>
      </c>
      <c r="N659" s="309" t="s">
        <v>3293</v>
      </c>
      <c r="O659" s="239" t="s">
        <v>2164</v>
      </c>
      <c r="P659" s="311" t="s">
        <v>2809</v>
      </c>
      <c r="Q659" s="312" t="s">
        <v>3294</v>
      </c>
      <c r="R659" s="311" t="s">
        <v>194</v>
      </c>
      <c r="S659" s="312" t="s">
        <v>2891</v>
      </c>
    </row>
    <row r="660">
      <c r="A660" s="230">
        <v>660.0</v>
      </c>
      <c r="B660" s="230" t="s">
        <v>188</v>
      </c>
      <c r="C660" s="231"/>
      <c r="D660" s="232"/>
      <c r="E660" s="232">
        <f>IFERROR(__xludf.DUMMYFUNCTION("iferror(SPLIT(D660,""/""),split(""0/0"",""/""))"),0.0)</f>
        <v>0</v>
      </c>
      <c r="F660" s="232">
        <f>IFERROR(__xludf.DUMMYFUNCTION("""COMPUTED_VALUE"""),0.0)</f>
        <v>0</v>
      </c>
      <c r="G660" s="247" t="b">
        <v>0</v>
      </c>
      <c r="H660" s="242" t="str">
        <f t="shared" si="1"/>
        <v/>
      </c>
      <c r="I660" s="243" t="s">
        <v>3295</v>
      </c>
      <c r="J660" s="308" t="str">
        <f t="shared" si="2"/>
        <v>A shield does no better than a locked door (Block a Vindicator's attack with a shield)</v>
      </c>
      <c r="K660" s="309" t="s">
        <v>3113</v>
      </c>
      <c r="L660" s="310"/>
      <c r="M660" s="309" t="s">
        <v>3296</v>
      </c>
      <c r="N660" s="309" t="s">
        <v>3297</v>
      </c>
      <c r="O660" s="239" t="s">
        <v>2298</v>
      </c>
      <c r="P660" s="311" t="s">
        <v>2809</v>
      </c>
      <c r="Q660" s="312" t="s">
        <v>3298</v>
      </c>
      <c r="R660" s="311" t="s">
        <v>194</v>
      </c>
      <c r="S660" s="312"/>
    </row>
    <row r="661">
      <c r="A661" s="230">
        <v>661.0</v>
      </c>
      <c r="B661" s="230" t="s">
        <v>188</v>
      </c>
      <c r="C661" s="231"/>
      <c r="D661" s="232"/>
      <c r="E661" s="232">
        <f>IFERROR(__xludf.DUMMYFUNCTION("iferror(SPLIT(D661,""/""),split(""0/0"",""/""))"),0.0)</f>
        <v>0</v>
      </c>
      <c r="F661" s="232">
        <f>IFERROR(__xludf.DUMMYFUNCTION("""COMPUTED_VALUE"""),0.0)</f>
        <v>0</v>
      </c>
      <c r="G661" s="233" t="b">
        <v>0</v>
      </c>
      <c r="H661" s="242" t="str">
        <f t="shared" si="1"/>
        <v/>
      </c>
      <c r="I661" s="243" t="s">
        <v>3299</v>
      </c>
      <c r="J661" s="308" t="str">
        <f t="shared" si="2"/>
        <v>Bust a Vex summoned by an Evoker</v>
      </c>
      <c r="K661" s="309" t="s">
        <v>2637</v>
      </c>
      <c r="L661" s="310"/>
      <c r="M661" s="309"/>
      <c r="N661" s="309" t="s">
        <v>3300</v>
      </c>
      <c r="O661" s="239" t="s">
        <v>1969</v>
      </c>
      <c r="P661" s="311" t="s">
        <v>2809</v>
      </c>
      <c r="Q661" s="312" t="s">
        <v>3301</v>
      </c>
      <c r="R661" s="311" t="s">
        <v>194</v>
      </c>
      <c r="S661" s="312"/>
    </row>
    <row r="662">
      <c r="A662" s="230">
        <v>662.0</v>
      </c>
      <c r="B662" s="230" t="s">
        <v>257</v>
      </c>
      <c r="C662" s="231"/>
      <c r="D662" s="232"/>
      <c r="E662" s="232">
        <f>IFERROR(__xludf.DUMMYFUNCTION("iferror(SPLIT(D662,""/""),split(""0/0"",""/""))"),0.0)</f>
        <v>0</v>
      </c>
      <c r="F662" s="232">
        <f>IFERROR(__xludf.DUMMYFUNCTION("""COMPUTED_VALUE"""),0.0)</f>
        <v>0</v>
      </c>
      <c r="G662" s="233" t="b">
        <v>0</v>
      </c>
      <c r="H662" s="242" t="str">
        <f t="shared" si="1"/>
        <v/>
      </c>
      <c r="I662" s="246" t="s">
        <v>3302</v>
      </c>
      <c r="J662" s="308" t="str">
        <f t="shared" si="2"/>
        <v>Defeat an Evoker in a Woodland Mansion (Kill an Evoker that is within the bounding-box of a Woodland Mansion)</v>
      </c>
      <c r="K662" s="309" t="s">
        <v>1858</v>
      </c>
      <c r="L662" s="310"/>
      <c r="M662" s="309" t="s">
        <v>3303</v>
      </c>
      <c r="N662" s="309" t="s">
        <v>3304</v>
      </c>
      <c r="O662" s="239" t="s">
        <v>2078</v>
      </c>
      <c r="P662" s="311" t="s">
        <v>2809</v>
      </c>
      <c r="Q662" s="312" t="s">
        <v>3305</v>
      </c>
      <c r="R662" s="311" t="s">
        <v>194</v>
      </c>
      <c r="S662" s="312" t="s">
        <v>2891</v>
      </c>
    </row>
    <row r="663">
      <c r="A663" s="230">
        <v>663.0</v>
      </c>
      <c r="B663" s="230" t="s">
        <v>257</v>
      </c>
      <c r="C663" s="231"/>
      <c r="D663" s="232"/>
      <c r="E663" s="232">
        <f>IFERROR(__xludf.DUMMYFUNCTION("iferror(SPLIT(D663,""/""),split(""0/0"",""/""))"),0.0)</f>
        <v>0</v>
      </c>
      <c r="F663" s="232">
        <f>IFERROR(__xludf.DUMMYFUNCTION("""COMPUTED_VALUE"""),0.0)</f>
        <v>0</v>
      </c>
      <c r="G663" s="247" t="b">
        <v>0</v>
      </c>
      <c r="H663" s="242" t="str">
        <f t="shared" si="1"/>
        <v/>
      </c>
      <c r="I663" s="246" t="s">
        <v>3306</v>
      </c>
      <c r="J663" s="308" t="str">
        <f t="shared" si="2"/>
        <v>Use a Totem of Undying to cheat death</v>
      </c>
      <c r="K663" s="309" t="s">
        <v>2982</v>
      </c>
      <c r="L663" s="310"/>
      <c r="M663" s="309"/>
      <c r="N663" s="309" t="s">
        <v>3307</v>
      </c>
      <c r="O663" s="239" t="s">
        <v>2078</v>
      </c>
      <c r="P663" s="311" t="s">
        <v>2809</v>
      </c>
      <c r="Q663" s="312" t="s">
        <v>3308</v>
      </c>
      <c r="R663" s="311" t="s">
        <v>194</v>
      </c>
      <c r="S663" s="312" t="s">
        <v>262</v>
      </c>
    </row>
    <row r="664">
      <c r="A664" s="230">
        <v>664.0</v>
      </c>
      <c r="B664" s="230" t="s">
        <v>206</v>
      </c>
      <c r="C664" s="231"/>
      <c r="D664" s="232"/>
      <c r="E664" s="232">
        <f>IFERROR(__xludf.DUMMYFUNCTION("iferror(SPLIT(D664,""/""),split(""0/0"",""/""))"),0.0)</f>
        <v>0</v>
      </c>
      <c r="F664" s="232">
        <f>IFERROR(__xludf.DUMMYFUNCTION("""COMPUTED_VALUE"""),0.0)</f>
        <v>0</v>
      </c>
      <c r="G664" s="247" t="b">
        <v>0</v>
      </c>
      <c r="H664" s="242" t="str">
        <f t="shared" si="1"/>
        <v/>
      </c>
      <c r="I664" s="243" t="s">
        <v>3309</v>
      </c>
      <c r="J664" s="308" t="str">
        <f t="shared" si="2"/>
        <v>Step foot in a Trial Chamber</v>
      </c>
      <c r="K664" s="309"/>
      <c r="L664" s="310"/>
      <c r="M664" s="309"/>
      <c r="N664" s="309" t="s">
        <v>3310</v>
      </c>
      <c r="O664" s="239" t="s">
        <v>3311</v>
      </c>
      <c r="P664" s="311" t="s">
        <v>2809</v>
      </c>
      <c r="Q664" s="312" t="s">
        <v>3312</v>
      </c>
      <c r="R664" s="311" t="s">
        <v>194</v>
      </c>
      <c r="S664" s="312"/>
    </row>
    <row r="665">
      <c r="A665" s="230">
        <v>665.0</v>
      </c>
      <c r="B665" s="230" t="s">
        <v>188</v>
      </c>
      <c r="C665" s="231"/>
      <c r="D665" s="232"/>
      <c r="E665" s="232">
        <f>IFERROR(__xludf.DUMMYFUNCTION("iferror(SPLIT(D665,""/""),split(""0/0"",""/""))"),0.0)</f>
        <v>0</v>
      </c>
      <c r="F665" s="232">
        <f>IFERROR(__xludf.DUMMYFUNCTION("""COMPUTED_VALUE"""),0.0)</f>
        <v>0</v>
      </c>
      <c r="G665" s="247" t="b">
        <v>0</v>
      </c>
      <c r="H665" s="242" t="str">
        <f t="shared" si="1"/>
        <v/>
      </c>
      <c r="I665" s="243" t="s">
        <v>3313</v>
      </c>
      <c r="J665" s="308" t="str">
        <f t="shared" si="2"/>
        <v>Famous last words. Get killed by a Breeze</v>
      </c>
      <c r="K665" s="309"/>
      <c r="L665" s="310"/>
      <c r="M665" s="309"/>
      <c r="N665" s="309" t="s">
        <v>3314</v>
      </c>
      <c r="O665" s="239" t="s">
        <v>3315</v>
      </c>
      <c r="P665" s="311" t="s">
        <v>2809</v>
      </c>
      <c r="Q665" s="312" t="s">
        <v>3316</v>
      </c>
      <c r="R665" s="311" t="s">
        <v>194</v>
      </c>
      <c r="S665" s="312"/>
    </row>
    <row r="666">
      <c r="A666" s="230">
        <v>666.0</v>
      </c>
      <c r="B666" s="230" t="s">
        <v>188</v>
      </c>
      <c r="C666" s="231"/>
      <c r="D666" s="232"/>
      <c r="E666" s="232">
        <f>IFERROR(__xludf.DUMMYFUNCTION("iferror(SPLIT(D666,""/""),split(""0/0"",""/""))"),0.0)</f>
        <v>0</v>
      </c>
      <c r="F666" s="232">
        <f>IFERROR(__xludf.DUMMYFUNCTION("""COMPUTED_VALUE"""),0.0)</f>
        <v>0</v>
      </c>
      <c r="G666" s="247" t="b">
        <v>0</v>
      </c>
      <c r="H666" s="242" t="str">
        <f t="shared" si="1"/>
        <v/>
      </c>
      <c r="I666" s="243" t="s">
        <v>3317</v>
      </c>
      <c r="J666" s="308" t="str">
        <f t="shared" si="2"/>
        <v>Defeat a Breeze in the Trial Chambers (Defeat a Breeze)</v>
      </c>
      <c r="K666" s="309" t="s">
        <v>3318</v>
      </c>
      <c r="L666" s="310"/>
      <c r="M666" s="309" t="s">
        <v>3319</v>
      </c>
      <c r="N666" s="309" t="s">
        <v>3320</v>
      </c>
      <c r="O666" s="239" t="s">
        <v>3321</v>
      </c>
      <c r="P666" s="311" t="s">
        <v>2809</v>
      </c>
      <c r="Q666" s="312" t="s">
        <v>3322</v>
      </c>
      <c r="R666" s="311" t="s">
        <v>194</v>
      </c>
      <c r="S666" s="312"/>
    </row>
    <row r="667">
      <c r="A667" s="230">
        <v>667.0</v>
      </c>
      <c r="B667" s="230" t="s">
        <v>257</v>
      </c>
      <c r="C667" s="231"/>
      <c r="D667" s="232"/>
      <c r="E667" s="232">
        <f>IFERROR(__xludf.DUMMYFUNCTION("iferror(SPLIT(D667,""/""),split(""0/0"",""/""))"),0.0)</f>
        <v>0</v>
      </c>
      <c r="F667" s="232">
        <f>IFERROR(__xludf.DUMMYFUNCTION("""COMPUTED_VALUE"""),0.0)</f>
        <v>0</v>
      </c>
      <c r="G667" s="247" t="b">
        <v>0</v>
      </c>
      <c r="H667" s="242" t="str">
        <f t="shared" si="1"/>
        <v/>
      </c>
      <c r="I667" s="243" t="s">
        <v>3323</v>
      </c>
      <c r="J667" s="308" t="str">
        <f t="shared" si="2"/>
        <v>Use a Wind Charge to launch yourself upward at least 8 blocks (Be launched upward at least 8 blocks from a player-thrown Wind Charge)</v>
      </c>
      <c r="K667" s="309" t="s">
        <v>3324</v>
      </c>
      <c r="L667" s="310"/>
      <c r="M667" s="309" t="s">
        <v>3325</v>
      </c>
      <c r="N667" s="309" t="s">
        <v>3326</v>
      </c>
      <c r="O667" s="239" t="s">
        <v>3327</v>
      </c>
      <c r="P667" s="311" t="s">
        <v>2809</v>
      </c>
      <c r="Q667" s="312" t="s">
        <v>3328</v>
      </c>
      <c r="R667" s="311" t="s">
        <v>194</v>
      </c>
      <c r="S667" s="311" t="s">
        <v>993</v>
      </c>
    </row>
    <row r="668">
      <c r="A668" s="230">
        <v>668.0</v>
      </c>
      <c r="B668" s="230" t="s">
        <v>188</v>
      </c>
      <c r="C668" s="231"/>
      <c r="D668" s="232"/>
      <c r="E668" s="232">
        <f>IFERROR(__xludf.DUMMYFUNCTION("iferror(SPLIT(D668,""/""),split(""0/0"",""/""))"),0.0)</f>
        <v>0</v>
      </c>
      <c r="F668" s="232">
        <f>IFERROR(__xludf.DUMMYFUNCTION("""COMPUTED_VALUE"""),0.0)</f>
        <v>0</v>
      </c>
      <c r="G668" s="247" t="b">
        <v>0</v>
      </c>
      <c r="H668" s="242" t="str">
        <f t="shared" si="1"/>
        <v/>
      </c>
      <c r="I668" s="246" t="s">
        <v>3329</v>
      </c>
      <c r="J668" s="308" t="str">
        <f t="shared" si="2"/>
        <v>Defeat enough Breezes to collect a stack of Breeze Rods (Obtain 64 Breeze Rods)</v>
      </c>
      <c r="K668" s="309" t="s">
        <v>3330</v>
      </c>
      <c r="L668" s="310"/>
      <c r="M668" s="309" t="s">
        <v>3331</v>
      </c>
      <c r="N668" s="309" t="s">
        <v>3332</v>
      </c>
      <c r="O668" s="239" t="s">
        <v>3333</v>
      </c>
      <c r="P668" s="311" t="s">
        <v>2809</v>
      </c>
      <c r="Q668" s="312" t="s">
        <v>3334</v>
      </c>
      <c r="R668" s="311" t="s">
        <v>194</v>
      </c>
      <c r="S668" s="311" t="s">
        <v>993</v>
      </c>
    </row>
    <row r="669">
      <c r="A669" s="230">
        <v>669.0</v>
      </c>
      <c r="B669" s="230" t="s">
        <v>257</v>
      </c>
      <c r="C669" s="231"/>
      <c r="D669" s="232"/>
      <c r="E669" s="232">
        <f>IFERROR(__xludf.DUMMYFUNCTION("iferror(SPLIT(D669,""/""),split(""0/0"",""/""))"),0.0)</f>
        <v>0</v>
      </c>
      <c r="F669" s="232">
        <f>IFERROR(__xludf.DUMMYFUNCTION("""COMPUTED_VALUE"""),0.0)</f>
        <v>0</v>
      </c>
      <c r="G669" s="247" t="b">
        <v>0</v>
      </c>
      <c r="H669" s="242" t="str">
        <f t="shared" si="1"/>
        <v/>
      </c>
      <c r="I669" s="243" t="s">
        <v>3335</v>
      </c>
      <c r="J669" s="308" t="str">
        <f t="shared" si="2"/>
        <v>Throw a Wind Charge at a mob that is standing on top of a trapdoor (The Wind Charge must hit the mob and damage it)</v>
      </c>
      <c r="K669" s="309" t="s">
        <v>3324</v>
      </c>
      <c r="L669" s="310"/>
      <c r="M669" s="309" t="s">
        <v>3336</v>
      </c>
      <c r="N669" s="309" t="s">
        <v>3337</v>
      </c>
      <c r="O669" s="239" t="s">
        <v>3338</v>
      </c>
      <c r="P669" s="311" t="s">
        <v>2809</v>
      </c>
      <c r="Q669" s="312" t="s">
        <v>3339</v>
      </c>
      <c r="R669" s="311" t="s">
        <v>194</v>
      </c>
      <c r="S669" s="311" t="s">
        <v>262</v>
      </c>
    </row>
    <row r="670">
      <c r="A670" s="230">
        <v>670.0</v>
      </c>
      <c r="B670" s="230" t="s">
        <v>257</v>
      </c>
      <c r="C670" s="231"/>
      <c r="D670" s="232"/>
      <c r="E670" s="232">
        <f>IFERROR(__xludf.DUMMYFUNCTION("iferror(SPLIT(D670,""/""),split(""0/0"",""/""))"),0.0)</f>
        <v>0</v>
      </c>
      <c r="F670" s="232">
        <f>IFERROR(__xludf.DUMMYFUNCTION("""COMPUTED_VALUE"""),0.0)</f>
        <v>0</v>
      </c>
      <c r="G670" s="247" t="b">
        <v>0</v>
      </c>
      <c r="H670" s="242" t="str">
        <f t="shared" si="1"/>
        <v/>
      </c>
      <c r="I670" s="249" t="s">
        <v>3340</v>
      </c>
      <c r="J670" s="308" t="str">
        <f t="shared" si="2"/>
        <v>Kill a Breeze with a deflected Wind Charge (Hit a breeze-fired Wind Charge back at a Breeze such that it kills it. Note: They only do half a heart of damage)</v>
      </c>
      <c r="K670" s="309" t="s">
        <v>3330</v>
      </c>
      <c r="L670" s="310"/>
      <c r="M670" s="309" t="s">
        <v>3341</v>
      </c>
      <c r="N670" s="309" t="s">
        <v>3342</v>
      </c>
      <c r="O670" s="239" t="s">
        <v>3321</v>
      </c>
      <c r="P670" s="311" t="s">
        <v>2809</v>
      </c>
      <c r="Q670" s="312" t="s">
        <v>3343</v>
      </c>
      <c r="R670" s="311" t="s">
        <v>194</v>
      </c>
      <c r="S670" s="311" t="s">
        <v>993</v>
      </c>
    </row>
    <row r="671">
      <c r="A671" s="230">
        <v>671.0</v>
      </c>
      <c r="B671" s="230" t="s">
        <v>206</v>
      </c>
      <c r="C671" s="231"/>
      <c r="D671" s="232"/>
      <c r="E671" s="232">
        <f>IFERROR(__xludf.DUMMYFUNCTION("iferror(SPLIT(D671,""/""),split(""0/0"",""/""))"),0.0)</f>
        <v>0</v>
      </c>
      <c r="F671" s="232">
        <f>IFERROR(__xludf.DUMMYFUNCTION("""COMPUTED_VALUE"""),0.0)</f>
        <v>0</v>
      </c>
      <c r="G671" s="247" t="b">
        <v>0</v>
      </c>
      <c r="H671" s="242" t="str">
        <f t="shared" si="1"/>
        <v/>
      </c>
      <c r="I671" s="243" t="s">
        <v>3344</v>
      </c>
      <c r="J671" s="308" t="str">
        <f t="shared" si="2"/>
        <v>Unlock a Vault using a Trial Key</v>
      </c>
      <c r="K671" s="309" t="s">
        <v>3345</v>
      </c>
      <c r="L671" s="310"/>
      <c r="M671" s="309"/>
      <c r="N671" s="309" t="s">
        <v>3346</v>
      </c>
      <c r="O671" s="239" t="s">
        <v>3347</v>
      </c>
      <c r="P671" s="311" t="s">
        <v>2809</v>
      </c>
      <c r="Q671" s="312" t="s">
        <v>3348</v>
      </c>
      <c r="R671" s="311" t="s">
        <v>194</v>
      </c>
      <c r="S671" s="312"/>
    </row>
    <row r="672">
      <c r="A672" s="230">
        <v>672.0</v>
      </c>
      <c r="B672" s="230" t="s">
        <v>206</v>
      </c>
      <c r="C672" s="231"/>
      <c r="D672" s="232"/>
      <c r="E672" s="232">
        <f>IFERROR(__xludf.DUMMYFUNCTION("iferror(SPLIT(D672,""/""),split(""0/0"",""/""))"),0.0)</f>
        <v>0</v>
      </c>
      <c r="F672" s="232">
        <f>IFERROR(__xludf.DUMMYFUNCTION("""COMPUTED_VALUE"""),0.0)</f>
        <v>0</v>
      </c>
      <c r="G672" s="247" t="b">
        <v>0</v>
      </c>
      <c r="H672" s="242" t="str">
        <f t="shared" si="1"/>
        <v/>
      </c>
      <c r="I672" s="243" t="s">
        <v>3349</v>
      </c>
      <c r="J672" s="308" t="str">
        <f t="shared" si="2"/>
        <v>Drink an Ominous Bottle in a Trial Chamber to cast a greater challenge (Get the Trial Omen effect)</v>
      </c>
      <c r="K672" s="309"/>
      <c r="L672" s="310"/>
      <c r="M672" s="309" t="s">
        <v>3350</v>
      </c>
      <c r="N672" s="309" t="s">
        <v>3351</v>
      </c>
      <c r="O672" s="239" t="s">
        <v>3064</v>
      </c>
      <c r="P672" s="311" t="s">
        <v>2809</v>
      </c>
      <c r="Q672" s="312" t="s">
        <v>3352</v>
      </c>
      <c r="R672" s="311" t="s">
        <v>194</v>
      </c>
      <c r="S672" s="312"/>
    </row>
    <row r="673">
      <c r="A673" s="230">
        <v>673.0</v>
      </c>
      <c r="B673" s="230" t="s">
        <v>206</v>
      </c>
      <c r="C673" s="231"/>
      <c r="D673" s="232"/>
      <c r="E673" s="232">
        <f>IFERROR(__xludf.DUMMYFUNCTION("iferror(SPLIT(D673,""/""),split(""0/0"",""/""))"),0.0)</f>
        <v>0</v>
      </c>
      <c r="F673" s="232">
        <f>IFERROR(__xludf.DUMMYFUNCTION("""COMPUTED_VALUE"""),0.0)</f>
        <v>0</v>
      </c>
      <c r="G673" s="247" t="b">
        <v>0</v>
      </c>
      <c r="H673" s="242" t="str">
        <f t="shared" si="1"/>
        <v/>
      </c>
      <c r="I673" s="246" t="s">
        <v>3353</v>
      </c>
      <c r="J673" s="308" t="str">
        <f t="shared" si="2"/>
        <v>Unlock an Ominous Vault with an Ominous Trial Key</v>
      </c>
      <c r="K673" s="315" t="s">
        <v>3354</v>
      </c>
      <c r="L673" s="316"/>
      <c r="M673" s="309"/>
      <c r="N673" s="309" t="s">
        <v>3355</v>
      </c>
      <c r="O673" s="239" t="s">
        <v>3356</v>
      </c>
      <c r="P673" s="311" t="s">
        <v>2809</v>
      </c>
      <c r="Q673" s="312" t="s">
        <v>3357</v>
      </c>
      <c r="R673" s="311" t="s">
        <v>194</v>
      </c>
      <c r="S673" s="312"/>
    </row>
    <row r="674">
      <c r="A674" s="230">
        <v>674.0</v>
      </c>
      <c r="B674" s="230" t="s">
        <v>257</v>
      </c>
      <c r="C674" s="231"/>
      <c r="D674" s="232"/>
      <c r="E674" s="232">
        <f>IFERROR(__xludf.DUMMYFUNCTION("iferror(SPLIT(D674,""/""),split(""0/0"",""/""))"),0.0)</f>
        <v>0</v>
      </c>
      <c r="F674" s="232">
        <f>IFERROR(__xludf.DUMMYFUNCTION("""COMPUTED_VALUE"""),0.0)</f>
        <v>0</v>
      </c>
      <c r="G674" s="247" t="b">
        <v>0</v>
      </c>
      <c r="H674" s="242" t="str">
        <f t="shared" si="1"/>
        <v/>
      </c>
      <c r="I674" s="246" t="s">
        <v>3358</v>
      </c>
      <c r="J674" s="308" t="str">
        <f t="shared" si="2"/>
        <v>Unlock 25 Vaults across Trial Chambers (This counts both Vaults and Ominous Vaults)</v>
      </c>
      <c r="K674" s="309" t="s">
        <v>3359</v>
      </c>
      <c r="L674" s="310"/>
      <c r="M674" s="309" t="s">
        <v>3360</v>
      </c>
      <c r="N674" s="309" t="s">
        <v>3361</v>
      </c>
      <c r="O674" s="239" t="s">
        <v>3362</v>
      </c>
      <c r="P674" s="311" t="s">
        <v>2809</v>
      </c>
      <c r="Q674" s="312" t="s">
        <v>3363</v>
      </c>
      <c r="R674" s="311" t="s">
        <v>194</v>
      </c>
      <c r="S674" s="311" t="s">
        <v>993</v>
      </c>
    </row>
    <row r="675">
      <c r="A675" s="230">
        <v>675.0</v>
      </c>
      <c r="B675" s="230" t="s">
        <v>257</v>
      </c>
      <c r="C675" s="231"/>
      <c r="D675" s="232"/>
      <c r="E675" s="232">
        <f>IFERROR(__xludf.DUMMYFUNCTION("iferror(SPLIT(D675,""/""),split(""0/0"",""/""))"),0.0)</f>
        <v>0</v>
      </c>
      <c r="F675" s="232">
        <f>IFERROR(__xludf.DUMMYFUNCTION("""COMPUTED_VALUE"""),0.0)</f>
        <v>0</v>
      </c>
      <c r="G675" s="247" t="b">
        <v>0</v>
      </c>
      <c r="H675" s="242" t="str">
        <f t="shared" si="1"/>
        <v/>
      </c>
      <c r="I675" s="249" t="s">
        <v>3364</v>
      </c>
      <c r="J675" s="308" t="str">
        <f t="shared" si="2"/>
        <v>Collect a stack of all kinds of keys (Obtain 64 Trial Keys and 64 Ominous Trial Keys)</v>
      </c>
      <c r="K675" s="309"/>
      <c r="L675" s="310"/>
      <c r="M675" s="309" t="s">
        <v>3365</v>
      </c>
      <c r="N675" s="309" t="s">
        <v>3366</v>
      </c>
      <c r="O675" s="239" t="s">
        <v>3347</v>
      </c>
      <c r="P675" s="311" t="s">
        <v>2809</v>
      </c>
      <c r="Q675" s="312" t="s">
        <v>3367</v>
      </c>
      <c r="R675" s="311" t="s">
        <v>194</v>
      </c>
      <c r="S675" s="312"/>
    </row>
    <row r="676">
      <c r="A676" s="230">
        <v>676.0</v>
      </c>
      <c r="B676" s="230" t="s">
        <v>257</v>
      </c>
      <c r="C676" s="231"/>
      <c r="D676" s="232"/>
      <c r="E676" s="232">
        <f>IFERROR(__xludf.DUMMYFUNCTION("iferror(SPLIT(D676,""/""),split(""0/0"",""/""))"),0.0)</f>
        <v>0</v>
      </c>
      <c r="F676" s="232">
        <f>IFERROR(__xludf.DUMMYFUNCTION("""COMPUTED_VALUE"""),0.0)</f>
        <v>0</v>
      </c>
      <c r="G676" s="247" t="b">
        <v>0</v>
      </c>
      <c r="H676" s="242" t="str">
        <f t="shared" si="1"/>
        <v/>
      </c>
      <c r="I676" s="246" t="s">
        <v>3368</v>
      </c>
      <c r="J676" s="308" t="str">
        <f t="shared" si="2"/>
        <v>Collect every kind of treasure item that can only be found in Trial Chambers (See requirement notes below)</v>
      </c>
      <c r="K676" s="309"/>
      <c r="L676" s="310"/>
      <c r="M676" s="313" t="s">
        <v>238</v>
      </c>
      <c r="N676" s="309" t="s">
        <v>3369</v>
      </c>
      <c r="O676" s="239" t="s">
        <v>3370</v>
      </c>
      <c r="P676" s="311" t="s">
        <v>2809</v>
      </c>
      <c r="Q676" s="312" t="s">
        <v>3371</v>
      </c>
      <c r="R676" s="311" t="s">
        <v>194</v>
      </c>
      <c r="S676" s="311" t="s">
        <v>993</v>
      </c>
    </row>
    <row r="677">
      <c r="A677" s="230">
        <v>677.0</v>
      </c>
      <c r="B677" s="230" t="s">
        <v>188</v>
      </c>
      <c r="C677" s="231"/>
      <c r="D677" s="232"/>
      <c r="E677" s="232">
        <f>IFERROR(__xludf.DUMMYFUNCTION("iferror(SPLIT(D677,""/""),split(""0/0"",""/""))"),0.0)</f>
        <v>0</v>
      </c>
      <c r="F677" s="232">
        <f>IFERROR(__xludf.DUMMYFUNCTION("""COMPUTED_VALUE"""),0.0)</f>
        <v>0</v>
      </c>
      <c r="G677" s="247" t="b">
        <v>0</v>
      </c>
      <c r="H677" s="242" t="str">
        <f t="shared" si="1"/>
        <v/>
      </c>
      <c r="I677" s="249" t="s">
        <v>3372</v>
      </c>
      <c r="J677" s="308" t="str">
        <f t="shared" si="2"/>
        <v>Collect a stack of one tier of Ominous Bottles (Obtain 64 Ominous Bottles of a single kind, so that they stack into a single slot)</v>
      </c>
      <c r="K677" s="309"/>
      <c r="L677" s="310"/>
      <c r="M677" s="309" t="s">
        <v>3373</v>
      </c>
      <c r="N677" s="309" t="s">
        <v>3374</v>
      </c>
      <c r="O677" s="239" t="s">
        <v>3064</v>
      </c>
      <c r="P677" s="311" t="s">
        <v>2809</v>
      </c>
      <c r="Q677" s="312" t="s">
        <v>3375</v>
      </c>
      <c r="R677" s="311" t="s">
        <v>194</v>
      </c>
      <c r="S677" s="311" t="s">
        <v>993</v>
      </c>
    </row>
    <row r="678">
      <c r="A678" s="230">
        <v>678.0</v>
      </c>
      <c r="B678" s="230" t="s">
        <v>188</v>
      </c>
      <c r="C678" s="231"/>
      <c r="D678" s="232"/>
      <c r="E678" s="232">
        <f>IFERROR(__xludf.DUMMYFUNCTION("iferror(SPLIT(D678,""/""),split(""0/0"",""/""))"),0.0)</f>
        <v>0</v>
      </c>
      <c r="F678" s="232">
        <f>IFERROR(__xludf.DUMMYFUNCTION("""COMPUTED_VALUE"""),0.0)</f>
        <v>0</v>
      </c>
      <c r="G678" s="247" t="b">
        <v>0</v>
      </c>
      <c r="H678" s="242" t="str">
        <f t="shared" si="1"/>
        <v/>
      </c>
      <c r="I678" s="235" t="s">
        <v>3376</v>
      </c>
      <c r="J678" s="302" t="str">
        <f t="shared" si="2"/>
        <v>Cracking contraptions (Obtain redstone dust)</v>
      </c>
      <c r="K678" s="303"/>
      <c r="L678" s="304"/>
      <c r="M678" s="303" t="s">
        <v>612</v>
      </c>
      <c r="N678" s="303" t="s">
        <v>3377</v>
      </c>
      <c r="O678" s="239" t="s">
        <v>614</v>
      </c>
      <c r="P678" s="305" t="s">
        <v>3376</v>
      </c>
      <c r="Q678" s="306" t="s">
        <v>3378</v>
      </c>
      <c r="R678" s="305" t="s">
        <v>194</v>
      </c>
      <c r="S678" s="306"/>
    </row>
    <row r="679">
      <c r="A679" s="230">
        <v>679.0</v>
      </c>
      <c r="B679" s="230" t="s">
        <v>206</v>
      </c>
      <c r="C679" s="231"/>
      <c r="D679" s="232"/>
      <c r="E679" s="232">
        <f>IFERROR(__xludf.DUMMYFUNCTION("iferror(SPLIT(D679,""/""),split(""0/0"",""/""))"),0.0)</f>
        <v>0</v>
      </c>
      <c r="F679" s="232">
        <f>IFERROR(__xludf.DUMMYFUNCTION("""COMPUTED_VALUE"""),0.0)</f>
        <v>0</v>
      </c>
      <c r="G679" s="247" t="b">
        <v>0</v>
      </c>
      <c r="H679" s="242" t="str">
        <f t="shared" si="1"/>
        <v/>
      </c>
      <c r="I679" s="243" t="s">
        <v>3379</v>
      </c>
      <c r="J679" s="302" t="str">
        <f t="shared" si="2"/>
        <v>Place and push a button (Press any button)</v>
      </c>
      <c r="K679" s="303"/>
      <c r="L679" s="304"/>
      <c r="M679" s="303" t="s">
        <v>3380</v>
      </c>
      <c r="N679" s="303" t="s">
        <v>3381</v>
      </c>
      <c r="O679" s="239" t="s">
        <v>3382</v>
      </c>
      <c r="P679" s="305" t="s">
        <v>3376</v>
      </c>
      <c r="Q679" s="306" t="s">
        <v>3383</v>
      </c>
      <c r="R679" s="305" t="s">
        <v>194</v>
      </c>
      <c r="S679" s="306"/>
    </row>
    <row r="680">
      <c r="A680" s="230">
        <v>680.0</v>
      </c>
      <c r="B680" s="230" t="s">
        <v>206</v>
      </c>
      <c r="C680" s="231"/>
      <c r="D680" s="232"/>
      <c r="E680" s="232">
        <f>IFERROR(__xludf.DUMMYFUNCTION("iferror(SPLIT(D680,""/""),split(""0/0"",""/""))"),0.0)</f>
        <v>0</v>
      </c>
      <c r="F680" s="232">
        <f>IFERROR(__xludf.DUMMYFUNCTION("""COMPUTED_VALUE"""),0.0)</f>
        <v>0</v>
      </c>
      <c r="G680" s="247" t="b">
        <v>0</v>
      </c>
      <c r="H680" s="242" t="str">
        <f t="shared" si="1"/>
        <v/>
      </c>
      <c r="I680" s="243" t="s">
        <v>3384</v>
      </c>
      <c r="J680" s="302" t="str">
        <f t="shared" si="2"/>
        <v>Flick a lever</v>
      </c>
      <c r="K680" s="303"/>
      <c r="L680" s="304"/>
      <c r="M680" s="303"/>
      <c r="N680" s="303" t="s">
        <v>3385</v>
      </c>
      <c r="O680" s="239" t="s">
        <v>2319</v>
      </c>
      <c r="P680" s="305" t="s">
        <v>3376</v>
      </c>
      <c r="Q680" s="306" t="s">
        <v>3386</v>
      </c>
      <c r="R680" s="305" t="s">
        <v>194</v>
      </c>
      <c r="S680" s="306"/>
    </row>
    <row r="681">
      <c r="A681" s="230">
        <v>681.0</v>
      </c>
      <c r="B681" s="230" t="s">
        <v>206</v>
      </c>
      <c r="C681" s="231"/>
      <c r="D681" s="232"/>
      <c r="E681" s="232">
        <f>IFERROR(__xludf.DUMMYFUNCTION("iferror(SPLIT(D681,""/""),split(""0/0"",""/""))"),0.0)</f>
        <v>0</v>
      </c>
      <c r="F681" s="232">
        <f>IFERROR(__xludf.DUMMYFUNCTION("""COMPUTED_VALUE"""),0.0)</f>
        <v>0</v>
      </c>
      <c r="G681" s="247" t="b">
        <v>0</v>
      </c>
      <c r="H681" s="242" t="str">
        <f t="shared" si="1"/>
        <v/>
      </c>
      <c r="I681" s="243" t="s">
        <v>3387</v>
      </c>
      <c r="J681" s="302" t="str">
        <f t="shared" si="2"/>
        <v>Step on a pressure plate (Step on any pressure plate)</v>
      </c>
      <c r="K681" s="303"/>
      <c r="L681" s="304"/>
      <c r="M681" s="303" t="s">
        <v>3388</v>
      </c>
      <c r="N681" s="303" t="s">
        <v>3389</v>
      </c>
      <c r="O681" s="239" t="s">
        <v>3390</v>
      </c>
      <c r="P681" s="305" t="s">
        <v>3376</v>
      </c>
      <c r="Q681" s="306" t="s">
        <v>3391</v>
      </c>
      <c r="R681" s="305" t="s">
        <v>194</v>
      </c>
      <c r="S681" s="306"/>
    </row>
    <row r="682">
      <c r="A682" s="230">
        <v>682.0</v>
      </c>
      <c r="B682" s="230" t="s">
        <v>188</v>
      </c>
      <c r="C682" s="231"/>
      <c r="D682" s="232"/>
      <c r="E682" s="232">
        <f>IFERROR(__xludf.DUMMYFUNCTION("iferror(SPLIT(D682,""/""),split(""0/0"",""/""))"),0.0)</f>
        <v>0</v>
      </c>
      <c r="F682" s="232">
        <f>IFERROR(__xludf.DUMMYFUNCTION("""COMPUTED_VALUE"""),0.0)</f>
        <v>0</v>
      </c>
      <c r="G682" s="247" t="b">
        <v>0</v>
      </c>
      <c r="H682" s="242" t="str">
        <f t="shared" si="1"/>
        <v/>
      </c>
      <c r="I682" s="243" t="s">
        <v>3392</v>
      </c>
      <c r="J682" s="302" t="str">
        <f t="shared" si="2"/>
        <v>Use a pressure plate to craft a detector rail (Obtain a Detector Rail)</v>
      </c>
      <c r="K682" s="303"/>
      <c r="L682" s="304"/>
      <c r="M682" s="303" t="s">
        <v>3393</v>
      </c>
      <c r="N682" s="303" t="s">
        <v>3394</v>
      </c>
      <c r="O682" s="239" t="s">
        <v>3395</v>
      </c>
      <c r="P682" s="305" t="s">
        <v>3376</v>
      </c>
      <c r="Q682" s="306" t="s">
        <v>3396</v>
      </c>
      <c r="R682" s="305" t="s">
        <v>194</v>
      </c>
      <c r="S682" s="306"/>
    </row>
    <row r="683">
      <c r="A683" s="230">
        <v>683.0</v>
      </c>
      <c r="B683" s="230" t="s">
        <v>188</v>
      </c>
      <c r="C683" s="231"/>
      <c r="D683" s="232"/>
      <c r="E683" s="232">
        <f>IFERROR(__xludf.DUMMYFUNCTION("iferror(SPLIT(D683,""/""),split(""0/0"",""/""))"),0.0)</f>
        <v>0</v>
      </c>
      <c r="F683" s="232">
        <f>IFERROR(__xludf.DUMMYFUNCTION("""COMPUTED_VALUE"""),0.0)</f>
        <v>0</v>
      </c>
      <c r="G683" s="247" t="b">
        <v>0</v>
      </c>
      <c r="H683" s="242" t="str">
        <f t="shared" si="1"/>
        <v/>
      </c>
      <c r="I683" s="243" t="s">
        <v>3397</v>
      </c>
      <c r="J683" s="302" t="str">
        <f t="shared" si="2"/>
        <v>Craft an iron weighted pressure plate (Obtain a Heavy Weighted Pressure Plate)</v>
      </c>
      <c r="K683" s="303"/>
      <c r="L683" s="304"/>
      <c r="M683" s="303" t="s">
        <v>3398</v>
      </c>
      <c r="N683" s="303" t="s">
        <v>3399</v>
      </c>
      <c r="O683" s="239" t="s">
        <v>3400</v>
      </c>
      <c r="P683" s="305" t="s">
        <v>3376</v>
      </c>
      <c r="Q683" s="306" t="s">
        <v>3401</v>
      </c>
      <c r="R683" s="305" t="s">
        <v>194</v>
      </c>
      <c r="S683" s="306"/>
    </row>
    <row r="684">
      <c r="A684" s="230">
        <v>684.0</v>
      </c>
      <c r="B684" s="230" t="s">
        <v>188</v>
      </c>
      <c r="C684" s="231"/>
      <c r="D684" s="232"/>
      <c r="E684" s="232">
        <f>IFERROR(__xludf.DUMMYFUNCTION("iferror(SPLIT(D684,""/""),split(""0/0"",""/""))"),0.0)</f>
        <v>0</v>
      </c>
      <c r="F684" s="232">
        <f>IFERROR(__xludf.DUMMYFUNCTION("""COMPUTED_VALUE"""),0.0)</f>
        <v>0</v>
      </c>
      <c r="G684" s="247" t="b">
        <v>0</v>
      </c>
      <c r="H684" s="242" t="str">
        <f t="shared" si="1"/>
        <v/>
      </c>
      <c r="I684" s="243" t="s">
        <v>3402</v>
      </c>
      <c r="J684" s="302" t="str">
        <f t="shared" si="2"/>
        <v>Craft a golden weighted pressure plate (Obtain a Light Weighted Pressure Plate)</v>
      </c>
      <c r="K684" s="303"/>
      <c r="L684" s="304"/>
      <c r="M684" s="303" t="s">
        <v>3403</v>
      </c>
      <c r="N684" s="303" t="s">
        <v>3404</v>
      </c>
      <c r="O684" s="239" t="s">
        <v>3405</v>
      </c>
      <c r="P684" s="305" t="s">
        <v>3376</v>
      </c>
      <c r="Q684" s="306" t="s">
        <v>3406</v>
      </c>
      <c r="R684" s="305" t="s">
        <v>194</v>
      </c>
      <c r="S684" s="306"/>
    </row>
    <row r="685">
      <c r="A685" s="230">
        <v>685.0</v>
      </c>
      <c r="B685" s="230" t="s">
        <v>188</v>
      </c>
      <c r="C685" s="231"/>
      <c r="D685" s="232"/>
      <c r="E685" s="232">
        <f>IFERROR(__xludf.DUMMYFUNCTION("iferror(SPLIT(D685,""/""),split(""0/0"",""/""))"),0.0)</f>
        <v>0</v>
      </c>
      <c r="F685" s="232">
        <f>IFERROR(__xludf.DUMMYFUNCTION("""COMPUTED_VALUE"""),0.0)</f>
        <v>0</v>
      </c>
      <c r="G685" s="247" t="b">
        <v>0</v>
      </c>
      <c r="H685" s="242" t="str">
        <f t="shared" si="1"/>
        <v/>
      </c>
      <c r="I685" s="243" t="s">
        <v>3407</v>
      </c>
      <c r="J685" s="302" t="str">
        <f t="shared" si="2"/>
        <v>Place a line of string between two tripwire hooks, and trigger it (Stand on an attached line of tripwire that has not been defused)</v>
      </c>
      <c r="K685" s="303"/>
      <c r="L685" s="304"/>
      <c r="M685" s="303" t="s">
        <v>3408</v>
      </c>
      <c r="N685" s="303" t="s">
        <v>3409</v>
      </c>
      <c r="O685" s="239" t="s">
        <v>2631</v>
      </c>
      <c r="P685" s="305" t="s">
        <v>3376</v>
      </c>
      <c r="Q685" s="306" t="s">
        <v>3410</v>
      </c>
      <c r="R685" s="305" t="s">
        <v>194</v>
      </c>
      <c r="S685" s="306"/>
    </row>
    <row r="686">
      <c r="A686" s="230">
        <v>686.0</v>
      </c>
      <c r="B686" s="230" t="s">
        <v>283</v>
      </c>
      <c r="C686" s="231"/>
      <c r="D686" s="232"/>
      <c r="E686" s="232">
        <f>IFERROR(__xludf.DUMMYFUNCTION("iferror(SPLIT(D686,""/""),split(""0/0"",""/""))"),0.0)</f>
        <v>0</v>
      </c>
      <c r="F686" s="232">
        <f>IFERROR(__xludf.DUMMYFUNCTION("""COMPUTED_VALUE"""),0.0)</f>
        <v>0</v>
      </c>
      <c r="G686" s="247" t="b">
        <v>0</v>
      </c>
      <c r="H686" s="242" t="str">
        <f t="shared" si="1"/>
        <v/>
      </c>
      <c r="I686" s="243" t="s">
        <v>3411</v>
      </c>
      <c r="J686" s="302" t="str">
        <f t="shared" si="2"/>
        <v>Trigger a trapped chest. Good for trolling your friends! (Open a Trapped Chest)</v>
      </c>
      <c r="K686" s="303"/>
      <c r="L686" s="304"/>
      <c r="M686" s="303" t="s">
        <v>3412</v>
      </c>
      <c r="N686" s="303" t="s">
        <v>3413</v>
      </c>
      <c r="O686" s="239" t="s">
        <v>3414</v>
      </c>
      <c r="P686" s="305" t="s">
        <v>3376</v>
      </c>
      <c r="Q686" s="306" t="s">
        <v>3415</v>
      </c>
      <c r="R686" s="305" t="s">
        <v>194</v>
      </c>
      <c r="S686" s="306" t="s">
        <v>290</v>
      </c>
    </row>
    <row r="687">
      <c r="A687" s="230">
        <v>687.0</v>
      </c>
      <c r="B687" s="230" t="s">
        <v>188</v>
      </c>
      <c r="C687" s="231"/>
      <c r="D687" s="232"/>
      <c r="E687" s="232">
        <f>IFERROR(__xludf.DUMMYFUNCTION("iferror(SPLIT(D687,""/""),split(""0/0"",""/""))"),0.0)</f>
        <v>0</v>
      </c>
      <c r="F687" s="232">
        <f>IFERROR(__xludf.DUMMYFUNCTION("""COMPUTED_VALUE"""),0.0)</f>
        <v>0</v>
      </c>
      <c r="G687" s="247" t="b">
        <v>0</v>
      </c>
      <c r="H687" s="242" t="str">
        <f t="shared" si="1"/>
        <v/>
      </c>
      <c r="I687" s="243" t="s">
        <v>3416</v>
      </c>
      <c r="J687" s="302" t="str">
        <f t="shared" si="2"/>
        <v>Craft and place a redstone torch (Place a Redstone Torch)</v>
      </c>
      <c r="K687" s="303" t="s">
        <v>3417</v>
      </c>
      <c r="L687" s="304"/>
      <c r="M687" s="303" t="s">
        <v>3418</v>
      </c>
      <c r="N687" s="303" t="s">
        <v>3419</v>
      </c>
      <c r="O687" s="239" t="s">
        <v>1478</v>
      </c>
      <c r="P687" s="305" t="s">
        <v>3376</v>
      </c>
      <c r="Q687" s="306" t="s">
        <v>3420</v>
      </c>
      <c r="R687" s="305" t="s">
        <v>194</v>
      </c>
      <c r="S687" s="306"/>
    </row>
    <row r="688">
      <c r="A688" s="230">
        <v>688.0</v>
      </c>
      <c r="B688" s="230" t="s">
        <v>188</v>
      </c>
      <c r="C688" s="231"/>
      <c r="D688" s="232"/>
      <c r="E688" s="232">
        <f>IFERROR(__xludf.DUMMYFUNCTION("iferror(SPLIT(D688,""/""),split(""0/0"",""/""))"),0.0)</f>
        <v>0</v>
      </c>
      <c r="F688" s="232">
        <f>IFERROR(__xludf.DUMMYFUNCTION("""COMPUTED_VALUE"""),0.0)</f>
        <v>0</v>
      </c>
      <c r="G688" s="247" t="b">
        <v>0</v>
      </c>
      <c r="H688" s="242" t="str">
        <f t="shared" si="1"/>
        <v/>
      </c>
      <c r="I688" s="243" t="s">
        <v>3421</v>
      </c>
      <c r="J688" s="302" t="str">
        <f t="shared" si="2"/>
        <v>Craft a redstone repeater for delaying signals (Obtain a Redstone Repeater)</v>
      </c>
      <c r="K688" s="303"/>
      <c r="L688" s="304"/>
      <c r="M688" s="303" t="s">
        <v>3422</v>
      </c>
      <c r="N688" s="303" t="s">
        <v>3423</v>
      </c>
      <c r="O688" s="239" t="s">
        <v>3424</v>
      </c>
      <c r="P688" s="305" t="s">
        <v>3376</v>
      </c>
      <c r="Q688" s="306" t="s">
        <v>3425</v>
      </c>
      <c r="R688" s="305" t="s">
        <v>194</v>
      </c>
      <c r="S688" s="306"/>
    </row>
    <row r="689">
      <c r="A689" s="230">
        <v>689.0</v>
      </c>
      <c r="B689" s="230" t="s">
        <v>188</v>
      </c>
      <c r="C689" s="231"/>
      <c r="D689" s="232"/>
      <c r="E689" s="232">
        <f>IFERROR(__xludf.DUMMYFUNCTION("iferror(SPLIT(D689,""/""),split(""0/0"",""/""))"),0.0)</f>
        <v>0</v>
      </c>
      <c r="F689" s="232">
        <f>IFERROR(__xludf.DUMMYFUNCTION("""COMPUTED_VALUE"""),0.0)</f>
        <v>0</v>
      </c>
      <c r="G689" s="247" t="b">
        <v>0</v>
      </c>
      <c r="H689" s="242" t="str">
        <f t="shared" si="1"/>
        <v/>
      </c>
      <c r="I689" s="243" t="s">
        <v>3426</v>
      </c>
      <c r="J689" s="302" t="str">
        <f t="shared" si="2"/>
        <v>Mine Nether Quartz (Obtain Nether Quartz)</v>
      </c>
      <c r="K689" s="303" t="s">
        <v>3427</v>
      </c>
      <c r="L689" s="304"/>
      <c r="M689" s="303" t="s">
        <v>3428</v>
      </c>
      <c r="N689" s="303" t="s">
        <v>3429</v>
      </c>
      <c r="O689" s="239" t="s">
        <v>3430</v>
      </c>
      <c r="P689" s="305" t="s">
        <v>3376</v>
      </c>
      <c r="Q689" s="306" t="s">
        <v>3431</v>
      </c>
      <c r="R689" s="305" t="s">
        <v>194</v>
      </c>
      <c r="S689" s="306"/>
    </row>
    <row r="690">
      <c r="A690" s="230">
        <v>690.0</v>
      </c>
      <c r="B690" s="230" t="s">
        <v>188</v>
      </c>
      <c r="C690" s="231"/>
      <c r="D690" s="232"/>
      <c r="E690" s="232">
        <f>IFERROR(__xludf.DUMMYFUNCTION("iferror(SPLIT(D690,""/""),split(""0/0"",""/""))"),0.0)</f>
        <v>0</v>
      </c>
      <c r="F690" s="232">
        <f>IFERROR(__xludf.DUMMYFUNCTION("""COMPUTED_VALUE"""),0.0)</f>
        <v>0</v>
      </c>
      <c r="G690" s="247" t="b">
        <v>0</v>
      </c>
      <c r="H690" s="242" t="str">
        <f t="shared" si="1"/>
        <v/>
      </c>
      <c r="I690" s="243" t="s">
        <v>3432</v>
      </c>
      <c r="J690" s="302" t="str">
        <f t="shared" si="2"/>
        <v>Craft a redstone comparator (Obtain a Redstone Comparator)</v>
      </c>
      <c r="K690" s="303"/>
      <c r="L690" s="304"/>
      <c r="M690" s="303" t="s">
        <v>3433</v>
      </c>
      <c r="N690" s="303" t="s">
        <v>3434</v>
      </c>
      <c r="O690" s="239" t="s">
        <v>3435</v>
      </c>
      <c r="P690" s="305" t="s">
        <v>3376</v>
      </c>
      <c r="Q690" s="306" t="s">
        <v>3436</v>
      </c>
      <c r="R690" s="305" t="s">
        <v>194</v>
      </c>
      <c r="S690" s="306"/>
    </row>
    <row r="691">
      <c r="A691" s="230">
        <v>691.0</v>
      </c>
      <c r="B691" s="230" t="s">
        <v>257</v>
      </c>
      <c r="C691" s="231"/>
      <c r="D691" s="232"/>
      <c r="E691" s="232">
        <f>IFERROR(__xludf.DUMMYFUNCTION("iferror(SPLIT(D691,""/""),split(""0/0"",""/""))"),0.0)</f>
        <v>0</v>
      </c>
      <c r="F691" s="232">
        <f>IFERROR(__xludf.DUMMYFUNCTION("""COMPUTED_VALUE"""),0.0)</f>
        <v>0</v>
      </c>
      <c r="G691" s="247" t="b">
        <v>0</v>
      </c>
      <c r="H691" s="242" t="str">
        <f t="shared" si="1"/>
        <v/>
      </c>
      <c r="I691" s="243" t="s">
        <v>3437</v>
      </c>
      <c r="J691" s="302" t="str">
        <f t="shared" si="2"/>
        <v>Read the power signal of a Chiseled Bookshelf using a comparator (Place a comparator facing outwards from a Chiseled Bookshelf OR place a Chiseled Bookshelf behind a comparator)</v>
      </c>
      <c r="K691" s="303"/>
      <c r="L691" s="304"/>
      <c r="M691" s="303" t="s">
        <v>3438</v>
      </c>
      <c r="N691" s="303" t="s">
        <v>3439</v>
      </c>
      <c r="O691" s="239" t="s">
        <v>848</v>
      </c>
      <c r="P691" s="305" t="s">
        <v>3376</v>
      </c>
      <c r="Q691" s="306" t="s">
        <v>3440</v>
      </c>
      <c r="R691" s="305" t="s">
        <v>194</v>
      </c>
      <c r="S691" s="305" t="s">
        <v>423</v>
      </c>
    </row>
    <row r="692">
      <c r="A692" s="230">
        <v>692.0</v>
      </c>
      <c r="B692" s="230" t="s">
        <v>188</v>
      </c>
      <c r="C692" s="231"/>
      <c r="D692" s="232"/>
      <c r="E692" s="232">
        <f>IFERROR(__xludf.DUMMYFUNCTION("iferror(SPLIT(D692,""/""),split(""0/0"",""/""))"),0.0)</f>
        <v>0</v>
      </c>
      <c r="F692" s="232">
        <f>IFERROR(__xludf.DUMMYFUNCTION("""COMPUTED_VALUE"""),0.0)</f>
        <v>0</v>
      </c>
      <c r="G692" s="247" t="b">
        <v>0</v>
      </c>
      <c r="H692" s="242" t="str">
        <f t="shared" si="1"/>
        <v/>
      </c>
      <c r="I692" s="243" t="s">
        <v>3441</v>
      </c>
      <c r="J692" s="302" t="str">
        <f t="shared" si="2"/>
        <v>Craft a daylight sensor (Obtain a Daylight Detector)</v>
      </c>
      <c r="K692" s="303"/>
      <c r="L692" s="304"/>
      <c r="M692" s="303" t="s">
        <v>3442</v>
      </c>
      <c r="N692" s="303" t="s">
        <v>3443</v>
      </c>
      <c r="O692" s="239" t="s">
        <v>3444</v>
      </c>
      <c r="P692" s="305" t="s">
        <v>3376</v>
      </c>
      <c r="Q692" s="306" t="s">
        <v>3445</v>
      </c>
      <c r="R692" s="305" t="s">
        <v>194</v>
      </c>
      <c r="S692" s="306"/>
    </row>
    <row r="693">
      <c r="A693" s="230">
        <v>693.0</v>
      </c>
      <c r="B693" s="230" t="s">
        <v>188</v>
      </c>
      <c r="C693" s="231"/>
      <c r="D693" s="232"/>
      <c r="E693" s="232">
        <f>IFERROR(__xludf.DUMMYFUNCTION("iferror(SPLIT(D693,""/""),split(""0/0"",""/""))"),0.0)</f>
        <v>0</v>
      </c>
      <c r="F693" s="232">
        <f>IFERROR(__xludf.DUMMYFUNCTION("""COMPUTED_VALUE"""),0.0)</f>
        <v>0</v>
      </c>
      <c r="G693" s="247" t="b">
        <v>0</v>
      </c>
      <c r="H693" s="242" t="str">
        <f t="shared" si="1"/>
        <v/>
      </c>
      <c r="I693" s="243" t="s">
        <v>3446</v>
      </c>
      <c r="J693" s="302" t="str">
        <f t="shared" si="2"/>
        <v>Craft an observer (Obtain an Observer)</v>
      </c>
      <c r="K693" s="303"/>
      <c r="L693" s="304"/>
      <c r="M693" s="303" t="s">
        <v>3447</v>
      </c>
      <c r="N693" s="303" t="s">
        <v>3448</v>
      </c>
      <c r="O693" s="239" t="s">
        <v>3449</v>
      </c>
      <c r="P693" s="305" t="s">
        <v>3376</v>
      </c>
      <c r="Q693" s="306" t="s">
        <v>3450</v>
      </c>
      <c r="R693" s="305" t="s">
        <v>194</v>
      </c>
      <c r="S693" s="306"/>
    </row>
    <row r="694">
      <c r="A694" s="230">
        <v>694.0</v>
      </c>
      <c r="B694" s="230" t="s">
        <v>188</v>
      </c>
      <c r="C694" s="231"/>
      <c r="D694" s="232"/>
      <c r="E694" s="232">
        <f>IFERROR(__xludf.DUMMYFUNCTION("iferror(SPLIT(D694,""/""),split(""0/0"",""/""))"),0.0)</f>
        <v>0</v>
      </c>
      <c r="F694" s="232">
        <f>IFERROR(__xludf.DUMMYFUNCTION("""COMPUTED_VALUE"""),0.0)</f>
        <v>0</v>
      </c>
      <c r="G694" s="247" t="b">
        <v>0</v>
      </c>
      <c r="H694" s="242" t="str">
        <f t="shared" si="1"/>
        <v/>
      </c>
      <c r="I694" s="246" t="s">
        <v>3451</v>
      </c>
      <c r="J694" s="302" t="str">
        <f t="shared" si="2"/>
        <v>Mine enough nether quartz to craft a stack of nether quartz blocks (Obtain 64 Quartz Blocks)</v>
      </c>
      <c r="K694" s="303" t="s">
        <v>3452</v>
      </c>
      <c r="L694" s="304"/>
      <c r="M694" s="303" t="s">
        <v>3453</v>
      </c>
      <c r="N694" s="303" t="s">
        <v>3454</v>
      </c>
      <c r="O694" s="239" t="s">
        <v>3455</v>
      </c>
      <c r="P694" s="305" t="s">
        <v>3376</v>
      </c>
      <c r="Q694" s="306" t="s">
        <v>3456</v>
      </c>
      <c r="R694" s="305" t="s">
        <v>194</v>
      </c>
      <c r="S694" s="306"/>
    </row>
    <row r="695">
      <c r="A695" s="230">
        <v>695.0</v>
      </c>
      <c r="B695" s="230" t="s">
        <v>188</v>
      </c>
      <c r="C695" s="231"/>
      <c r="D695" s="232"/>
      <c r="E695" s="232">
        <f>IFERROR(__xludf.DUMMYFUNCTION("iferror(SPLIT(D695,""/""),split(""0/0"",""/""))"),0.0)</f>
        <v>0</v>
      </c>
      <c r="F695" s="232">
        <f>IFERROR(__xludf.DUMMYFUNCTION("""COMPUTED_VALUE"""),0.0)</f>
        <v>0</v>
      </c>
      <c r="G695" s="247" t="b">
        <v>0</v>
      </c>
      <c r="H695" s="242" t="str">
        <f t="shared" si="1"/>
        <v/>
      </c>
      <c r="I695" s="243" t="s">
        <v>3457</v>
      </c>
      <c r="J695" s="302" t="str">
        <f t="shared" si="2"/>
        <v>Craft a hopper for item transportation (Obtain a Hopper)</v>
      </c>
      <c r="K695" s="303"/>
      <c r="L695" s="304"/>
      <c r="M695" s="303" t="s">
        <v>3458</v>
      </c>
      <c r="N695" s="303" t="s">
        <v>3459</v>
      </c>
      <c r="O695" s="239" t="s">
        <v>3460</v>
      </c>
      <c r="P695" s="305" t="s">
        <v>3376</v>
      </c>
      <c r="Q695" s="306" t="s">
        <v>3461</v>
      </c>
      <c r="R695" s="305" t="s">
        <v>194</v>
      </c>
      <c r="S695" s="306"/>
    </row>
    <row r="696">
      <c r="A696" s="230">
        <v>696.0</v>
      </c>
      <c r="B696" s="230" t="s">
        <v>188</v>
      </c>
      <c r="C696" s="231"/>
      <c r="D696" s="232"/>
      <c r="E696" s="232">
        <f>IFERROR(__xludf.DUMMYFUNCTION("iferror(SPLIT(D696,""/""),split(""0/0"",""/""))"),0.0)</f>
        <v>0</v>
      </c>
      <c r="F696" s="232">
        <f>IFERROR(__xludf.DUMMYFUNCTION("""COMPUTED_VALUE"""),0.0)</f>
        <v>0</v>
      </c>
      <c r="G696" s="247" t="b">
        <v>0</v>
      </c>
      <c r="H696" s="242" t="str">
        <f t="shared" si="1"/>
        <v/>
      </c>
      <c r="I696" s="243" t="s">
        <v>3462</v>
      </c>
      <c r="J696" s="302" t="str">
        <f t="shared" si="2"/>
        <v>Craft a dropper for item transportation (Obtain a Dropper)</v>
      </c>
      <c r="K696" s="303"/>
      <c r="L696" s="304"/>
      <c r="M696" s="303" t="s">
        <v>3463</v>
      </c>
      <c r="N696" s="303" t="s">
        <v>3464</v>
      </c>
      <c r="O696" s="239" t="s">
        <v>3465</v>
      </c>
      <c r="P696" s="305" t="s">
        <v>3376</v>
      </c>
      <c r="Q696" s="306" t="s">
        <v>3466</v>
      </c>
      <c r="R696" s="305" t="s">
        <v>194</v>
      </c>
      <c r="S696" s="306"/>
    </row>
    <row r="697">
      <c r="A697" s="230">
        <v>697.0</v>
      </c>
      <c r="B697" s="230" t="s">
        <v>188</v>
      </c>
      <c r="C697" s="231"/>
      <c r="D697" s="232"/>
      <c r="E697" s="232">
        <f>IFERROR(__xludf.DUMMYFUNCTION("iferror(SPLIT(D697,""/""),split(""0/0"",""/""))"),0.0)</f>
        <v>0</v>
      </c>
      <c r="F697" s="232">
        <f>IFERROR(__xludf.DUMMYFUNCTION("""COMPUTED_VALUE"""),0.0)</f>
        <v>0</v>
      </c>
      <c r="G697" s="247" t="b">
        <v>0</v>
      </c>
      <c r="H697" s="242" t="str">
        <f t="shared" si="1"/>
        <v/>
      </c>
      <c r="I697" s="243" t="s">
        <v>3467</v>
      </c>
      <c r="J697" s="302" t="str">
        <f t="shared" si="2"/>
        <v>Construct a dispenser (Obtain a Dispenser)</v>
      </c>
      <c r="K697" s="303"/>
      <c r="L697" s="304"/>
      <c r="M697" s="303" t="s">
        <v>3468</v>
      </c>
      <c r="N697" s="303" t="s">
        <v>3469</v>
      </c>
      <c r="O697" s="239" t="s">
        <v>3470</v>
      </c>
      <c r="P697" s="305" t="s">
        <v>3376</v>
      </c>
      <c r="Q697" s="306" t="s">
        <v>3471</v>
      </c>
      <c r="R697" s="305" t="s">
        <v>194</v>
      </c>
      <c r="S697" s="306"/>
    </row>
    <row r="698">
      <c r="A698" s="230">
        <v>698.0</v>
      </c>
      <c r="B698" s="230" t="s">
        <v>257</v>
      </c>
      <c r="C698" s="231"/>
      <c r="D698" s="232"/>
      <c r="E698" s="232">
        <f>IFERROR(__xludf.DUMMYFUNCTION("iferror(SPLIT(D698,""/""),split(""0/0"",""/""))"),0.0)</f>
        <v>0</v>
      </c>
      <c r="F698" s="232">
        <f>IFERROR(__xludf.DUMMYFUNCTION("""COMPUTED_VALUE"""),0.0)</f>
        <v>0</v>
      </c>
      <c r="G698" s="247" t="b">
        <v>0</v>
      </c>
      <c r="H698" s="242" t="str">
        <f t="shared" si="1"/>
        <v/>
      </c>
      <c r="I698" s="249" t="s">
        <v>3472</v>
      </c>
      <c r="J698" s="302" t="str">
        <f t="shared" si="2"/>
        <v>Build a redstone machine that uses TNT to launch you at least 100 blocks into the stratosphere (An explosion from TNT must launch you at least 100 blocks upward)</v>
      </c>
      <c r="K698" s="303" t="s">
        <v>3473</v>
      </c>
      <c r="L698" s="304"/>
      <c r="M698" s="303" t="s">
        <v>3474</v>
      </c>
      <c r="N698" s="303" t="s">
        <v>3475</v>
      </c>
      <c r="O698" s="239" t="s">
        <v>2731</v>
      </c>
      <c r="P698" s="305" t="s">
        <v>3376</v>
      </c>
      <c r="Q698" s="306" t="s">
        <v>3476</v>
      </c>
      <c r="R698" s="305" t="s">
        <v>194</v>
      </c>
      <c r="S698" s="306"/>
    </row>
    <row r="699">
      <c r="A699" s="230">
        <v>699.0</v>
      </c>
      <c r="B699" s="230" t="s">
        <v>188</v>
      </c>
      <c r="C699" s="231"/>
      <c r="D699" s="232"/>
      <c r="E699" s="232">
        <f>IFERROR(__xludf.DUMMYFUNCTION("iferror(SPLIT(D699,""/""),split(""0/0"",""/""))"),0.0)</f>
        <v>0</v>
      </c>
      <c r="F699" s="232">
        <f>IFERROR(__xludf.DUMMYFUNCTION("""COMPUTED_VALUE"""),0.0)</f>
        <v>0</v>
      </c>
      <c r="G699" s="247" t="b">
        <v>0</v>
      </c>
      <c r="H699" s="242" t="str">
        <f t="shared" si="1"/>
        <v/>
      </c>
      <c r="I699" s="243" t="s">
        <v>3477</v>
      </c>
      <c r="J699" s="302" t="str">
        <f t="shared" si="2"/>
        <v>Put up a Target for archery practise (Place a Target)</v>
      </c>
      <c r="K699" s="303"/>
      <c r="L699" s="304"/>
      <c r="M699" s="303" t="s">
        <v>3478</v>
      </c>
      <c r="N699" s="303" t="s">
        <v>3479</v>
      </c>
      <c r="O699" s="239" t="s">
        <v>3480</v>
      </c>
      <c r="P699" s="305" t="s">
        <v>3376</v>
      </c>
      <c r="Q699" s="306" t="s">
        <v>3481</v>
      </c>
      <c r="R699" s="305" t="s">
        <v>194</v>
      </c>
      <c r="S699" s="306"/>
    </row>
    <row r="700">
      <c r="A700" s="230">
        <v>700.0</v>
      </c>
      <c r="B700" s="230" t="s">
        <v>257</v>
      </c>
      <c r="C700" s="231"/>
      <c r="D700" s="232"/>
      <c r="E700" s="232">
        <f>IFERROR(__xludf.DUMMYFUNCTION("iferror(SPLIT(D700,""/""),split(""0/0"",""/""))"),0.0)</f>
        <v>0</v>
      </c>
      <c r="F700" s="232">
        <f>IFERROR(__xludf.DUMMYFUNCTION("""COMPUTED_VALUE"""),0.0)</f>
        <v>0</v>
      </c>
      <c r="G700" s="247" t="b">
        <v>0</v>
      </c>
      <c r="H700" s="242" t="str">
        <f t="shared" si="1"/>
        <v/>
      </c>
      <c r="I700" s="246" t="s">
        <v>3482</v>
      </c>
      <c r="J700" s="302" t="str">
        <f t="shared" si="2"/>
        <v>Hit a Target with all types of projectiles (See requirement notes below)</v>
      </c>
      <c r="K700" s="303"/>
      <c r="L700" s="304"/>
      <c r="M700" s="307" t="s">
        <v>238</v>
      </c>
      <c r="N700" s="303" t="s">
        <v>3483</v>
      </c>
      <c r="O700" s="239" t="s">
        <v>1716</v>
      </c>
      <c r="P700" s="305" t="s">
        <v>3376</v>
      </c>
      <c r="Q700" s="306" t="s">
        <v>3484</v>
      </c>
      <c r="R700" s="305" t="s">
        <v>194</v>
      </c>
      <c r="S700" s="305" t="s">
        <v>262</v>
      </c>
    </row>
    <row r="701">
      <c r="A701" s="230">
        <v>701.0</v>
      </c>
      <c r="B701" s="230" t="s">
        <v>257</v>
      </c>
      <c r="C701" s="231"/>
      <c r="D701" s="232"/>
      <c r="E701" s="232">
        <f>IFERROR(__xludf.DUMMYFUNCTION("iferror(SPLIT(D701,""/""),split(""0/0"",""/""))"),0.0)</f>
        <v>0</v>
      </c>
      <c r="F701" s="232">
        <f>IFERROR(__xludf.DUMMYFUNCTION("""COMPUTED_VALUE"""),0.0)</f>
        <v>0</v>
      </c>
      <c r="G701" s="247" t="b">
        <v>0</v>
      </c>
      <c r="H701" s="242" t="str">
        <f t="shared" si="1"/>
        <v/>
      </c>
      <c r="I701" s="249" t="s">
        <v>3485</v>
      </c>
      <c r="J701" s="302" t="str">
        <f t="shared" si="2"/>
        <v>Hit the bullseye of a Target Block with an arrow (Output a signal strength of 15 on a Target using an arrow from 30 blocks away)</v>
      </c>
      <c r="K701" s="303" t="s">
        <v>3486</v>
      </c>
      <c r="L701" s="304"/>
      <c r="M701" s="303" t="s">
        <v>3487</v>
      </c>
      <c r="N701" s="303" t="s">
        <v>3488</v>
      </c>
      <c r="O701" s="239" t="s">
        <v>2474</v>
      </c>
      <c r="P701" s="305" t="s">
        <v>3376</v>
      </c>
      <c r="Q701" s="306" t="s">
        <v>3489</v>
      </c>
      <c r="R701" s="305" t="s">
        <v>194</v>
      </c>
      <c r="S701" s="305" t="s">
        <v>1948</v>
      </c>
    </row>
    <row r="702">
      <c r="A702" s="230">
        <v>702.0</v>
      </c>
      <c r="B702" s="230" t="s">
        <v>206</v>
      </c>
      <c r="C702" s="231"/>
      <c r="D702" s="232"/>
      <c r="E702" s="232">
        <f>IFERROR(__xludf.DUMMYFUNCTION("iferror(SPLIT(D702,""/""),split(""0/0"",""/""))"),0.0)</f>
        <v>0</v>
      </c>
      <c r="F702" s="232">
        <f>IFERROR(__xludf.DUMMYFUNCTION("""COMPUTED_VALUE"""),0.0)</f>
        <v>0</v>
      </c>
      <c r="G702" s="247" t="b">
        <v>0</v>
      </c>
      <c r="H702" s="242" t="str">
        <f t="shared" si="1"/>
        <v/>
      </c>
      <c r="I702" s="243" t="s">
        <v>3490</v>
      </c>
      <c r="J702" s="302" t="str">
        <f t="shared" si="2"/>
        <v>Craft a Crafter (Obtain a Crafter)</v>
      </c>
      <c r="K702" s="303" t="s">
        <v>3491</v>
      </c>
      <c r="L702" s="304"/>
      <c r="M702" s="303" t="s">
        <v>3492</v>
      </c>
      <c r="N702" s="303" t="s">
        <v>3493</v>
      </c>
      <c r="O702" s="239" t="s">
        <v>3494</v>
      </c>
      <c r="P702" s="305" t="s">
        <v>3376</v>
      </c>
      <c r="Q702" s="306" t="s">
        <v>3495</v>
      </c>
      <c r="R702" s="305" t="s">
        <v>194</v>
      </c>
      <c r="S702" s="306"/>
    </row>
    <row r="703">
      <c r="A703" s="230">
        <v>703.0</v>
      </c>
      <c r="B703" s="230" t="s">
        <v>257</v>
      </c>
      <c r="C703" s="231"/>
      <c r="D703" s="232"/>
      <c r="E703" s="232">
        <f>IFERROR(__xludf.DUMMYFUNCTION("iferror(SPLIT(D703,""/""),split(""0/0"",""/""))"),0.0)</f>
        <v>0</v>
      </c>
      <c r="F703" s="232">
        <f>IFERROR(__xludf.DUMMYFUNCTION("""COMPUTED_VALUE"""),0.0)</f>
        <v>0</v>
      </c>
      <c r="G703" s="247" t="b">
        <v>0</v>
      </c>
      <c r="H703" s="242" t="str">
        <f t="shared" si="1"/>
        <v/>
      </c>
      <c r="I703" s="246" t="s">
        <v>3496</v>
      </c>
      <c r="J703" s="302" t="str">
        <f t="shared" si="2"/>
        <v>Be near a Crafter when it crafts a Crafter</v>
      </c>
      <c r="K703" s="303" t="s">
        <v>3497</v>
      </c>
      <c r="L703" s="304"/>
      <c r="M703" s="303"/>
      <c r="N703" s="303" t="s">
        <v>3498</v>
      </c>
      <c r="O703" s="239" t="s">
        <v>3499</v>
      </c>
      <c r="P703" s="305" t="s">
        <v>3376</v>
      </c>
      <c r="Q703" s="306" t="s">
        <v>3500</v>
      </c>
      <c r="R703" s="305" t="s">
        <v>194</v>
      </c>
      <c r="S703" s="305" t="s">
        <v>423</v>
      </c>
    </row>
    <row r="704">
      <c r="A704" s="230">
        <v>704.0</v>
      </c>
      <c r="B704" s="230" t="s">
        <v>257</v>
      </c>
      <c r="C704" s="231"/>
      <c r="D704" s="232"/>
      <c r="E704" s="232">
        <f>IFERROR(__xludf.DUMMYFUNCTION("iferror(SPLIT(D704,""/""),split(""0/0"",""/""))"),0.0)</f>
        <v>0</v>
      </c>
      <c r="F704" s="232">
        <f>IFERROR(__xludf.DUMMYFUNCTION("""COMPUTED_VALUE"""),0.0)</f>
        <v>0</v>
      </c>
      <c r="G704" s="247" t="b">
        <v>0</v>
      </c>
      <c r="H704" s="242" t="str">
        <f t="shared" si="1"/>
        <v/>
      </c>
      <c r="I704" s="249" t="s">
        <v>3501</v>
      </c>
      <c r="J704" s="302" t="str">
        <f t="shared" si="2"/>
        <v>Be near a Crafter when it crafts a Dispenser 64 times</v>
      </c>
      <c r="K704" s="303" t="s">
        <v>3502</v>
      </c>
      <c r="L704" s="304"/>
      <c r="M704" s="303"/>
      <c r="N704" s="303" t="s">
        <v>3503</v>
      </c>
      <c r="O704" s="239" t="s">
        <v>3470</v>
      </c>
      <c r="P704" s="305" t="s">
        <v>3376</v>
      </c>
      <c r="Q704" s="306" t="s">
        <v>3504</v>
      </c>
      <c r="R704" s="305" t="s">
        <v>194</v>
      </c>
      <c r="S704" s="305" t="s">
        <v>423</v>
      </c>
    </row>
    <row r="705">
      <c r="A705" s="230">
        <v>705.0</v>
      </c>
      <c r="B705" s="230" t="s">
        <v>188</v>
      </c>
      <c r="C705" s="231"/>
      <c r="D705" s="232"/>
      <c r="E705" s="232">
        <f>IFERROR(__xludf.DUMMYFUNCTION("iferror(SPLIT(D705,""/""),split(""0/0"",""/""))"),0.0)</f>
        <v>0</v>
      </c>
      <c r="F705" s="232">
        <f>IFERROR(__xludf.DUMMYFUNCTION("""COMPUTED_VALUE"""),0.0)</f>
        <v>0</v>
      </c>
      <c r="G705" s="247" t="b">
        <v>0</v>
      </c>
      <c r="H705" s="242" t="str">
        <f t="shared" si="1"/>
        <v/>
      </c>
      <c r="I705" s="243" t="s">
        <v>3505</v>
      </c>
      <c r="J705" s="302" t="str">
        <f t="shared" si="2"/>
        <v>Craft a piston so you can push things (Obtain a piston)</v>
      </c>
      <c r="K705" s="303"/>
      <c r="L705" s="304"/>
      <c r="M705" s="303" t="s">
        <v>3506</v>
      </c>
      <c r="N705" s="303" t="s">
        <v>3507</v>
      </c>
      <c r="O705" s="239" t="s">
        <v>3508</v>
      </c>
      <c r="P705" s="305" t="s">
        <v>3376</v>
      </c>
      <c r="Q705" s="306" t="s">
        <v>3509</v>
      </c>
      <c r="R705" s="305" t="s">
        <v>194</v>
      </c>
      <c r="S705" s="306"/>
    </row>
    <row r="706">
      <c r="A706" s="230">
        <v>706.0</v>
      </c>
      <c r="B706" s="230" t="s">
        <v>188</v>
      </c>
      <c r="C706" s="231"/>
      <c r="D706" s="232"/>
      <c r="E706" s="232">
        <f>IFERROR(__xludf.DUMMYFUNCTION("iferror(SPLIT(D706,""/""),split(""0/0"",""/""))"),0.0)</f>
        <v>0</v>
      </c>
      <c r="F706" s="232">
        <f>IFERROR(__xludf.DUMMYFUNCTION("""COMPUTED_VALUE"""),0.0)</f>
        <v>0</v>
      </c>
      <c r="G706" s="247" t="b">
        <v>0</v>
      </c>
      <c r="H706" s="242" t="str">
        <f t="shared" si="1"/>
        <v/>
      </c>
      <c r="I706" s="243" t="s">
        <v>3510</v>
      </c>
      <c r="J706" s="302" t="str">
        <f t="shared" si="2"/>
        <v>Craft a sticky piston so you can pull things (Obtain a sticky piston)</v>
      </c>
      <c r="K706" s="303" t="s">
        <v>2493</v>
      </c>
      <c r="L706" s="304"/>
      <c r="M706" s="303" t="s">
        <v>3511</v>
      </c>
      <c r="N706" s="303" t="s">
        <v>3512</v>
      </c>
      <c r="O706" s="239" t="s">
        <v>3513</v>
      </c>
      <c r="P706" s="305" t="s">
        <v>3376</v>
      </c>
      <c r="Q706" s="306" t="s">
        <v>3514</v>
      </c>
      <c r="R706" s="305" t="s">
        <v>194</v>
      </c>
      <c r="S706" s="306"/>
    </row>
    <row r="707">
      <c r="A707" s="230">
        <v>707.0</v>
      </c>
      <c r="B707" s="230" t="s">
        <v>188</v>
      </c>
      <c r="C707" s="231"/>
      <c r="D707" s="232"/>
      <c r="E707" s="232">
        <f>IFERROR(__xludf.DUMMYFUNCTION("iferror(SPLIT(D707,""/""),split(""0/0"",""/""))"),0.0)</f>
        <v>0</v>
      </c>
      <c r="F707" s="232">
        <f>IFERROR(__xludf.DUMMYFUNCTION("""COMPUTED_VALUE"""),0.0)</f>
        <v>0</v>
      </c>
      <c r="G707" s="247" t="b">
        <v>0</v>
      </c>
      <c r="H707" s="242" t="str">
        <f t="shared" si="1"/>
        <v/>
      </c>
      <c r="I707" s="246" t="s">
        <v>3515</v>
      </c>
      <c r="J707" s="302" t="str">
        <f t="shared" si="2"/>
        <v>Craft all types of redstone components (See requirement notes below)</v>
      </c>
      <c r="K707" s="303" t="s">
        <v>3516</v>
      </c>
      <c r="L707" s="304"/>
      <c r="M707" s="307" t="s">
        <v>238</v>
      </c>
      <c r="N707" s="303" t="s">
        <v>3517</v>
      </c>
      <c r="O707" s="239" t="s">
        <v>1478</v>
      </c>
      <c r="P707" s="305" t="s">
        <v>3376</v>
      </c>
      <c r="Q707" s="306" t="s">
        <v>3518</v>
      </c>
      <c r="R707" s="305" t="s">
        <v>194</v>
      </c>
      <c r="S707" s="306"/>
    </row>
    <row r="708">
      <c r="A708" s="230">
        <v>708.0</v>
      </c>
      <c r="B708" s="230" t="s">
        <v>188</v>
      </c>
      <c r="C708" s="231"/>
      <c r="D708" s="232"/>
      <c r="E708" s="232">
        <f>IFERROR(__xludf.DUMMYFUNCTION("iferror(SPLIT(D708,""/""),split(""0/0"",""/""))"),0.0)</f>
        <v>0</v>
      </c>
      <c r="F708" s="232">
        <f>IFERROR(__xludf.DUMMYFUNCTION("""COMPUTED_VALUE"""),0.0)</f>
        <v>0</v>
      </c>
      <c r="G708" s="247" t="b">
        <v>0</v>
      </c>
      <c r="H708" s="242" t="str">
        <f t="shared" si="1"/>
        <v/>
      </c>
      <c r="I708" s="249" t="s">
        <v>3519</v>
      </c>
      <c r="J708" s="302" t="str">
        <f t="shared" si="2"/>
        <v>Craft a stack of all types of redstone components (See requirement notes below)</v>
      </c>
      <c r="K708" s="303" t="s">
        <v>3520</v>
      </c>
      <c r="L708" s="304"/>
      <c r="M708" s="307" t="s">
        <v>238</v>
      </c>
      <c r="N708" s="303" t="s">
        <v>3521</v>
      </c>
      <c r="O708" s="239" t="s">
        <v>629</v>
      </c>
      <c r="P708" s="305" t="s">
        <v>3376</v>
      </c>
      <c r="Q708" s="306" t="s">
        <v>3522</v>
      </c>
      <c r="R708" s="305" t="s">
        <v>194</v>
      </c>
      <c r="S708" s="306"/>
    </row>
    <row r="709">
      <c r="A709" s="230">
        <v>709.0</v>
      </c>
      <c r="B709" s="230" t="s">
        <v>188</v>
      </c>
      <c r="C709" s="231"/>
      <c r="D709" s="232"/>
      <c r="E709" s="232">
        <f>IFERROR(__xludf.DUMMYFUNCTION("iferror(SPLIT(D709,""/""),split(""0/0"",""/""))"),0.0)</f>
        <v>0</v>
      </c>
      <c r="F709" s="232">
        <f>IFERROR(__xludf.DUMMYFUNCTION("""COMPUTED_VALUE"""),0.0)</f>
        <v>0</v>
      </c>
      <c r="G709" s="247" t="b">
        <v>0</v>
      </c>
      <c r="H709" s="242" t="str">
        <f t="shared" si="1"/>
        <v/>
      </c>
      <c r="I709" s="243" t="s">
        <v>3523</v>
      </c>
      <c r="J709" s="302" t="str">
        <f t="shared" si="2"/>
        <v>Craft a note block (Obtain a note block)</v>
      </c>
      <c r="K709" s="303"/>
      <c r="L709" s="304"/>
      <c r="M709" s="303" t="s">
        <v>3524</v>
      </c>
      <c r="N709" s="303" t="s">
        <v>3525</v>
      </c>
      <c r="O709" s="239" t="s">
        <v>1867</v>
      </c>
      <c r="P709" s="305" t="s">
        <v>3376</v>
      </c>
      <c r="Q709" s="306" t="s">
        <v>3526</v>
      </c>
      <c r="R709" s="305" t="s">
        <v>194</v>
      </c>
      <c r="S709" s="306"/>
    </row>
    <row r="710">
      <c r="A710" s="230">
        <v>710.0</v>
      </c>
      <c r="B710" s="230" t="s">
        <v>257</v>
      </c>
      <c r="C710" s="231"/>
      <c r="D710" s="232"/>
      <c r="E710" s="232">
        <f>IFERROR(__xludf.DUMMYFUNCTION("iferror(SPLIT(D710,""/""),split(""0/0"",""/""))"),0.0)</f>
        <v>0</v>
      </c>
      <c r="F710" s="232">
        <f>IFERROR(__xludf.DUMMYFUNCTION("""COMPUTED_VALUE"""),0.0)</f>
        <v>0</v>
      </c>
      <c r="G710" s="247" t="b">
        <v>0</v>
      </c>
      <c r="H710" s="242" t="str">
        <f t="shared" si="1"/>
        <v/>
      </c>
      <c r="I710" s="243" t="s">
        <v>3527</v>
      </c>
      <c r="J710" s="302" t="str">
        <f t="shared" si="2"/>
        <v>Tune a Note Block through every possible note</v>
      </c>
      <c r="K710" s="303" t="s">
        <v>3528</v>
      </c>
      <c r="L710" s="304"/>
      <c r="M710" s="303"/>
      <c r="N710" s="303" t="s">
        <v>3529</v>
      </c>
      <c r="O710" s="239" t="s">
        <v>416</v>
      </c>
      <c r="P710" s="305" t="s">
        <v>3376</v>
      </c>
      <c r="Q710" s="306" t="s">
        <v>3530</v>
      </c>
      <c r="R710" s="305" t="s">
        <v>194</v>
      </c>
      <c r="S710" s="306" t="s">
        <v>2861</v>
      </c>
    </row>
    <row r="711">
      <c r="A711" s="230">
        <v>711.0</v>
      </c>
      <c r="B711" s="230" t="s">
        <v>257</v>
      </c>
      <c r="C711" s="231"/>
      <c r="D711" s="232"/>
      <c r="E711" s="232">
        <f>IFERROR(__xludf.DUMMYFUNCTION("iferror(SPLIT(D711,""/""),split(""0/0"",""/""))"),0.0)</f>
        <v>0</v>
      </c>
      <c r="F711" s="232">
        <f>IFERROR(__xludf.DUMMYFUNCTION("""COMPUTED_VALUE"""),0.0)</f>
        <v>0</v>
      </c>
      <c r="G711" s="247" t="b">
        <v>0</v>
      </c>
      <c r="H711" s="242" t="str">
        <f t="shared" si="1"/>
        <v/>
      </c>
      <c r="I711" s="246" t="s">
        <v>3531</v>
      </c>
      <c r="J711" s="302" t="str">
        <f t="shared" si="2"/>
        <v>Play every possible instrument on a Note Block (See requirement notes below)</v>
      </c>
      <c r="K711" s="303"/>
      <c r="L711" s="304"/>
      <c r="M711" s="307" t="s">
        <v>238</v>
      </c>
      <c r="N711" s="303" t="s">
        <v>3532</v>
      </c>
      <c r="O711" s="239" t="s">
        <v>3070</v>
      </c>
      <c r="P711" s="305" t="s">
        <v>3376</v>
      </c>
      <c r="Q711" s="306" t="s">
        <v>3533</v>
      </c>
      <c r="R711" s="305" t="s">
        <v>194</v>
      </c>
      <c r="S711" s="306" t="s">
        <v>2861</v>
      </c>
    </row>
    <row r="712">
      <c r="A712" s="230">
        <v>712.0</v>
      </c>
      <c r="B712" s="230" t="s">
        <v>257</v>
      </c>
      <c r="C712" s="231"/>
      <c r="D712" s="232"/>
      <c r="E712" s="232">
        <f>IFERROR(__xludf.DUMMYFUNCTION("iferror(SPLIT(D712,""/""),split(""0/0"",""/""))"),0.0)</f>
        <v>0</v>
      </c>
      <c r="F712" s="232">
        <f>IFERROR(__xludf.DUMMYFUNCTION("""COMPUTED_VALUE"""),0.0)</f>
        <v>0</v>
      </c>
      <c r="G712" s="247" t="b">
        <v>0</v>
      </c>
      <c r="H712" s="242" t="str">
        <f t="shared" si="1"/>
        <v/>
      </c>
      <c r="I712" s="249" t="s">
        <v>3534</v>
      </c>
      <c r="J712" s="302" t="str">
        <f t="shared" si="2"/>
        <v>Play a Note Block in every type of biome (See requirement notes below)</v>
      </c>
      <c r="K712" s="303" t="s">
        <v>3535</v>
      </c>
      <c r="L712" s="304"/>
      <c r="M712" s="307" t="s">
        <v>238</v>
      </c>
      <c r="N712" s="303" t="s">
        <v>3536</v>
      </c>
      <c r="O712" s="239" t="s">
        <v>2850</v>
      </c>
      <c r="P712" s="305" t="s">
        <v>3376</v>
      </c>
      <c r="Q712" s="306" t="s">
        <v>3537</v>
      </c>
      <c r="R712" s="305" t="s">
        <v>194</v>
      </c>
      <c r="S712" s="305" t="s">
        <v>1661</v>
      </c>
    </row>
    <row r="713">
      <c r="A713" s="230">
        <v>713.0</v>
      </c>
      <c r="B713" s="230" t="s">
        <v>257</v>
      </c>
      <c r="C713" s="231"/>
      <c r="D713" s="232"/>
      <c r="E713" s="232">
        <f>IFERROR(__xludf.DUMMYFUNCTION("iferror(SPLIT(D713,""/""),split(""0/0"",""/""))"),0.0)</f>
        <v>0</v>
      </c>
      <c r="F713" s="232">
        <f>IFERROR(__xludf.DUMMYFUNCTION("""COMPUTED_VALUE"""),0.0)</f>
        <v>0</v>
      </c>
      <c r="G713" s="247" t="b">
        <v>0</v>
      </c>
      <c r="H713" s="242" t="str">
        <f t="shared" si="1"/>
        <v/>
      </c>
      <c r="I713" s="249" t="s">
        <v>3538</v>
      </c>
      <c r="J713" s="302" t="str">
        <f t="shared" si="2"/>
        <v>Play Note Blocks with each type of mob head above it (Play a note block with a Zombie, Skeleton, Wither Skeleton, Creeper, Piglin and Dragon Head on top)</v>
      </c>
      <c r="K713" s="303" t="s">
        <v>3539</v>
      </c>
      <c r="L713" s="304"/>
      <c r="M713" s="303" t="s">
        <v>3540</v>
      </c>
      <c r="N713" s="303" t="s">
        <v>3541</v>
      </c>
      <c r="O713" s="239" t="s">
        <v>3542</v>
      </c>
      <c r="P713" s="305" t="s">
        <v>3376</v>
      </c>
      <c r="Q713" s="306" t="s">
        <v>3543</v>
      </c>
      <c r="R713" s="305" t="s">
        <v>194</v>
      </c>
      <c r="S713" s="306" t="s">
        <v>2861</v>
      </c>
    </row>
    <row r="714">
      <c r="A714" s="230">
        <v>714.0</v>
      </c>
      <c r="B714" s="230" t="s">
        <v>188</v>
      </c>
      <c r="C714" s="231"/>
      <c r="D714" s="232"/>
      <c r="E714" s="232">
        <f>IFERROR(__xludf.DUMMYFUNCTION("iferror(SPLIT(D714,""/""),split(""0/0"",""/""))"),0.0)</f>
        <v>0</v>
      </c>
      <c r="F714" s="232">
        <f>IFERROR(__xludf.DUMMYFUNCTION("""COMPUTED_VALUE"""),0.0)</f>
        <v>0</v>
      </c>
      <c r="G714" s="247" t="b">
        <v>0</v>
      </c>
      <c r="H714" s="242" t="str">
        <f t="shared" si="1"/>
        <v/>
      </c>
      <c r="I714" s="243" t="s">
        <v>3544</v>
      </c>
      <c r="J714" s="302" t="str">
        <f t="shared" si="2"/>
        <v>Craft and board a Minecart for railway journeys (Ride a Minecart)</v>
      </c>
      <c r="K714" s="303" t="s">
        <v>3545</v>
      </c>
      <c r="L714" s="304"/>
      <c r="M714" s="303" t="s">
        <v>3546</v>
      </c>
      <c r="N714" s="303" t="s">
        <v>3547</v>
      </c>
      <c r="O714" s="239" t="s">
        <v>3548</v>
      </c>
      <c r="P714" s="305" t="s">
        <v>3376</v>
      </c>
      <c r="Q714" s="306" t="s">
        <v>3549</v>
      </c>
      <c r="R714" s="305" t="s">
        <v>194</v>
      </c>
      <c r="S714" s="306"/>
    </row>
    <row r="715">
      <c r="A715" s="230">
        <v>715.0</v>
      </c>
      <c r="B715" s="230" t="s">
        <v>188</v>
      </c>
      <c r="C715" s="231"/>
      <c r="D715" s="232"/>
      <c r="E715" s="232">
        <f>IFERROR(__xludf.DUMMYFUNCTION("iferror(SPLIT(D715,""/""),split(""0/0"",""/""))"),0.0)</f>
        <v>0</v>
      </c>
      <c r="F715" s="232">
        <f>IFERROR(__xludf.DUMMYFUNCTION("""COMPUTED_VALUE"""),0.0)</f>
        <v>0</v>
      </c>
      <c r="G715" s="247" t="b">
        <v>0</v>
      </c>
      <c r="H715" s="242" t="str">
        <f t="shared" si="1"/>
        <v/>
      </c>
      <c r="I715" s="243" t="s">
        <v>3550</v>
      </c>
      <c r="J715" s="302" t="str">
        <f t="shared" si="2"/>
        <v>Craft a Minecart with Furnace and use coal or charcoal to send it chugging (Use coal or charcoal on a Minecart with Furnace)</v>
      </c>
      <c r="K715" s="303"/>
      <c r="L715" s="304"/>
      <c r="M715" s="303" t="s">
        <v>3551</v>
      </c>
      <c r="N715" s="303" t="s">
        <v>3552</v>
      </c>
      <c r="O715" s="239" t="s">
        <v>3553</v>
      </c>
      <c r="P715" s="305" t="s">
        <v>3376</v>
      </c>
      <c r="Q715" s="306" t="s">
        <v>3554</v>
      </c>
      <c r="R715" s="305" t="s">
        <v>194</v>
      </c>
      <c r="S715" s="306"/>
    </row>
    <row r="716">
      <c r="A716" s="230">
        <v>716.0</v>
      </c>
      <c r="B716" s="230" t="s">
        <v>188</v>
      </c>
      <c r="C716" s="231"/>
      <c r="D716" s="232"/>
      <c r="E716" s="232">
        <f>IFERROR(__xludf.DUMMYFUNCTION("iferror(SPLIT(D716,""/""),split(""0/0"",""/""))"),0.0)</f>
        <v>0</v>
      </c>
      <c r="F716" s="232">
        <f>IFERROR(__xludf.DUMMYFUNCTION("""COMPUTED_VALUE"""),0.0)</f>
        <v>0</v>
      </c>
      <c r="G716" s="247" t="b">
        <v>0</v>
      </c>
      <c r="H716" s="242" t="str">
        <f t="shared" si="1"/>
        <v/>
      </c>
      <c r="I716" s="243" t="s">
        <v>3555</v>
      </c>
      <c r="J716" s="302" t="str">
        <f t="shared" si="2"/>
        <v>Put a chest in a minecart (Obtain a Minecart with Chest)</v>
      </c>
      <c r="K716" s="303"/>
      <c r="L716" s="304"/>
      <c r="M716" s="303" t="s">
        <v>3556</v>
      </c>
      <c r="N716" s="303" t="s">
        <v>3557</v>
      </c>
      <c r="O716" s="239" t="s">
        <v>317</v>
      </c>
      <c r="P716" s="305" t="s">
        <v>3376</v>
      </c>
      <c r="Q716" s="306" t="s">
        <v>3558</v>
      </c>
      <c r="R716" s="305" t="s">
        <v>194</v>
      </c>
      <c r="S716" s="306"/>
    </row>
    <row r="717">
      <c r="A717" s="230">
        <v>717.0</v>
      </c>
      <c r="B717" s="230" t="s">
        <v>188</v>
      </c>
      <c r="C717" s="231"/>
      <c r="D717" s="232"/>
      <c r="E717" s="232">
        <f>IFERROR(__xludf.DUMMYFUNCTION("iferror(SPLIT(D717,""/""),split(""0/0"",""/""))"),0.0)</f>
        <v>0</v>
      </c>
      <c r="F717" s="232">
        <f>IFERROR(__xludf.DUMMYFUNCTION("""COMPUTED_VALUE"""),0.0)</f>
        <v>0</v>
      </c>
      <c r="G717" s="247" t="b">
        <v>0</v>
      </c>
      <c r="H717" s="242" t="str">
        <f t="shared" si="1"/>
        <v/>
      </c>
      <c r="I717" s="243" t="s">
        <v>3559</v>
      </c>
      <c r="J717" s="302" t="str">
        <f t="shared" si="2"/>
        <v>Put a hopper in a minecart (Obtain a Minecart with Hopper)</v>
      </c>
      <c r="K717" s="303"/>
      <c r="L717" s="304"/>
      <c r="M717" s="303" t="s">
        <v>3560</v>
      </c>
      <c r="N717" s="303" t="s">
        <v>3561</v>
      </c>
      <c r="O717" s="239" t="s">
        <v>3562</v>
      </c>
      <c r="P717" s="305" t="s">
        <v>3376</v>
      </c>
      <c r="Q717" s="306" t="s">
        <v>3563</v>
      </c>
      <c r="R717" s="305" t="s">
        <v>194</v>
      </c>
      <c r="S717" s="306"/>
    </row>
    <row r="718">
      <c r="A718" s="230">
        <v>718.0</v>
      </c>
      <c r="B718" s="230" t="s">
        <v>188</v>
      </c>
      <c r="C718" s="231"/>
      <c r="D718" s="232"/>
      <c r="E718" s="232">
        <f>IFERROR(__xludf.DUMMYFUNCTION("iferror(SPLIT(D718,""/""),split(""0/0"",""/""))"),0.0)</f>
        <v>0</v>
      </c>
      <c r="F718" s="232">
        <f>IFERROR(__xludf.DUMMYFUNCTION("""COMPUTED_VALUE"""),0.0)</f>
        <v>0</v>
      </c>
      <c r="G718" s="247" t="b">
        <v>0</v>
      </c>
      <c r="H718" s="242" t="str">
        <f t="shared" si="1"/>
        <v/>
      </c>
      <c r="I718" s="243" t="s">
        <v>3564</v>
      </c>
      <c r="J718" s="302" t="str">
        <f t="shared" si="2"/>
        <v>Put TNT in a minecart (Obtain a Minecart with TNT)</v>
      </c>
      <c r="K718" s="303"/>
      <c r="L718" s="304"/>
      <c r="M718" s="303" t="s">
        <v>3565</v>
      </c>
      <c r="N718" s="303" t="s">
        <v>3566</v>
      </c>
      <c r="O718" s="239" t="s">
        <v>3567</v>
      </c>
      <c r="P718" s="305" t="s">
        <v>3376</v>
      </c>
      <c r="Q718" s="306" t="s">
        <v>3568</v>
      </c>
      <c r="R718" s="305" t="s">
        <v>194</v>
      </c>
      <c r="S718" s="306"/>
    </row>
    <row r="719">
      <c r="A719" s="230">
        <v>719.0</v>
      </c>
      <c r="B719" s="230" t="s">
        <v>188</v>
      </c>
      <c r="C719" s="231"/>
      <c r="D719" s="232"/>
      <c r="E719" s="232">
        <f>IFERROR(__xludf.DUMMYFUNCTION("iferror(SPLIT(D719,""/""),split(""0/0"",""/""))"),0.0)</f>
        <v>0</v>
      </c>
      <c r="F719" s="232">
        <f>IFERROR(__xludf.DUMMYFUNCTION("""COMPUTED_VALUE"""),0.0)</f>
        <v>0</v>
      </c>
      <c r="G719" s="247" t="b">
        <v>0</v>
      </c>
      <c r="H719" s="242" t="str">
        <f t="shared" si="1"/>
        <v/>
      </c>
      <c r="I719" s="243" t="s">
        <v>3569</v>
      </c>
      <c r="J719" s="302" t="str">
        <f t="shared" si="2"/>
        <v>Making furnace minecarts completely useless (Obtain a Powered Rail)</v>
      </c>
      <c r="K719" s="303" t="s">
        <v>3570</v>
      </c>
      <c r="L719" s="304"/>
      <c r="M719" s="303" t="s">
        <v>3571</v>
      </c>
      <c r="N719" s="303" t="s">
        <v>3572</v>
      </c>
      <c r="O719" s="239" t="s">
        <v>3573</v>
      </c>
      <c r="P719" s="305" t="s">
        <v>3376</v>
      </c>
      <c r="Q719" s="306" t="s">
        <v>3574</v>
      </c>
      <c r="R719" s="305" t="s">
        <v>194</v>
      </c>
      <c r="S719" s="306"/>
    </row>
    <row r="720">
      <c r="A720" s="230">
        <v>720.0</v>
      </c>
      <c r="B720" s="230" t="s">
        <v>188</v>
      </c>
      <c r="C720" s="231"/>
      <c r="D720" s="232"/>
      <c r="E720" s="232">
        <f>IFERROR(__xludf.DUMMYFUNCTION("iferror(SPLIT(D720,""/""),split(""0/0"",""/""))"),0.0)</f>
        <v>0</v>
      </c>
      <c r="F720" s="232">
        <f>IFERROR(__xludf.DUMMYFUNCTION("""COMPUTED_VALUE"""),0.0)</f>
        <v>0</v>
      </c>
      <c r="G720" s="247" t="b">
        <v>0</v>
      </c>
      <c r="H720" s="242" t="str">
        <f t="shared" si="1"/>
        <v/>
      </c>
      <c r="I720" s="246" t="s">
        <v>3575</v>
      </c>
      <c r="J720" s="302" t="str">
        <f t="shared" si="2"/>
        <v>Craft a stack of all the different types of rails (Obtain 64 of each of Rails, Powered Rails, Detector Rails and Activator Rails)</v>
      </c>
      <c r="K720" s="303" t="s">
        <v>3576</v>
      </c>
      <c r="L720" s="304"/>
      <c r="M720" s="303" t="s">
        <v>3577</v>
      </c>
      <c r="N720" s="303" t="s">
        <v>3578</v>
      </c>
      <c r="O720" s="239" t="s">
        <v>3579</v>
      </c>
      <c r="P720" s="305" t="s">
        <v>3376</v>
      </c>
      <c r="Q720" s="306" t="s">
        <v>3580</v>
      </c>
      <c r="R720" s="305" t="s">
        <v>194</v>
      </c>
      <c r="S720" s="306"/>
    </row>
    <row r="721">
      <c r="A721" s="230">
        <v>721.0</v>
      </c>
      <c r="B721" s="230" t="s">
        <v>257</v>
      </c>
      <c r="C721" s="231"/>
      <c r="D721" s="232"/>
      <c r="E721" s="232">
        <f>IFERROR(__xludf.DUMMYFUNCTION("iferror(SPLIT(D721,""/""),split(""0/0"",""/""))"),0.0)</f>
        <v>0</v>
      </c>
      <c r="F721" s="232">
        <f>IFERROR(__xludf.DUMMYFUNCTION("""COMPUTED_VALUE"""),0.0)</f>
        <v>0</v>
      </c>
      <c r="G721" s="247" t="b">
        <v>0</v>
      </c>
      <c r="H721" s="242" t="str">
        <f t="shared" si="1"/>
        <v/>
      </c>
      <c r="I721" s="249" t="s">
        <v>3581</v>
      </c>
      <c r="J721" s="302" t="str">
        <f t="shared" si="2"/>
        <v>Travel by Minecart in a straight line to at least 1 km from where you started</v>
      </c>
      <c r="K721" s="303" t="s">
        <v>3582</v>
      </c>
      <c r="L721" s="304"/>
      <c r="M721" s="303"/>
      <c r="N721" s="303" t="s">
        <v>3583</v>
      </c>
      <c r="O721" s="239" t="s">
        <v>3584</v>
      </c>
      <c r="P721" s="305" t="s">
        <v>3376</v>
      </c>
      <c r="Q721" s="306" t="s">
        <v>3585</v>
      </c>
      <c r="R721" s="305" t="s">
        <v>194</v>
      </c>
      <c r="S721" s="305" t="s">
        <v>262</v>
      </c>
    </row>
    <row r="722">
      <c r="A722" s="230">
        <v>722.0</v>
      </c>
      <c r="B722" s="230" t="s">
        <v>188</v>
      </c>
      <c r="C722" s="231"/>
      <c r="D722" s="232"/>
      <c r="E722" s="232">
        <f>IFERROR(__xludf.DUMMYFUNCTION("iferror(SPLIT(D722,""/""),split(""0/0"",""/""))"),0.0)</f>
        <v>0</v>
      </c>
      <c r="F722" s="232">
        <f>IFERROR(__xludf.DUMMYFUNCTION("""COMPUTED_VALUE"""),0.0)</f>
        <v>0</v>
      </c>
      <c r="G722" s="247" t="b">
        <v>0</v>
      </c>
      <c r="H722" s="242" t="str">
        <f t="shared" si="1"/>
        <v/>
      </c>
      <c r="I722" s="243" t="s">
        <v>3586</v>
      </c>
      <c r="J722" s="302" t="str">
        <f t="shared" si="2"/>
        <v>Use Silk Touch to pick up a Sculk Sensor or find one among Ancient City treasure (Obtain a Sculk Sensor)</v>
      </c>
      <c r="K722" s="303" t="s">
        <v>3587</v>
      </c>
      <c r="L722" s="304"/>
      <c r="M722" s="303" t="s">
        <v>3588</v>
      </c>
      <c r="N722" s="303" t="s">
        <v>3589</v>
      </c>
      <c r="O722" s="239" t="s">
        <v>1850</v>
      </c>
      <c r="P722" s="305" t="s">
        <v>3376</v>
      </c>
      <c r="Q722" s="306" t="s">
        <v>3590</v>
      </c>
      <c r="R722" s="305" t="s">
        <v>194</v>
      </c>
      <c r="S722" s="306"/>
    </row>
    <row r="723">
      <c r="A723" s="230">
        <v>723.0</v>
      </c>
      <c r="B723" s="230" t="s">
        <v>188</v>
      </c>
      <c r="C723" s="231"/>
      <c r="D723" s="232"/>
      <c r="E723" s="232">
        <f>IFERROR(__xludf.DUMMYFUNCTION("iferror(SPLIT(D723,""/""),split(""0/0"",""/""))"),0.0)</f>
        <v>0</v>
      </c>
      <c r="F723" s="232">
        <f>IFERROR(__xludf.DUMMYFUNCTION("""COMPUTED_VALUE"""),0.0)</f>
        <v>0</v>
      </c>
      <c r="G723" s="247" t="b">
        <v>0</v>
      </c>
      <c r="H723" s="242" t="str">
        <f t="shared" si="1"/>
        <v/>
      </c>
      <c r="I723" s="243" t="s">
        <v>3591</v>
      </c>
      <c r="J723" s="302" t="str">
        <f t="shared" si="2"/>
        <v>Craft a Calibrated Sculk Sensor using Amethyst Shards (Obtain a Calibrated Sculk Sensor)</v>
      </c>
      <c r="K723" s="303" t="s">
        <v>3592</v>
      </c>
      <c r="L723" s="304"/>
      <c r="M723" s="303" t="s">
        <v>3593</v>
      </c>
      <c r="N723" s="303" t="s">
        <v>3594</v>
      </c>
      <c r="O723" s="239" t="s">
        <v>3595</v>
      </c>
      <c r="P723" s="305" t="s">
        <v>3376</v>
      </c>
      <c r="Q723" s="306" t="s">
        <v>3596</v>
      </c>
      <c r="R723" s="305" t="s">
        <v>194</v>
      </c>
      <c r="S723" s="306"/>
    </row>
    <row r="724">
      <c r="A724" s="230">
        <v>724.0</v>
      </c>
      <c r="B724" s="230" t="s">
        <v>188</v>
      </c>
      <c r="C724" s="231"/>
      <c r="D724" s="232"/>
      <c r="E724" s="232">
        <f>IFERROR(__xludf.DUMMYFUNCTION("iferror(SPLIT(D724,""/""),split(""0/0"",""/""))"),0.0)</f>
        <v>0</v>
      </c>
      <c r="F724" s="232">
        <f>IFERROR(__xludf.DUMMYFUNCTION("""COMPUTED_VALUE"""),0.0)</f>
        <v>0</v>
      </c>
      <c r="G724" s="247" t="b">
        <v>0</v>
      </c>
      <c r="H724" s="242" t="str">
        <f t="shared" si="1"/>
        <v/>
      </c>
      <c r="I724" s="246" t="s">
        <v>3597</v>
      </c>
      <c r="J724" s="302" t="str">
        <f t="shared" si="2"/>
        <v>Use Silk Touch to pick up a Sculk Shrieker (Obtain a Sculk Shrieker)</v>
      </c>
      <c r="K724" s="303"/>
      <c r="L724" s="304"/>
      <c r="M724" s="303" t="s">
        <v>3598</v>
      </c>
      <c r="N724" s="303" t="s">
        <v>3599</v>
      </c>
      <c r="O724" s="239" t="s">
        <v>376</v>
      </c>
      <c r="P724" s="305" t="s">
        <v>3376</v>
      </c>
      <c r="Q724" s="306" t="s">
        <v>3600</v>
      </c>
      <c r="R724" s="305" t="s">
        <v>194</v>
      </c>
      <c r="S724" s="306"/>
    </row>
    <row r="725">
      <c r="A725" s="230">
        <v>725.0</v>
      </c>
      <c r="B725" s="230" t="s">
        <v>188</v>
      </c>
      <c r="C725" s="231"/>
      <c r="D725" s="232"/>
      <c r="E725" s="232">
        <f>IFERROR(__xludf.DUMMYFUNCTION("iferror(SPLIT(D725,""/""),split(""0/0"",""/""))"),0.0)</f>
        <v>0</v>
      </c>
      <c r="F725" s="232">
        <f>IFERROR(__xludf.DUMMYFUNCTION("""COMPUTED_VALUE"""),0.0)</f>
        <v>0</v>
      </c>
      <c r="G725" s="247" t="b">
        <v>0</v>
      </c>
      <c r="H725" s="242" t="str">
        <f t="shared" si="1"/>
        <v/>
      </c>
      <c r="I725" s="246" t="s">
        <v>3601</v>
      </c>
      <c r="J725" s="302" t="str">
        <f t="shared" si="2"/>
        <v>Collect a stack of all sculk-related blocks (Collect a stack of: Sculk, Sculk Veins, Sculk Sensors, Sculk Catalysts, Sculk Shriekers and Calibrated Sculk Sensors)</v>
      </c>
      <c r="K725" s="303" t="s">
        <v>3602</v>
      </c>
      <c r="L725" s="304"/>
      <c r="M725" s="303" t="s">
        <v>3603</v>
      </c>
      <c r="N725" s="303" t="s">
        <v>3604</v>
      </c>
      <c r="O725" s="239" t="s">
        <v>3605</v>
      </c>
      <c r="P725" s="305" t="s">
        <v>3376</v>
      </c>
      <c r="Q725" s="306" t="s">
        <v>3606</v>
      </c>
      <c r="R725" s="305" t="s">
        <v>194</v>
      </c>
      <c r="S725" s="306"/>
    </row>
    <row r="726">
      <c r="A726" s="230">
        <v>726.0</v>
      </c>
      <c r="B726" s="230" t="s">
        <v>257</v>
      </c>
      <c r="C726" s="231"/>
      <c r="D726" s="232"/>
      <c r="E726" s="232">
        <f>IFERROR(__xludf.DUMMYFUNCTION("iferror(SPLIT(D726,""/""),split(""0/0"",""/""))"),0.0)</f>
        <v>0</v>
      </c>
      <c r="F726" s="232">
        <f>IFERROR(__xludf.DUMMYFUNCTION("""COMPUTED_VALUE"""),0.0)</f>
        <v>0</v>
      </c>
      <c r="G726" s="247" t="b">
        <v>0</v>
      </c>
      <c r="H726" s="242" t="str">
        <f t="shared" si="1"/>
        <v/>
      </c>
      <c r="I726" s="249" t="s">
        <v>3607</v>
      </c>
      <c r="J726" s="302" t="str">
        <f t="shared" si="2"/>
        <v>Hold a Shulker Box that is completely filled with Sculk</v>
      </c>
      <c r="K726" s="303" t="s">
        <v>3608</v>
      </c>
      <c r="L726" s="304"/>
      <c r="M726" s="303"/>
      <c r="N726" s="303" t="s">
        <v>3609</v>
      </c>
      <c r="O726" s="239" t="s">
        <v>3610</v>
      </c>
      <c r="P726" s="305" t="s">
        <v>3376</v>
      </c>
      <c r="Q726" s="306" t="s">
        <v>3611</v>
      </c>
      <c r="R726" s="305" t="s">
        <v>194</v>
      </c>
      <c r="S726" s="305" t="s">
        <v>117</v>
      </c>
    </row>
    <row r="727">
      <c r="A727" s="230">
        <v>727.0</v>
      </c>
      <c r="B727" s="230" t="s">
        <v>188</v>
      </c>
      <c r="C727" s="231"/>
      <c r="D727" s="232"/>
      <c r="E727" s="232">
        <f>IFERROR(__xludf.DUMMYFUNCTION("iferror(SPLIT(D727,""/""),split(""0/0"",""/""))"),0.0)</f>
        <v>0</v>
      </c>
      <c r="F727" s="232">
        <f>IFERROR(__xludf.DUMMYFUNCTION("""COMPUTED_VALUE"""),0.0)</f>
        <v>0</v>
      </c>
      <c r="G727" s="247" t="b">
        <v>0</v>
      </c>
      <c r="H727" s="242" t="str">
        <f t="shared" si="1"/>
        <v/>
      </c>
      <c r="I727" s="249" t="s">
        <v>3612</v>
      </c>
      <c r="J727" s="302" t="str">
        <f t="shared" si="2"/>
        <v>Kill a Wither near a Sculk Catalyst to unleash a large explosion of sculk</v>
      </c>
      <c r="K727" s="303" t="s">
        <v>3613</v>
      </c>
      <c r="L727" s="304"/>
      <c r="M727" s="303"/>
      <c r="N727" s="303" t="s">
        <v>3614</v>
      </c>
      <c r="O727" s="239" t="s">
        <v>3213</v>
      </c>
      <c r="P727" s="305" t="s">
        <v>3376</v>
      </c>
      <c r="Q727" s="306" t="s">
        <v>3615</v>
      </c>
      <c r="R727" s="305" t="s">
        <v>194</v>
      </c>
      <c r="S727" s="306"/>
    </row>
    <row r="728">
      <c r="A728" s="230">
        <v>728.0</v>
      </c>
      <c r="B728" s="230" t="s">
        <v>257</v>
      </c>
      <c r="C728" s="231"/>
      <c r="D728" s="232"/>
      <c r="E728" s="232">
        <f>IFERROR(__xludf.DUMMYFUNCTION("iferror(SPLIT(D728,""/""),split(""0/0"",""/""))"),0.0)</f>
        <v>0</v>
      </c>
      <c r="F728" s="232">
        <f>IFERROR(__xludf.DUMMYFUNCTION("""COMPUTED_VALUE"""),0.0)</f>
        <v>0</v>
      </c>
      <c r="G728" s="247" t="b">
        <v>0</v>
      </c>
      <c r="H728" s="242" t="str">
        <f t="shared" si="1"/>
        <v/>
      </c>
      <c r="I728" s="249" t="s">
        <v>3616</v>
      </c>
      <c r="J728" s="302" t="str">
        <f t="shared" si="2"/>
        <v>Kill every hostile monster near a Sculk Catalyst (See the requirement notes for "Monsters Hunted" in the Adventure tab. Ender Dragon is not required)</v>
      </c>
      <c r="K728" s="303" t="s">
        <v>3613</v>
      </c>
      <c r="L728" s="304"/>
      <c r="M728" s="317" t="s">
        <v>3617</v>
      </c>
      <c r="N728" s="303" t="s">
        <v>3618</v>
      </c>
      <c r="O728" s="239" t="s">
        <v>371</v>
      </c>
      <c r="P728" s="305" t="s">
        <v>3376</v>
      </c>
      <c r="Q728" s="306" t="s">
        <v>3619</v>
      </c>
      <c r="R728" s="305" t="s">
        <v>194</v>
      </c>
      <c r="S728" s="306" t="s">
        <v>267</v>
      </c>
    </row>
    <row r="729">
      <c r="A729" s="230">
        <v>729.0</v>
      </c>
      <c r="B729" s="230" t="s">
        <v>188</v>
      </c>
      <c r="C729" s="231"/>
      <c r="D729" s="232"/>
      <c r="E729" s="232">
        <f>IFERROR(__xludf.DUMMYFUNCTION("iferror(SPLIT(D729,""/""),split(""0/0"",""/""))"),0.0)</f>
        <v>0</v>
      </c>
      <c r="F729" s="232">
        <f>IFERROR(__xludf.DUMMYFUNCTION("""COMPUTED_VALUE"""),0.0)</f>
        <v>0</v>
      </c>
      <c r="G729" s="247" t="b">
        <v>0</v>
      </c>
      <c r="H729" s="242" t="str">
        <f t="shared" si="1"/>
        <v/>
      </c>
      <c r="I729" s="235" t="s">
        <v>3620</v>
      </c>
      <c r="J729" s="318" t="str">
        <f t="shared" si="2"/>
        <v>Enchant items to give them magical abilities (Enchant an item at an enchanting table)</v>
      </c>
      <c r="K729" s="319"/>
      <c r="L729" s="320"/>
      <c r="M729" s="319" t="s">
        <v>3621</v>
      </c>
      <c r="N729" s="319" t="s">
        <v>3622</v>
      </c>
      <c r="O729" s="239" t="s">
        <v>741</v>
      </c>
      <c r="P729" s="321" t="s">
        <v>3620</v>
      </c>
      <c r="Q729" s="322" t="s">
        <v>3623</v>
      </c>
      <c r="R729" s="321" t="s">
        <v>194</v>
      </c>
      <c r="S729" s="322"/>
    </row>
    <row r="730">
      <c r="A730" s="230">
        <v>730.0</v>
      </c>
      <c r="B730" s="230" t="s">
        <v>188</v>
      </c>
      <c r="C730" s="231"/>
      <c r="D730" s="232"/>
      <c r="E730" s="232">
        <f>IFERROR(__xludf.DUMMYFUNCTION("iferror(SPLIT(D730,""/""),split(""0/0"",""/""))"),0.0)</f>
        <v>0</v>
      </c>
      <c r="F730" s="232">
        <f>IFERROR(__xludf.DUMMYFUNCTION("""COMPUTED_VALUE"""),0.0)</f>
        <v>0</v>
      </c>
      <c r="G730" s="247" t="b">
        <v>0</v>
      </c>
      <c r="H730" s="242" t="str">
        <f t="shared" si="1"/>
        <v/>
      </c>
      <c r="I730" s="243" t="s">
        <v>3624</v>
      </c>
      <c r="J730" s="318" t="str">
        <f t="shared" si="2"/>
        <v>Build some bookshelves for your enchanting table (Obtain a bookshelf)</v>
      </c>
      <c r="K730" s="319" t="s">
        <v>3625</v>
      </c>
      <c r="L730" s="320"/>
      <c r="M730" s="319" t="s">
        <v>3626</v>
      </c>
      <c r="N730" s="319" t="s">
        <v>3627</v>
      </c>
      <c r="O730" s="239" t="s">
        <v>3628</v>
      </c>
      <c r="P730" s="321" t="s">
        <v>3620</v>
      </c>
      <c r="Q730" s="322" t="s">
        <v>3629</v>
      </c>
      <c r="R730" s="321" t="s">
        <v>194</v>
      </c>
      <c r="S730" s="322"/>
    </row>
    <row r="731">
      <c r="A731" s="230">
        <v>731.0</v>
      </c>
      <c r="B731" s="230" t="s">
        <v>188</v>
      </c>
      <c r="C731" s="231"/>
      <c r="D731" s="232"/>
      <c r="E731" s="232">
        <f>IFERROR(__xludf.DUMMYFUNCTION("iferror(SPLIT(D731,""/""),split(""0/0"",""/""))"),0.0)</f>
        <v>0</v>
      </c>
      <c r="F731" s="232">
        <f>IFERROR(__xludf.DUMMYFUNCTION("""COMPUTED_VALUE"""),0.0)</f>
        <v>0</v>
      </c>
      <c r="G731" s="247" t="b">
        <v>0</v>
      </c>
      <c r="H731" s="242" t="str">
        <f t="shared" si="1"/>
        <v/>
      </c>
      <c r="I731" s="246" t="s">
        <v>3630</v>
      </c>
      <c r="J731" s="318" t="str">
        <f t="shared" si="2"/>
        <v>Obtain a full stack of bottles of enchanting</v>
      </c>
      <c r="K731" s="319"/>
      <c r="L731" s="320"/>
      <c r="M731" s="319"/>
      <c r="N731" s="319" t="s">
        <v>3631</v>
      </c>
      <c r="O731" s="239" t="s">
        <v>3225</v>
      </c>
      <c r="P731" s="321" t="s">
        <v>3620</v>
      </c>
      <c r="Q731" s="322" t="s">
        <v>3632</v>
      </c>
      <c r="R731" s="321" t="s">
        <v>194</v>
      </c>
      <c r="S731" s="322"/>
    </row>
    <row r="732">
      <c r="A732" s="230">
        <v>732.0</v>
      </c>
      <c r="B732" s="230" t="s">
        <v>188</v>
      </c>
      <c r="C732" s="231"/>
      <c r="D732" s="232"/>
      <c r="E732" s="232">
        <f>IFERROR(__xludf.DUMMYFUNCTION("iferror(SPLIT(D732,""/""),split(""0/0"",""/""))"),0.0)</f>
        <v>0</v>
      </c>
      <c r="F732" s="232">
        <f>IFERROR(__xludf.DUMMYFUNCTION("""COMPUTED_VALUE"""),0.0)</f>
        <v>0</v>
      </c>
      <c r="G732" s="247" t="b">
        <v>0</v>
      </c>
      <c r="H732" s="242" t="str">
        <f t="shared" si="1"/>
        <v/>
      </c>
      <c r="I732" s="246" t="s">
        <v>3633</v>
      </c>
      <c r="J732" s="318" t="str">
        <f t="shared" si="2"/>
        <v>Obtain Power V (Obtain Power V on any item (Bow or Enchanted Book))</v>
      </c>
      <c r="K732" s="319" t="s">
        <v>3634</v>
      </c>
      <c r="L732" s="320"/>
      <c r="M732" s="319" t="s">
        <v>3635</v>
      </c>
      <c r="N732" s="319" t="s">
        <v>3636</v>
      </c>
      <c r="O732" s="239" t="s">
        <v>1946</v>
      </c>
      <c r="P732" s="321" t="s">
        <v>3620</v>
      </c>
      <c r="Q732" s="322" t="s">
        <v>3637</v>
      </c>
      <c r="R732" s="321" t="s">
        <v>194</v>
      </c>
      <c r="S732" s="322"/>
    </row>
    <row r="733">
      <c r="A733" s="230">
        <v>733.0</v>
      </c>
      <c r="B733" s="230" t="s">
        <v>283</v>
      </c>
      <c r="C733" s="231"/>
      <c r="D733" s="232"/>
      <c r="E733" s="232">
        <f>IFERROR(__xludf.DUMMYFUNCTION("iferror(SPLIT(D733,""/""),split(""0/0"",""/""))"),0.0)</f>
        <v>0</v>
      </c>
      <c r="F733" s="232">
        <f>IFERROR(__xludf.DUMMYFUNCTION("""COMPUTED_VALUE"""),0.0)</f>
        <v>0</v>
      </c>
      <c r="G733" s="247" t="b">
        <v>0</v>
      </c>
      <c r="H733" s="242" t="str">
        <f t="shared" si="1"/>
        <v/>
      </c>
      <c r="I733" s="246" t="s">
        <v>3638</v>
      </c>
      <c r="J733" s="318" t="str">
        <f t="shared" si="2"/>
        <v>Obtain Infinity on a bow</v>
      </c>
      <c r="K733" s="319" t="s">
        <v>3634</v>
      </c>
      <c r="L733" s="320"/>
      <c r="M733" s="319"/>
      <c r="N733" s="319" t="s">
        <v>3639</v>
      </c>
      <c r="O733" s="239" t="s">
        <v>2474</v>
      </c>
      <c r="P733" s="321" t="s">
        <v>3620</v>
      </c>
      <c r="Q733" s="322" t="s">
        <v>3640</v>
      </c>
      <c r="R733" s="321" t="s">
        <v>194</v>
      </c>
      <c r="S733" s="322" t="s">
        <v>3641</v>
      </c>
    </row>
    <row r="734">
      <c r="A734" s="230">
        <v>734.0</v>
      </c>
      <c r="B734" s="230" t="s">
        <v>188</v>
      </c>
      <c r="C734" s="231"/>
      <c r="D734" s="232"/>
      <c r="E734" s="232">
        <f>IFERROR(__xludf.DUMMYFUNCTION("iferror(SPLIT(D734,""/""),split(""0/0"",""/""))"),0.0)</f>
        <v>0</v>
      </c>
      <c r="F734" s="232">
        <f>IFERROR(__xludf.DUMMYFUNCTION("""COMPUTED_VALUE"""),0.0)</f>
        <v>0</v>
      </c>
      <c r="G734" s="247" t="b">
        <v>0</v>
      </c>
      <c r="H734" s="242" t="str">
        <f t="shared" si="1"/>
        <v/>
      </c>
      <c r="I734" s="246" t="s">
        <v>3642</v>
      </c>
      <c r="J734" s="318" t="str">
        <f t="shared" si="2"/>
        <v>Obtain Efficiency V (Obtain Efficiency V on any item)</v>
      </c>
      <c r="K734" s="319" t="s">
        <v>3634</v>
      </c>
      <c r="L734" s="320"/>
      <c r="M734" s="319" t="s">
        <v>3643</v>
      </c>
      <c r="N734" s="319" t="s">
        <v>3644</v>
      </c>
      <c r="O734" s="239" t="s">
        <v>530</v>
      </c>
      <c r="P734" s="321" t="s">
        <v>3620</v>
      </c>
      <c r="Q734" s="322" t="s">
        <v>3645</v>
      </c>
      <c r="R734" s="321" t="s">
        <v>194</v>
      </c>
      <c r="S734" s="322"/>
    </row>
    <row r="735">
      <c r="A735" s="230">
        <v>735.0</v>
      </c>
      <c r="B735" s="230" t="s">
        <v>188</v>
      </c>
      <c r="C735" s="231"/>
      <c r="D735" s="232"/>
      <c r="E735" s="232">
        <f>IFERROR(__xludf.DUMMYFUNCTION("iferror(SPLIT(D735,""/""),split(""0/0"",""/""))"),0.0)</f>
        <v>0</v>
      </c>
      <c r="F735" s="232">
        <f>IFERROR(__xludf.DUMMYFUNCTION("""COMPUTED_VALUE"""),0.0)</f>
        <v>0</v>
      </c>
      <c r="G735" s="247" t="b">
        <v>0</v>
      </c>
      <c r="H735" s="242" t="str">
        <f t="shared" si="1"/>
        <v/>
      </c>
      <c r="I735" s="246" t="s">
        <v>3646</v>
      </c>
      <c r="J735" s="318" t="str">
        <f t="shared" si="2"/>
        <v>Obtain Fortune III (Obtain Fortune III on any item)</v>
      </c>
      <c r="K735" s="319" t="s">
        <v>3634</v>
      </c>
      <c r="L735" s="320"/>
      <c r="M735" s="323" t="s">
        <v>3647</v>
      </c>
      <c r="N735" s="319" t="s">
        <v>3648</v>
      </c>
      <c r="O735" s="239" t="s">
        <v>582</v>
      </c>
      <c r="P735" s="321" t="s">
        <v>3620</v>
      </c>
      <c r="Q735" s="322" t="s">
        <v>3649</v>
      </c>
      <c r="R735" s="321" t="s">
        <v>194</v>
      </c>
      <c r="S735" s="322"/>
    </row>
    <row r="736">
      <c r="A736" s="230">
        <v>736.0</v>
      </c>
      <c r="B736" s="230" t="s">
        <v>188</v>
      </c>
      <c r="C736" s="231"/>
      <c r="D736" s="232"/>
      <c r="E736" s="232">
        <f>IFERROR(__xludf.DUMMYFUNCTION("iferror(SPLIT(D736,""/""),split(""0/0"",""/""))"),0.0)</f>
        <v>0</v>
      </c>
      <c r="F736" s="232">
        <f>IFERROR(__xludf.DUMMYFUNCTION("""COMPUTED_VALUE"""),0.0)</f>
        <v>0</v>
      </c>
      <c r="G736" s="247" t="b">
        <v>0</v>
      </c>
      <c r="H736" s="242" t="str">
        <f t="shared" si="1"/>
        <v/>
      </c>
      <c r="I736" s="249" t="s">
        <v>3650</v>
      </c>
      <c r="J736" s="318" t="str">
        <f t="shared" si="2"/>
        <v>Use a Silk Touch enchanted pickaxe to obtain diamond ore as a block (Obtain Diamond Ore or Deepslate Diamond Ore)</v>
      </c>
      <c r="K736" s="319" t="s">
        <v>675</v>
      </c>
      <c r="L736" s="320"/>
      <c r="M736" s="319" t="s">
        <v>3651</v>
      </c>
      <c r="N736" s="319" t="s">
        <v>3652</v>
      </c>
      <c r="O736" s="239" t="s">
        <v>662</v>
      </c>
      <c r="P736" s="321" t="s">
        <v>3620</v>
      </c>
      <c r="Q736" s="322" t="s">
        <v>3653</v>
      </c>
      <c r="R736" s="321" t="s">
        <v>194</v>
      </c>
      <c r="S736" s="322"/>
    </row>
    <row r="737">
      <c r="A737" s="230">
        <v>737.0</v>
      </c>
      <c r="B737" s="230" t="s">
        <v>188</v>
      </c>
      <c r="C737" s="231"/>
      <c r="D737" s="232"/>
      <c r="E737" s="232">
        <f>IFERROR(__xludf.DUMMYFUNCTION("iferror(SPLIT(D737,""/""),split(""0/0"",""/""))"),0.0)</f>
        <v>0</v>
      </c>
      <c r="F737" s="232">
        <f>IFERROR(__xludf.DUMMYFUNCTION("""COMPUTED_VALUE"""),0.0)</f>
        <v>0</v>
      </c>
      <c r="G737" s="247" t="b">
        <v>0</v>
      </c>
      <c r="H737" s="242" t="str">
        <f t="shared" si="1"/>
        <v/>
      </c>
      <c r="I737" s="246" t="s">
        <v>3654</v>
      </c>
      <c r="J737" s="318" t="str">
        <f t="shared" si="2"/>
        <v>Obtain Sharpness V</v>
      </c>
      <c r="K737" s="319" t="s">
        <v>3634</v>
      </c>
      <c r="L737" s="320"/>
      <c r="M737" s="319"/>
      <c r="N737" s="319" t="s">
        <v>3655</v>
      </c>
      <c r="O737" s="239" t="s">
        <v>1969</v>
      </c>
      <c r="P737" s="321" t="s">
        <v>3620</v>
      </c>
      <c r="Q737" s="322" t="s">
        <v>3656</v>
      </c>
      <c r="R737" s="321" t="s">
        <v>194</v>
      </c>
      <c r="S737" s="322"/>
    </row>
    <row r="738">
      <c r="A738" s="230">
        <v>738.0</v>
      </c>
      <c r="B738" s="230" t="s">
        <v>188</v>
      </c>
      <c r="C738" s="231"/>
      <c r="D738" s="232"/>
      <c r="E738" s="232">
        <f>IFERROR(__xludf.DUMMYFUNCTION("iferror(SPLIT(D738,""/""),split(""0/0"",""/""))"),0.0)</f>
        <v>0</v>
      </c>
      <c r="F738" s="232">
        <f>IFERROR(__xludf.DUMMYFUNCTION("""COMPUTED_VALUE"""),0.0)</f>
        <v>0</v>
      </c>
      <c r="G738" s="247" t="b">
        <v>0</v>
      </c>
      <c r="H738" s="242" t="str">
        <f t="shared" si="1"/>
        <v/>
      </c>
      <c r="I738" s="246" t="s">
        <v>3657</v>
      </c>
      <c r="J738" s="318" t="str">
        <f t="shared" si="2"/>
        <v>Obtain Smite V</v>
      </c>
      <c r="K738" s="319" t="s">
        <v>3634</v>
      </c>
      <c r="L738" s="320"/>
      <c r="M738" s="319"/>
      <c r="N738" s="319" t="s">
        <v>3658</v>
      </c>
      <c r="O738" s="239" t="s">
        <v>2029</v>
      </c>
      <c r="P738" s="321" t="s">
        <v>3620</v>
      </c>
      <c r="Q738" s="322" t="s">
        <v>3659</v>
      </c>
      <c r="R738" s="321" t="s">
        <v>194</v>
      </c>
      <c r="S738" s="322"/>
    </row>
    <row r="739">
      <c r="A739" s="230">
        <v>739.0</v>
      </c>
      <c r="B739" s="230" t="s">
        <v>188</v>
      </c>
      <c r="C739" s="231"/>
      <c r="D739" s="232"/>
      <c r="E739" s="232">
        <f>IFERROR(__xludf.DUMMYFUNCTION("iferror(SPLIT(D739,""/""),split(""0/0"",""/""))"),0.0)</f>
        <v>0</v>
      </c>
      <c r="F739" s="232">
        <f>IFERROR(__xludf.DUMMYFUNCTION("""COMPUTED_VALUE"""),0.0)</f>
        <v>0</v>
      </c>
      <c r="G739" s="247" t="b">
        <v>0</v>
      </c>
      <c r="H739" s="242" t="str">
        <f t="shared" si="1"/>
        <v/>
      </c>
      <c r="I739" s="246" t="s">
        <v>3660</v>
      </c>
      <c r="J739" s="318" t="str">
        <f t="shared" si="2"/>
        <v>Obtain Bane of Arthropods V</v>
      </c>
      <c r="K739" s="319" t="s">
        <v>3634</v>
      </c>
      <c r="L739" s="320"/>
      <c r="M739" s="319"/>
      <c r="N739" s="319" t="s">
        <v>3661</v>
      </c>
      <c r="O739" s="239" t="s">
        <v>2040</v>
      </c>
      <c r="P739" s="321" t="s">
        <v>3620</v>
      </c>
      <c r="Q739" s="322" t="s">
        <v>3662</v>
      </c>
      <c r="R739" s="321" t="s">
        <v>194</v>
      </c>
      <c r="S739" s="322"/>
    </row>
    <row r="740">
      <c r="A740" s="230">
        <v>740.0</v>
      </c>
      <c r="B740" s="230" t="s">
        <v>188</v>
      </c>
      <c r="C740" s="231"/>
      <c r="D740" s="232"/>
      <c r="E740" s="232">
        <f>IFERROR(__xludf.DUMMYFUNCTION("iferror(SPLIT(D740,""/""),split(""0/0"",""/""))"),0.0)</f>
        <v>0</v>
      </c>
      <c r="F740" s="232">
        <f>IFERROR(__xludf.DUMMYFUNCTION("""COMPUTED_VALUE"""),0.0)</f>
        <v>0</v>
      </c>
      <c r="G740" s="247" t="b">
        <v>0</v>
      </c>
      <c r="H740" s="242" t="str">
        <f t="shared" si="1"/>
        <v/>
      </c>
      <c r="I740" s="246" t="s">
        <v>3663</v>
      </c>
      <c r="J740" s="318" t="str">
        <f t="shared" si="2"/>
        <v>Have a diamond sword with Fire Aspect II</v>
      </c>
      <c r="K740" s="319" t="s">
        <v>3664</v>
      </c>
      <c r="L740" s="320"/>
      <c r="M740" s="319"/>
      <c r="N740" s="319" t="s">
        <v>3665</v>
      </c>
      <c r="O740" s="239" t="s">
        <v>277</v>
      </c>
      <c r="P740" s="321" t="s">
        <v>3620</v>
      </c>
      <c r="Q740" s="322" t="s">
        <v>3666</v>
      </c>
      <c r="R740" s="321" t="s">
        <v>194</v>
      </c>
      <c r="S740" s="322"/>
    </row>
    <row r="741">
      <c r="A741" s="230">
        <v>741.0</v>
      </c>
      <c r="B741" s="230" t="s">
        <v>283</v>
      </c>
      <c r="C741" s="231"/>
      <c r="D741" s="232"/>
      <c r="E741" s="232">
        <f>IFERROR(__xludf.DUMMYFUNCTION("iferror(SPLIT(D741,""/""),split(""0/0"",""/""))"),0.0)</f>
        <v>0</v>
      </c>
      <c r="F741" s="232">
        <f>IFERROR(__xludf.DUMMYFUNCTION("""COMPUTED_VALUE"""),0.0)</f>
        <v>0</v>
      </c>
      <c r="G741" s="247" t="b">
        <v>0</v>
      </c>
      <c r="H741" s="242" t="str">
        <f t="shared" si="1"/>
        <v/>
      </c>
      <c r="I741" s="249" t="s">
        <v>3667</v>
      </c>
      <c r="J741" s="318" t="str">
        <f t="shared" si="2"/>
        <v>Enchant a wooden sword with Sharpness V. Not really the best weapon, but it could be a minor annoyance to someone</v>
      </c>
      <c r="K741" s="319" t="s">
        <v>3668</v>
      </c>
      <c r="L741" s="320"/>
      <c r="M741" s="319"/>
      <c r="N741" s="319" t="s">
        <v>3669</v>
      </c>
      <c r="O741" s="239" t="s">
        <v>299</v>
      </c>
      <c r="P741" s="321" t="s">
        <v>3620</v>
      </c>
      <c r="Q741" s="322" t="s">
        <v>3670</v>
      </c>
      <c r="R741" s="321" t="s">
        <v>194</v>
      </c>
      <c r="S741" s="322" t="s">
        <v>3641</v>
      </c>
    </row>
    <row r="742">
      <c r="A742" s="230">
        <v>742.0</v>
      </c>
      <c r="B742" s="230" t="s">
        <v>188</v>
      </c>
      <c r="C742" s="231"/>
      <c r="D742" s="232"/>
      <c r="E742" s="232">
        <f>IFERROR(__xludf.DUMMYFUNCTION("iferror(SPLIT(D742,""/""),split(""0/0"",""/""))"),0.0)</f>
        <v>0</v>
      </c>
      <c r="F742" s="232">
        <f>IFERROR(__xludf.DUMMYFUNCTION("""COMPUTED_VALUE"""),0.0)</f>
        <v>0</v>
      </c>
      <c r="G742" s="247" t="b">
        <v>0</v>
      </c>
      <c r="H742" s="242" t="str">
        <f t="shared" si="1"/>
        <v/>
      </c>
      <c r="I742" s="246" t="s">
        <v>3671</v>
      </c>
      <c r="J742" s="318" t="str">
        <f t="shared" si="2"/>
        <v>Deal eight hearts of damage in a single melee blow without using a Mace (Deal at least eight hearts of damage with any melee attack)</v>
      </c>
      <c r="K742" s="319"/>
      <c r="L742" s="320"/>
      <c r="M742" s="319" t="s">
        <v>3672</v>
      </c>
      <c r="N742" s="319" t="s">
        <v>3673</v>
      </c>
      <c r="O742" s="239" t="s">
        <v>672</v>
      </c>
      <c r="P742" s="321" t="s">
        <v>3620</v>
      </c>
      <c r="Q742" s="322" t="s">
        <v>3674</v>
      </c>
      <c r="R742" s="321" t="s">
        <v>194</v>
      </c>
      <c r="S742" s="322"/>
    </row>
    <row r="743">
      <c r="A743" s="230">
        <v>743.0</v>
      </c>
      <c r="B743" s="230" t="s">
        <v>257</v>
      </c>
      <c r="C743" s="231"/>
      <c r="D743" s="232"/>
      <c r="E743" s="232">
        <f>IFERROR(__xludf.DUMMYFUNCTION("iferror(SPLIT(D743,""/""),split(""0/0"",""/""))"),0.0)</f>
        <v>0</v>
      </c>
      <c r="F743" s="232">
        <f>IFERROR(__xludf.DUMMYFUNCTION("""COMPUTED_VALUE"""),0.0)</f>
        <v>0</v>
      </c>
      <c r="G743" s="247" t="b">
        <v>0</v>
      </c>
      <c r="H743" s="242" t="str">
        <f t="shared" si="1"/>
        <v/>
      </c>
      <c r="I743" s="249" t="s">
        <v>3675</v>
      </c>
      <c r="J743" s="318" t="str">
        <f t="shared" si="2"/>
        <v>Deal 16 hearts of damage in a single melee blow without using a Mace (Deal at least sixteen hearts of damage with any melee attack)</v>
      </c>
      <c r="K743" s="319"/>
      <c r="L743" s="320"/>
      <c r="M743" s="319" t="s">
        <v>3676</v>
      </c>
      <c r="N743" s="319" t="s">
        <v>3677</v>
      </c>
      <c r="O743" s="239" t="s">
        <v>3678</v>
      </c>
      <c r="P743" s="321" t="s">
        <v>3620</v>
      </c>
      <c r="Q743" s="322" t="s">
        <v>3679</v>
      </c>
      <c r="R743" s="321" t="s">
        <v>194</v>
      </c>
      <c r="S743" s="322" t="s">
        <v>3641</v>
      </c>
    </row>
    <row r="744">
      <c r="A744" s="230">
        <v>744.0</v>
      </c>
      <c r="B744" s="230" t="s">
        <v>283</v>
      </c>
      <c r="C744" s="231"/>
      <c r="D744" s="232"/>
      <c r="E744" s="232">
        <f>IFERROR(__xludf.DUMMYFUNCTION("iferror(SPLIT(D744,""/""),split(""0/0"",""/""))"),0.0)</f>
        <v>0</v>
      </c>
      <c r="F744" s="232">
        <f>IFERROR(__xludf.DUMMYFUNCTION("""COMPUTED_VALUE"""),0.0)</f>
        <v>0</v>
      </c>
      <c r="G744" s="247" t="b">
        <v>0</v>
      </c>
      <c r="H744" s="242" t="str">
        <f t="shared" si="1"/>
        <v/>
      </c>
      <c r="I744" s="246" t="s">
        <v>3680</v>
      </c>
      <c r="J744" s="318" t="str">
        <f t="shared" si="2"/>
        <v>Shoot three arrows at once with a crossbow (Shoot a crossbow with Multishot)</v>
      </c>
      <c r="K744" s="319" t="s">
        <v>3634</v>
      </c>
      <c r="L744" s="320"/>
      <c r="M744" s="319" t="s">
        <v>3681</v>
      </c>
      <c r="N744" s="319" t="s">
        <v>3682</v>
      </c>
      <c r="O744" s="239" t="s">
        <v>2474</v>
      </c>
      <c r="P744" s="321" t="s">
        <v>3620</v>
      </c>
      <c r="Q744" s="322" t="s">
        <v>3683</v>
      </c>
      <c r="R744" s="321" t="s">
        <v>194</v>
      </c>
      <c r="S744" s="322" t="s">
        <v>3641</v>
      </c>
    </row>
    <row r="745">
      <c r="A745" s="230">
        <v>745.0</v>
      </c>
      <c r="B745" s="230" t="s">
        <v>283</v>
      </c>
      <c r="C745" s="231"/>
      <c r="D745" s="232"/>
      <c r="E745" s="232">
        <f>IFERROR(__xludf.DUMMYFUNCTION("iferror(SPLIT(D745,""/""),split(""0/0"",""/""))"),0.0)</f>
        <v>0</v>
      </c>
      <c r="F745" s="232">
        <f>IFERROR(__xludf.DUMMYFUNCTION("""COMPUTED_VALUE"""),0.0)</f>
        <v>0</v>
      </c>
      <c r="G745" s="247" t="b">
        <v>0</v>
      </c>
      <c r="H745" s="242" t="str">
        <f t="shared" si="1"/>
        <v/>
      </c>
      <c r="I745" s="246" t="s">
        <v>3684</v>
      </c>
      <c r="J745" s="318" t="str">
        <f t="shared" si="2"/>
        <v>Fire a crossbow as rapidly as possible (Shoot a crossbow with Quick Charge III)</v>
      </c>
      <c r="K745" s="319" t="s">
        <v>3634</v>
      </c>
      <c r="L745" s="320"/>
      <c r="M745" s="319" t="s">
        <v>3685</v>
      </c>
      <c r="N745" s="319" t="s">
        <v>3686</v>
      </c>
      <c r="O745" s="239" t="s">
        <v>2535</v>
      </c>
      <c r="P745" s="321" t="s">
        <v>3620</v>
      </c>
      <c r="Q745" s="322" t="s">
        <v>3687</v>
      </c>
      <c r="R745" s="321" t="s">
        <v>194</v>
      </c>
      <c r="S745" s="322" t="s">
        <v>3641</v>
      </c>
    </row>
    <row r="746">
      <c r="A746" s="230">
        <v>746.0</v>
      </c>
      <c r="B746" s="230" t="s">
        <v>257</v>
      </c>
      <c r="C746" s="231"/>
      <c r="D746" s="232"/>
      <c r="E746" s="232">
        <f>IFERROR(__xludf.DUMMYFUNCTION("iferror(SPLIT(D746,""/""),split(""0/0"",""/""))"),0.0)</f>
        <v>0</v>
      </c>
      <c r="F746" s="232">
        <f>IFERROR(__xludf.DUMMYFUNCTION("""COMPUTED_VALUE"""),0.0)</f>
        <v>0</v>
      </c>
      <c r="G746" s="247" t="b">
        <v>0</v>
      </c>
      <c r="H746" s="242" t="str">
        <f t="shared" si="1"/>
        <v/>
      </c>
      <c r="I746" s="249" t="s">
        <v>3688</v>
      </c>
      <c r="J746" s="318" t="str">
        <f t="shared" si="2"/>
        <v>Kill five unique mobs with one crossbow shot</v>
      </c>
      <c r="K746" s="319"/>
      <c r="L746" s="320"/>
      <c r="M746" s="319"/>
      <c r="N746" s="319" t="s">
        <v>3689</v>
      </c>
      <c r="O746" s="239" t="s">
        <v>2626</v>
      </c>
      <c r="P746" s="321" t="s">
        <v>3620</v>
      </c>
      <c r="Q746" s="322" t="s">
        <v>3690</v>
      </c>
      <c r="R746" s="321" t="s">
        <v>194</v>
      </c>
      <c r="S746" s="322" t="s">
        <v>3641</v>
      </c>
    </row>
    <row r="747">
      <c r="A747" s="230">
        <v>747.0</v>
      </c>
      <c r="B747" s="230" t="s">
        <v>283</v>
      </c>
      <c r="C747" s="231"/>
      <c r="D747" s="232"/>
      <c r="E747" s="232">
        <f>IFERROR(__xludf.DUMMYFUNCTION("iferror(SPLIT(D747,""/""),split(""0/0"",""/""))"),0.0)</f>
        <v>0</v>
      </c>
      <c r="F747" s="232">
        <f>IFERROR(__xludf.DUMMYFUNCTION("""COMPUTED_VALUE"""),0.0)</f>
        <v>0</v>
      </c>
      <c r="G747" s="247" t="b">
        <v>0</v>
      </c>
      <c r="H747" s="242" t="str">
        <f t="shared" si="1"/>
        <v/>
      </c>
      <c r="I747" s="246" t="s">
        <v>3691</v>
      </c>
      <c r="J747" s="318" t="str">
        <f t="shared" si="2"/>
        <v>Turn your trident into a boomerang by getting Loyalty on it</v>
      </c>
      <c r="K747" s="319" t="s">
        <v>3634</v>
      </c>
      <c r="L747" s="320"/>
      <c r="M747" s="319"/>
      <c r="N747" s="319" t="s">
        <v>3692</v>
      </c>
      <c r="O747" s="239" t="s">
        <v>1716</v>
      </c>
      <c r="P747" s="321" t="s">
        <v>3620</v>
      </c>
      <c r="Q747" s="322" t="s">
        <v>3693</v>
      </c>
      <c r="R747" s="321" t="s">
        <v>194</v>
      </c>
      <c r="S747" s="322" t="s">
        <v>3641</v>
      </c>
    </row>
    <row r="748">
      <c r="A748" s="230">
        <v>748.0</v>
      </c>
      <c r="B748" s="230" t="s">
        <v>283</v>
      </c>
      <c r="C748" s="231"/>
      <c r="D748" s="232"/>
      <c r="E748" s="232">
        <f>IFERROR(__xludf.DUMMYFUNCTION("iferror(SPLIT(D748,""/""),split(""0/0"",""/""))"),0.0)</f>
        <v>0</v>
      </c>
      <c r="F748" s="232">
        <f>IFERROR(__xludf.DUMMYFUNCTION("""COMPUTED_VALUE"""),0.0)</f>
        <v>0</v>
      </c>
      <c r="G748" s="233" t="b">
        <v>0</v>
      </c>
      <c r="H748" s="242" t="str">
        <f t="shared" si="1"/>
        <v/>
      </c>
      <c r="I748" s="276" t="s">
        <v>3694</v>
      </c>
      <c r="J748" s="318" t="str">
        <f t="shared" si="2"/>
        <v>Use Riptide to give yourself a boost (Use a Riptide-enchanted trident while in water or rain)</v>
      </c>
      <c r="K748" s="319" t="s">
        <v>3634</v>
      </c>
      <c r="L748" s="320"/>
      <c r="M748" s="319" t="s">
        <v>3695</v>
      </c>
      <c r="N748" s="319" t="s">
        <v>3696</v>
      </c>
      <c r="O748" s="239" t="s">
        <v>345</v>
      </c>
      <c r="P748" s="321" t="s">
        <v>3620</v>
      </c>
      <c r="Q748" s="322" t="s">
        <v>3697</v>
      </c>
      <c r="R748" s="321" t="s">
        <v>194</v>
      </c>
      <c r="S748" s="322" t="s">
        <v>3641</v>
      </c>
    </row>
    <row r="749">
      <c r="A749" s="230">
        <v>749.0</v>
      </c>
      <c r="B749" s="230" t="s">
        <v>283</v>
      </c>
      <c r="C749" s="231"/>
      <c r="D749" s="232"/>
      <c r="E749" s="232">
        <f>IFERROR(__xludf.DUMMYFUNCTION("iferror(SPLIT(D749,""/""),split(""0/0"",""/""))"),0.0)</f>
        <v>0</v>
      </c>
      <c r="F749" s="232">
        <f>IFERROR(__xludf.DUMMYFUNCTION("""COMPUTED_VALUE"""),0.0)</f>
        <v>0</v>
      </c>
      <c r="G749" s="247" t="b">
        <v>0</v>
      </c>
      <c r="H749" s="242" t="str">
        <f t="shared" si="1"/>
        <v/>
      </c>
      <c r="I749" s="246" t="s">
        <v>3698</v>
      </c>
      <c r="J749" s="318" t="str">
        <f t="shared" si="2"/>
        <v>Obtain Channeling on a trident</v>
      </c>
      <c r="K749" s="319" t="s">
        <v>3634</v>
      </c>
      <c r="L749" s="320"/>
      <c r="M749" s="319"/>
      <c r="N749" s="319" t="s">
        <v>3699</v>
      </c>
      <c r="O749" s="239" t="s">
        <v>1009</v>
      </c>
      <c r="P749" s="321" t="s">
        <v>3620</v>
      </c>
      <c r="Q749" s="322" t="s">
        <v>3700</v>
      </c>
      <c r="R749" s="321" t="s">
        <v>194</v>
      </c>
      <c r="S749" s="322" t="s">
        <v>3641</v>
      </c>
    </row>
    <row r="750">
      <c r="A750" s="230">
        <v>750.0</v>
      </c>
      <c r="B750" s="230" t="s">
        <v>188</v>
      </c>
      <c r="C750" s="231"/>
      <c r="D750" s="232"/>
      <c r="E750" s="232">
        <f>IFERROR(__xludf.DUMMYFUNCTION("iferror(SPLIT(D750,""/""),split(""0/0"",""/""))"),0.0)</f>
        <v>0</v>
      </c>
      <c r="F750" s="232">
        <f>IFERROR(__xludf.DUMMYFUNCTION("""COMPUTED_VALUE"""),0.0)</f>
        <v>0</v>
      </c>
      <c r="G750" s="247" t="b">
        <v>0</v>
      </c>
      <c r="H750" s="242" t="str">
        <f t="shared" si="1"/>
        <v/>
      </c>
      <c r="I750" s="249" t="s">
        <v>3701</v>
      </c>
      <c r="J750" s="318" t="str">
        <f t="shared" si="2"/>
        <v>Strike a Villager with lightning</v>
      </c>
      <c r="K750" s="319"/>
      <c r="L750" s="320"/>
      <c r="M750" s="319"/>
      <c r="N750" s="319" t="s">
        <v>3702</v>
      </c>
      <c r="O750" s="239" t="s">
        <v>3703</v>
      </c>
      <c r="P750" s="321" t="s">
        <v>3620</v>
      </c>
      <c r="Q750" s="322" t="s">
        <v>3704</v>
      </c>
      <c r="R750" s="321" t="s">
        <v>194</v>
      </c>
      <c r="S750" s="322"/>
    </row>
    <row r="751">
      <c r="A751" s="230">
        <v>751.0</v>
      </c>
      <c r="B751" s="230" t="s">
        <v>206</v>
      </c>
      <c r="C751" s="231"/>
      <c r="D751" s="232"/>
      <c r="E751" s="232">
        <f>IFERROR(__xludf.DUMMYFUNCTION("iferror(SPLIT(D751,""/""),split(""0/0"",""/""))"),0.0)</f>
        <v>0</v>
      </c>
      <c r="F751" s="232">
        <f>IFERROR(__xludf.DUMMYFUNCTION("""COMPUTED_VALUE"""),0.0)</f>
        <v>0</v>
      </c>
      <c r="G751" s="247" t="b">
        <v>0</v>
      </c>
      <c r="H751" s="242" t="str">
        <f t="shared" si="1"/>
        <v/>
      </c>
      <c r="I751" s="246" t="s">
        <v>3705</v>
      </c>
      <c r="J751" s="318" t="str">
        <f t="shared" si="2"/>
        <v>Obtain the Wind Burst enchantment on a Mace</v>
      </c>
      <c r="K751" s="319" t="s">
        <v>3706</v>
      </c>
      <c r="L751" s="320"/>
      <c r="M751" s="319"/>
      <c r="N751" s="319" t="s">
        <v>3707</v>
      </c>
      <c r="O751" s="239" t="s">
        <v>2718</v>
      </c>
      <c r="P751" s="321" t="s">
        <v>3620</v>
      </c>
      <c r="Q751" s="322" t="s">
        <v>3708</v>
      </c>
      <c r="R751" s="321" t="s">
        <v>194</v>
      </c>
      <c r="S751" s="322"/>
    </row>
    <row r="752">
      <c r="A752" s="230">
        <v>752.0</v>
      </c>
      <c r="B752" s="230" t="s">
        <v>257</v>
      </c>
      <c r="C752" s="231"/>
      <c r="D752" s="232"/>
      <c r="E752" s="232">
        <f>IFERROR(__xludf.DUMMYFUNCTION("iferror(SPLIT(D752,""/""),split(""0/0"",""/""))"),0.0)</f>
        <v>0</v>
      </c>
      <c r="F752" s="232">
        <f>IFERROR(__xludf.DUMMYFUNCTION("""COMPUTED_VALUE"""),0.0)</f>
        <v>0</v>
      </c>
      <c r="G752" s="247" t="b">
        <v>0</v>
      </c>
      <c r="H752" s="242" t="str">
        <f t="shared" si="1"/>
        <v/>
      </c>
      <c r="I752" s="249" t="s">
        <v>3709</v>
      </c>
      <c r="J752" s="318" t="str">
        <f t="shared" si="2"/>
        <v>Using a Mace enchanted with Wind Burst, hit eight Armadillos consecutively without touching the ground</v>
      </c>
      <c r="K752" s="319" t="s">
        <v>3710</v>
      </c>
      <c r="L752" s="320"/>
      <c r="M752" s="319"/>
      <c r="N752" s="319" t="s">
        <v>3711</v>
      </c>
      <c r="O752" s="239" t="s">
        <v>3712</v>
      </c>
      <c r="P752" s="321" t="s">
        <v>3620</v>
      </c>
      <c r="Q752" s="322" t="s">
        <v>3713</v>
      </c>
      <c r="R752" s="321" t="s">
        <v>194</v>
      </c>
      <c r="S752" s="322"/>
    </row>
    <row r="753">
      <c r="A753" s="230">
        <v>753.0</v>
      </c>
      <c r="B753" s="230" t="s">
        <v>188</v>
      </c>
      <c r="C753" s="231"/>
      <c r="D753" s="232"/>
      <c r="E753" s="232">
        <f>IFERROR(__xludf.DUMMYFUNCTION("iferror(SPLIT(D753,""/""),split(""0/0"",""/""))"),0.0)</f>
        <v>0</v>
      </c>
      <c r="F753" s="232">
        <f>IFERROR(__xludf.DUMMYFUNCTION("""COMPUTED_VALUE"""),0.0)</f>
        <v>0</v>
      </c>
      <c r="G753" s="247" t="b">
        <v>0</v>
      </c>
      <c r="H753" s="242" t="str">
        <f t="shared" si="1"/>
        <v/>
      </c>
      <c r="I753" s="246" t="s">
        <v>3714</v>
      </c>
      <c r="J753" s="318" t="str">
        <f t="shared" si="2"/>
        <v>Obtain boots enchanted with Feather Falling</v>
      </c>
      <c r="K753" s="319"/>
      <c r="L753" s="320"/>
      <c r="M753" s="319"/>
      <c r="N753" s="319" t="s">
        <v>3715</v>
      </c>
      <c r="O753" s="239" t="s">
        <v>3716</v>
      </c>
      <c r="P753" s="321" t="s">
        <v>3620</v>
      </c>
      <c r="Q753" s="322" t="s">
        <v>3717</v>
      </c>
      <c r="R753" s="321" t="s">
        <v>194</v>
      </c>
      <c r="S753" s="322"/>
    </row>
    <row r="754">
      <c r="A754" s="230">
        <v>754.0</v>
      </c>
      <c r="B754" s="230" t="s">
        <v>188</v>
      </c>
      <c r="C754" s="231"/>
      <c r="D754" s="232"/>
      <c r="E754" s="232">
        <f>IFERROR(__xludf.DUMMYFUNCTION("iferror(SPLIT(D754,""/""),split(""0/0"",""/""))"),0.0)</f>
        <v>0</v>
      </c>
      <c r="F754" s="232">
        <f>IFERROR(__xludf.DUMMYFUNCTION("""COMPUTED_VALUE"""),0.0)</f>
        <v>0</v>
      </c>
      <c r="G754" s="233" t="b">
        <v>0</v>
      </c>
      <c r="H754" s="242" t="str">
        <f t="shared" si="1"/>
        <v/>
      </c>
      <c r="I754" s="276" t="s">
        <v>3718</v>
      </c>
      <c r="J754" s="318" t="str">
        <f t="shared" si="2"/>
        <v>Obtain all protection related enchantments (See requirement notes below)</v>
      </c>
      <c r="K754" s="319"/>
      <c r="L754" s="320"/>
      <c r="M754" s="324" t="s">
        <v>238</v>
      </c>
      <c r="N754" s="319" t="s">
        <v>3719</v>
      </c>
      <c r="O754" s="239" t="s">
        <v>535</v>
      </c>
      <c r="P754" s="321" t="s">
        <v>3620</v>
      </c>
      <c r="Q754" s="322" t="s">
        <v>3720</v>
      </c>
      <c r="R754" s="321" t="s">
        <v>194</v>
      </c>
      <c r="S754" s="322"/>
    </row>
    <row r="755">
      <c r="A755" s="230">
        <v>755.0</v>
      </c>
      <c r="B755" s="230" t="s">
        <v>188</v>
      </c>
      <c r="C755" s="231"/>
      <c r="D755" s="232"/>
      <c r="E755" s="232">
        <f>IFERROR(__xludf.DUMMYFUNCTION("iferror(SPLIT(D755,""/""),split(""0/0"",""/""))"),0.0)</f>
        <v>0</v>
      </c>
      <c r="F755" s="232">
        <f>IFERROR(__xludf.DUMMYFUNCTION("""COMPUTED_VALUE"""),0.0)</f>
        <v>0</v>
      </c>
      <c r="G755" s="247" t="b">
        <v>0</v>
      </c>
      <c r="H755" s="242" t="str">
        <f t="shared" si="1"/>
        <v/>
      </c>
      <c r="I755" s="246" t="s">
        <v>3721</v>
      </c>
      <c r="J755" s="318" t="str">
        <f t="shared" si="2"/>
        <v>Obtain Knockback and Punch enchantments (Obtain Knockback and Punch on any non-book item(s))</v>
      </c>
      <c r="K755" s="319"/>
      <c r="L755" s="320"/>
      <c r="M755" s="319" t="s">
        <v>3722</v>
      </c>
      <c r="N755" s="319" t="s">
        <v>3723</v>
      </c>
      <c r="O755" s="239" t="s">
        <v>1969</v>
      </c>
      <c r="P755" s="321" t="s">
        <v>3620</v>
      </c>
      <c r="Q755" s="322" t="s">
        <v>3724</v>
      </c>
      <c r="R755" s="321" t="s">
        <v>194</v>
      </c>
      <c r="S755" s="322"/>
    </row>
    <row r="756">
      <c r="A756" s="230">
        <v>756.0</v>
      </c>
      <c r="B756" s="230" t="s">
        <v>188</v>
      </c>
      <c r="C756" s="231"/>
      <c r="D756" s="232"/>
      <c r="E756" s="232">
        <f>IFERROR(__xludf.DUMMYFUNCTION("iferror(SPLIT(D756,""/""),split(""0/0"",""/""))"),0.0)</f>
        <v>0</v>
      </c>
      <c r="F756" s="232">
        <f>IFERROR(__xludf.DUMMYFUNCTION("""COMPUTED_VALUE"""),0.0)</f>
        <v>0</v>
      </c>
      <c r="G756" s="247" t="b">
        <v>0</v>
      </c>
      <c r="H756" s="242" t="str">
        <f t="shared" si="1"/>
        <v/>
      </c>
      <c r="I756" s="246" t="s">
        <v>3725</v>
      </c>
      <c r="J756" s="318" t="str">
        <f t="shared" si="2"/>
        <v>Obtain every water related enchantment (Obtain Respiration, Aqua Affinity and Depth Strider on any non-book item(s))</v>
      </c>
      <c r="K756" s="319"/>
      <c r="L756" s="320"/>
      <c r="M756" s="319" t="s">
        <v>3726</v>
      </c>
      <c r="N756" s="319" t="s">
        <v>3727</v>
      </c>
      <c r="O756" s="239" t="s">
        <v>345</v>
      </c>
      <c r="P756" s="321" t="s">
        <v>3620</v>
      </c>
      <c r="Q756" s="322" t="s">
        <v>3728</v>
      </c>
      <c r="R756" s="321" t="s">
        <v>194</v>
      </c>
      <c r="S756" s="322"/>
    </row>
    <row r="757">
      <c r="A757" s="230">
        <v>757.0</v>
      </c>
      <c r="B757" s="230" t="s">
        <v>188</v>
      </c>
      <c r="C757" s="231"/>
      <c r="D757" s="232"/>
      <c r="E757" s="232">
        <f>IFERROR(__xludf.DUMMYFUNCTION("iferror(SPLIT(D757,""/""),split(""0/0"",""/""))"),0.0)</f>
        <v>0</v>
      </c>
      <c r="F757" s="232">
        <f>IFERROR(__xludf.DUMMYFUNCTION("""COMPUTED_VALUE"""),0.0)</f>
        <v>0</v>
      </c>
      <c r="G757" s="247" t="b">
        <v>0</v>
      </c>
      <c r="H757" s="242" t="str">
        <f t="shared" si="1"/>
        <v/>
      </c>
      <c r="I757" s="246" t="s">
        <v>3729</v>
      </c>
      <c r="J757" s="318" t="str">
        <f t="shared" si="2"/>
        <v>Obtain every fire related enchantment (Obtain Fire Protection, Fire Aspect and Flame on any non-book item(s))</v>
      </c>
      <c r="K757" s="319"/>
      <c r="L757" s="320"/>
      <c r="M757" s="319" t="s">
        <v>3730</v>
      </c>
      <c r="N757" s="319" t="s">
        <v>3731</v>
      </c>
      <c r="O757" s="239" t="s">
        <v>2764</v>
      </c>
      <c r="P757" s="321" t="s">
        <v>3620</v>
      </c>
      <c r="Q757" s="322" t="s">
        <v>3732</v>
      </c>
      <c r="R757" s="321" t="s">
        <v>194</v>
      </c>
      <c r="S757" s="322"/>
    </row>
    <row r="758">
      <c r="A758" s="230">
        <v>758.0</v>
      </c>
      <c r="B758" s="230" t="s">
        <v>188</v>
      </c>
      <c r="C758" s="231"/>
      <c r="D758" s="232"/>
      <c r="E758" s="232">
        <f>IFERROR(__xludf.DUMMYFUNCTION("iferror(SPLIT(D758,""/""),split(""0/0"",""/""))"),0.0)</f>
        <v>0</v>
      </c>
      <c r="F758" s="232">
        <f>IFERROR(__xludf.DUMMYFUNCTION("""COMPUTED_VALUE"""),0.0)</f>
        <v>0</v>
      </c>
      <c r="G758" s="247" t="b">
        <v>0</v>
      </c>
      <c r="H758" s="242" t="str">
        <f t="shared" si="1"/>
        <v/>
      </c>
      <c r="I758" s="246" t="s">
        <v>3733</v>
      </c>
      <c r="J758" s="318" t="str">
        <f t="shared" si="2"/>
        <v>Find the Swift Sneak enchantment on an Enchanted Book in an Ancient City (Obtain an Enchanted Book with Swift Sneak on it)</v>
      </c>
      <c r="K758" s="319" t="s">
        <v>3734</v>
      </c>
      <c r="L758" s="320"/>
      <c r="M758" s="319" t="s">
        <v>3735</v>
      </c>
      <c r="N758" s="319" t="s">
        <v>3736</v>
      </c>
      <c r="O758" s="239" t="s">
        <v>367</v>
      </c>
      <c r="P758" s="321" t="s">
        <v>3620</v>
      </c>
      <c r="Q758" s="322" t="s">
        <v>3737</v>
      </c>
      <c r="R758" s="321" t="s">
        <v>194</v>
      </c>
      <c r="S758" s="322"/>
    </row>
    <row r="759">
      <c r="A759" s="230">
        <v>759.0</v>
      </c>
      <c r="B759" s="230" t="s">
        <v>257</v>
      </c>
      <c r="C759" s="231"/>
      <c r="D759" s="232"/>
      <c r="E759" s="232">
        <f>IFERROR(__xludf.DUMMYFUNCTION("iferror(SPLIT(D759,""/""),split(""0/0"",""/""))"),0.0)</f>
        <v>0</v>
      </c>
      <c r="F759" s="232">
        <f>IFERROR(__xludf.DUMMYFUNCTION("""COMPUTED_VALUE"""),0.0)</f>
        <v>0</v>
      </c>
      <c r="G759" s="247" t="b">
        <v>0</v>
      </c>
      <c r="H759" s="242" t="str">
        <f t="shared" si="1"/>
        <v/>
      </c>
      <c r="I759" s="249" t="s">
        <v>3738</v>
      </c>
      <c r="J759" s="318" t="str">
        <f t="shared" si="2"/>
        <v>Sneak and sprint on sculk with Speed II while wearing Swift Sneak III leggings. Try saying that six times swiftly</v>
      </c>
      <c r="K759" s="319" t="s">
        <v>388</v>
      </c>
      <c r="L759" s="320"/>
      <c r="M759" s="319"/>
      <c r="N759" s="319" t="s">
        <v>3739</v>
      </c>
      <c r="O759" s="239" t="s">
        <v>3740</v>
      </c>
      <c r="P759" s="321" t="s">
        <v>3620</v>
      </c>
      <c r="Q759" s="322" t="s">
        <v>3741</v>
      </c>
      <c r="R759" s="321" t="s">
        <v>194</v>
      </c>
      <c r="S759" s="321" t="s">
        <v>3641</v>
      </c>
    </row>
    <row r="760">
      <c r="A760" s="230">
        <v>760.0</v>
      </c>
      <c r="B760" s="230" t="s">
        <v>188</v>
      </c>
      <c r="C760" s="231"/>
      <c r="D760" s="232"/>
      <c r="E760" s="232">
        <f>IFERROR(__xludf.DUMMYFUNCTION("iferror(SPLIT(D760,""/""),split(""0/0"",""/""))"),0.0)</f>
        <v>0</v>
      </c>
      <c r="F760" s="232">
        <f>IFERROR(__xludf.DUMMYFUNCTION("""COMPUTED_VALUE"""),0.0)</f>
        <v>0</v>
      </c>
      <c r="G760" s="247" t="b">
        <v>0</v>
      </c>
      <c r="H760" s="242" t="str">
        <f t="shared" si="1"/>
        <v/>
      </c>
      <c r="I760" s="246" t="s">
        <v>3742</v>
      </c>
      <c r="J760" s="318" t="str">
        <f t="shared" si="2"/>
        <v>Obtain the Soul Speed enchantment from a Bastion or bartering with Piglins (Obtain Soul Speed on either boots or an Enchanted Book)</v>
      </c>
      <c r="K760" s="319" t="s">
        <v>3743</v>
      </c>
      <c r="L760" s="320"/>
      <c r="M760" s="319" t="s">
        <v>3744</v>
      </c>
      <c r="N760" s="319" t="s">
        <v>3745</v>
      </c>
      <c r="O760" s="239" t="s">
        <v>3746</v>
      </c>
      <c r="P760" s="321" t="s">
        <v>3620</v>
      </c>
      <c r="Q760" s="322" t="s">
        <v>3747</v>
      </c>
      <c r="R760" s="321" t="s">
        <v>194</v>
      </c>
      <c r="S760" s="322"/>
    </row>
    <row r="761">
      <c r="A761" s="230">
        <v>761.0</v>
      </c>
      <c r="B761" s="230" t="s">
        <v>283</v>
      </c>
      <c r="C761" s="231"/>
      <c r="D761" s="232"/>
      <c r="E761" s="232">
        <f>IFERROR(__xludf.DUMMYFUNCTION("iferror(SPLIT(D761,""/""),split(""0/0"",""/""))"),0.0)</f>
        <v>0</v>
      </c>
      <c r="F761" s="232">
        <f>IFERROR(__xludf.DUMMYFUNCTION("""COMPUTED_VALUE"""),0.0)</f>
        <v>0</v>
      </c>
      <c r="G761" s="247" t="b">
        <v>0</v>
      </c>
      <c r="H761" s="242" t="str">
        <f t="shared" si="1"/>
        <v/>
      </c>
      <c r="I761" s="246" t="s">
        <v>3748</v>
      </c>
      <c r="J761" s="318" t="str">
        <f t="shared" si="2"/>
        <v>Using Frost Walker boots, walk on frozen water over a deep ocean (Step on Frosted Ice while wearing Frost Walker boots and in any Deep Ocean biome)</v>
      </c>
      <c r="K761" s="319"/>
      <c r="L761" s="320"/>
      <c r="M761" s="319" t="s">
        <v>3749</v>
      </c>
      <c r="N761" s="319" t="s">
        <v>3750</v>
      </c>
      <c r="O761" s="239" t="s">
        <v>3751</v>
      </c>
      <c r="P761" s="321" t="s">
        <v>3620</v>
      </c>
      <c r="Q761" s="322" t="s">
        <v>3752</v>
      </c>
      <c r="R761" s="321" t="s">
        <v>194</v>
      </c>
      <c r="S761" s="322" t="s">
        <v>3641</v>
      </c>
    </row>
    <row r="762">
      <c r="A762" s="230">
        <v>762.0</v>
      </c>
      <c r="B762" s="230" t="s">
        <v>188</v>
      </c>
      <c r="C762" s="231"/>
      <c r="D762" s="232"/>
      <c r="E762" s="232">
        <f>IFERROR(__xludf.DUMMYFUNCTION("iferror(SPLIT(D762,""/""),split(""0/0"",""/""))"),0.0)</f>
        <v>0</v>
      </c>
      <c r="F762" s="232">
        <f>IFERROR(__xludf.DUMMYFUNCTION("""COMPUTED_VALUE"""),0.0)</f>
        <v>0</v>
      </c>
      <c r="G762" s="247" t="b">
        <v>0</v>
      </c>
      <c r="H762" s="242" t="str">
        <f t="shared" si="1"/>
        <v/>
      </c>
      <c r="I762" s="249" t="s">
        <v>3753</v>
      </c>
      <c r="J762" s="318" t="str">
        <f t="shared" si="2"/>
        <v>Get every enchantment throughout your enchanting career (See requirement notes below)</v>
      </c>
      <c r="K762" s="319"/>
      <c r="L762" s="320"/>
      <c r="M762" s="324" t="s">
        <v>238</v>
      </c>
      <c r="N762" s="319" t="s">
        <v>3754</v>
      </c>
      <c r="O762" s="239" t="s">
        <v>3225</v>
      </c>
      <c r="P762" s="321" t="s">
        <v>3620</v>
      </c>
      <c r="Q762" s="322" t="s">
        <v>3755</v>
      </c>
      <c r="R762" s="321" t="s">
        <v>194</v>
      </c>
      <c r="S762" s="322"/>
    </row>
    <row r="763">
      <c r="A763" s="230">
        <v>763.0</v>
      </c>
      <c r="B763" s="230" t="s">
        <v>188</v>
      </c>
      <c r="C763" s="231"/>
      <c r="D763" s="232"/>
      <c r="E763" s="232">
        <f>IFERROR(__xludf.DUMMYFUNCTION("iferror(SPLIT(D763,""/""),split(""0/0"",""/""))"),0.0)</f>
        <v>0</v>
      </c>
      <c r="F763" s="232">
        <f>IFERROR(__xludf.DUMMYFUNCTION("""COMPUTED_VALUE"""),0.0)</f>
        <v>0</v>
      </c>
      <c r="G763" s="247" t="b">
        <v>0</v>
      </c>
      <c r="H763" s="242" t="str">
        <f t="shared" si="1"/>
        <v/>
      </c>
      <c r="I763" s="249" t="s">
        <v>3756</v>
      </c>
      <c r="J763" s="318" t="str">
        <f t="shared" si="2"/>
        <v>Get every enchantment at its max level throughout your enchanting career (See requirement notes below)</v>
      </c>
      <c r="K763" s="319"/>
      <c r="L763" s="320"/>
      <c r="M763" s="324" t="s">
        <v>238</v>
      </c>
      <c r="N763" s="319" t="s">
        <v>3757</v>
      </c>
      <c r="O763" s="239" t="s">
        <v>741</v>
      </c>
      <c r="P763" s="321" t="s">
        <v>3620</v>
      </c>
      <c r="Q763" s="322" t="s">
        <v>3758</v>
      </c>
      <c r="R763" s="321" t="s">
        <v>194</v>
      </c>
      <c r="S763" s="322"/>
    </row>
    <row r="764">
      <c r="A764" s="230">
        <v>764.0</v>
      </c>
      <c r="B764" s="230" t="s">
        <v>188</v>
      </c>
      <c r="C764" s="231"/>
      <c r="D764" s="232"/>
      <c r="E764" s="232">
        <f>IFERROR(__xludf.DUMMYFUNCTION("iferror(SPLIT(D764,""/""),split(""0/0"",""/""))"),0.0)</f>
        <v>0</v>
      </c>
      <c r="F764" s="232">
        <f>IFERROR(__xludf.DUMMYFUNCTION("""COMPUTED_VALUE"""),0.0)</f>
        <v>0</v>
      </c>
      <c r="G764" s="247" t="b">
        <v>0</v>
      </c>
      <c r="H764" s="242" t="str">
        <f t="shared" si="1"/>
        <v/>
      </c>
      <c r="I764" s="243" t="s">
        <v>3759</v>
      </c>
      <c r="J764" s="318" t="str">
        <f t="shared" si="2"/>
        <v>Craft an anvil (Obtain an anvil)</v>
      </c>
      <c r="K764" s="319" t="s">
        <v>3760</v>
      </c>
      <c r="L764" s="320"/>
      <c r="M764" s="319" t="s">
        <v>3761</v>
      </c>
      <c r="N764" s="319" t="s">
        <v>3762</v>
      </c>
      <c r="O764" s="239" t="s">
        <v>3763</v>
      </c>
      <c r="P764" s="321" t="s">
        <v>3620</v>
      </c>
      <c r="Q764" s="322" t="s">
        <v>3764</v>
      </c>
      <c r="R764" s="321" t="s">
        <v>194</v>
      </c>
      <c r="S764" s="322"/>
    </row>
    <row r="765">
      <c r="A765" s="230">
        <v>765.0</v>
      </c>
      <c r="B765" s="230" t="s">
        <v>257</v>
      </c>
      <c r="C765" s="231"/>
      <c r="D765" s="232"/>
      <c r="E765" s="232">
        <f>IFERROR(__xludf.DUMMYFUNCTION("iferror(SPLIT(D765,""/""),split(""0/0"",""/""))"),0.0)</f>
        <v>0</v>
      </c>
      <c r="F765" s="232">
        <f>IFERROR(__xludf.DUMMYFUNCTION("""COMPUTED_VALUE"""),0.0)</f>
        <v>0</v>
      </c>
      <c r="G765" s="247" t="b">
        <v>0</v>
      </c>
      <c r="H765" s="242" t="str">
        <f t="shared" si="1"/>
        <v/>
      </c>
      <c r="I765" s="249" t="s">
        <v>3765</v>
      </c>
      <c r="J765" s="318" t="str">
        <f t="shared" si="2"/>
        <v>Get a stack of regular, chipped and damaged Anvils</v>
      </c>
      <c r="K765" s="319" t="s">
        <v>549</v>
      </c>
      <c r="L765" s="320"/>
      <c r="M765" s="319"/>
      <c r="N765" s="319" t="s">
        <v>3766</v>
      </c>
      <c r="O765" s="239" t="s">
        <v>3767</v>
      </c>
      <c r="P765" s="321" t="s">
        <v>3620</v>
      </c>
      <c r="Q765" s="322" t="s">
        <v>3768</v>
      </c>
      <c r="R765" s="321" t="s">
        <v>194</v>
      </c>
      <c r="S765" s="321" t="s">
        <v>290</v>
      </c>
    </row>
    <row r="766">
      <c r="A766" s="230">
        <v>766.0</v>
      </c>
      <c r="B766" s="230" t="s">
        <v>188</v>
      </c>
      <c r="C766" s="231"/>
      <c r="D766" s="232"/>
      <c r="E766" s="232">
        <f>IFERROR(__xludf.DUMMYFUNCTION("iferror(SPLIT(D766,""/""),split(""0/0"",""/""))"),0.0)</f>
        <v>0</v>
      </c>
      <c r="F766" s="232">
        <f>IFERROR(__xludf.DUMMYFUNCTION("""COMPUTED_VALUE"""),0.0)</f>
        <v>0</v>
      </c>
      <c r="G766" s="247" t="b">
        <v>0</v>
      </c>
      <c r="H766" s="242" t="str">
        <f t="shared" si="1"/>
        <v/>
      </c>
      <c r="I766" s="246" t="s">
        <v>3769</v>
      </c>
      <c r="J766" s="318" t="str">
        <f t="shared" si="2"/>
        <v>Obtain both types of curses (Obtain Curses of Binding and Vanishing on any item(s))</v>
      </c>
      <c r="K766" s="319" t="s">
        <v>3634</v>
      </c>
      <c r="L766" s="320"/>
      <c r="M766" s="319" t="s">
        <v>3770</v>
      </c>
      <c r="N766" s="319" t="s">
        <v>3771</v>
      </c>
      <c r="O766" s="239" t="s">
        <v>2438</v>
      </c>
      <c r="P766" s="321" t="s">
        <v>3620</v>
      </c>
      <c r="Q766" s="322" t="s">
        <v>3772</v>
      </c>
      <c r="R766" s="321" t="s">
        <v>194</v>
      </c>
      <c r="S766" s="322"/>
    </row>
    <row r="767">
      <c r="A767" s="230">
        <v>767.0</v>
      </c>
      <c r="B767" s="230" t="s">
        <v>283</v>
      </c>
      <c r="C767" s="231"/>
      <c r="D767" s="232"/>
      <c r="E767" s="232">
        <f>IFERROR(__xludf.DUMMYFUNCTION("iferror(SPLIT(D767,""/""),split(""0/0"",""/""))"),0.0)</f>
        <v>0</v>
      </c>
      <c r="F767" s="232">
        <f>IFERROR(__xludf.DUMMYFUNCTION("""COMPUTED_VALUE"""),0.0)</f>
        <v>0</v>
      </c>
      <c r="G767" s="247" t="b">
        <v>0</v>
      </c>
      <c r="H767" s="242" t="str">
        <f t="shared" si="1"/>
        <v/>
      </c>
      <c r="I767" s="246" t="s">
        <v>3773</v>
      </c>
      <c r="J767" s="318" t="str">
        <f t="shared" si="2"/>
        <v>Wear a carved pumpkin enchanted with Curse of Binding</v>
      </c>
      <c r="K767" s="319" t="s">
        <v>3774</v>
      </c>
      <c r="L767" s="320"/>
      <c r="M767" s="319"/>
      <c r="N767" s="319" t="s">
        <v>3775</v>
      </c>
      <c r="O767" s="239" t="s">
        <v>1518</v>
      </c>
      <c r="P767" s="321" t="s">
        <v>3620</v>
      </c>
      <c r="Q767" s="322" t="s">
        <v>3776</v>
      </c>
      <c r="R767" s="321" t="s">
        <v>194</v>
      </c>
      <c r="S767" s="322" t="s">
        <v>3641</v>
      </c>
    </row>
    <row r="768">
      <c r="A768" s="230">
        <v>768.0</v>
      </c>
      <c r="B768" s="230" t="s">
        <v>257</v>
      </c>
      <c r="C768" s="231"/>
      <c r="D768" s="232"/>
      <c r="E768" s="232">
        <f>IFERROR(__xludf.DUMMYFUNCTION("iferror(SPLIT(D768,""/""),split(""0/0"",""/""))"),0.0)</f>
        <v>0</v>
      </c>
      <c r="F768" s="232">
        <f>IFERROR(__xludf.DUMMYFUNCTION("""COMPUTED_VALUE"""),0.0)</f>
        <v>0</v>
      </c>
      <c r="G768" s="247" t="b">
        <v>0</v>
      </c>
      <c r="H768" s="242" t="str">
        <f t="shared" si="1"/>
        <v/>
      </c>
      <c r="I768" s="243" t="s">
        <v>3777</v>
      </c>
      <c r="J768" s="318" t="str">
        <f t="shared" si="2"/>
        <v>Name your Diamond Sword 'Diamond Edge' (Hold the named item in your mainhand)</v>
      </c>
      <c r="K768" s="319" t="s">
        <v>3778</v>
      </c>
      <c r="L768" s="320"/>
      <c r="M768" s="319" t="s">
        <v>3779</v>
      </c>
      <c r="N768" s="319" t="s">
        <v>3780</v>
      </c>
      <c r="O768" s="239" t="s">
        <v>672</v>
      </c>
      <c r="P768" s="321" t="s">
        <v>3620</v>
      </c>
      <c r="Q768" s="322" t="s">
        <v>3781</v>
      </c>
      <c r="R768" s="321" t="s">
        <v>194</v>
      </c>
      <c r="S768" s="322" t="s">
        <v>3641</v>
      </c>
    </row>
    <row r="769">
      <c r="A769" s="230">
        <v>769.0</v>
      </c>
      <c r="B769" s="230" t="s">
        <v>257</v>
      </c>
      <c r="C769" s="231"/>
      <c r="D769" s="232"/>
      <c r="E769" s="232">
        <f>IFERROR(__xludf.DUMMYFUNCTION("iferror(SPLIT(D769,""/""),split(""0/0"",""/""))"),0.0)</f>
        <v>0</v>
      </c>
      <c r="F769" s="232">
        <f>IFERROR(__xludf.DUMMYFUNCTION("""COMPUTED_VALUE"""),0.0)</f>
        <v>0</v>
      </c>
      <c r="G769" s="247" t="b">
        <v>0</v>
      </c>
      <c r="H769" s="242" t="str">
        <f t="shared" si="1"/>
        <v/>
      </c>
      <c r="I769" s="243" t="s">
        <v>3782</v>
      </c>
      <c r="J769" s="318" t="str">
        <f t="shared" si="2"/>
        <v>Name your Bow 'Terminator' (Hold the named item in your mainhand)</v>
      </c>
      <c r="K769" s="319" t="s">
        <v>3783</v>
      </c>
      <c r="L769" s="320"/>
      <c r="M769" s="319" t="s">
        <v>3779</v>
      </c>
      <c r="N769" s="319" t="s">
        <v>3784</v>
      </c>
      <c r="O769" s="239" t="s">
        <v>3785</v>
      </c>
      <c r="P769" s="321" t="s">
        <v>3620</v>
      </c>
      <c r="Q769" s="322" t="s">
        <v>3786</v>
      </c>
      <c r="R769" s="321" t="s">
        <v>194</v>
      </c>
      <c r="S769" s="322" t="s">
        <v>3641</v>
      </c>
    </row>
    <row r="770">
      <c r="A770" s="230">
        <v>770.0</v>
      </c>
      <c r="B770" s="230" t="s">
        <v>257</v>
      </c>
      <c r="C770" s="231"/>
      <c r="D770" s="232"/>
      <c r="E770" s="232">
        <f>IFERROR(__xludf.DUMMYFUNCTION("iferror(SPLIT(D770,""/""),split(""0/0"",""/""))"),0.0)</f>
        <v>0</v>
      </c>
      <c r="F770" s="232">
        <f>IFERROR(__xludf.DUMMYFUNCTION("""COMPUTED_VALUE"""),0.0)</f>
        <v>0</v>
      </c>
      <c r="G770" s="247" t="b">
        <v>0</v>
      </c>
      <c r="H770" s="242" t="str">
        <f t="shared" si="1"/>
        <v/>
      </c>
      <c r="I770" s="246" t="s">
        <v>3787</v>
      </c>
      <c r="J770" s="318" t="str">
        <f t="shared" si="2"/>
        <v>Name your Trident with Loyalty III and Channeling 'Mjolnir' (Hold the named item in your mainhand)</v>
      </c>
      <c r="K770" s="319" t="s">
        <v>2309</v>
      </c>
      <c r="L770" s="320"/>
      <c r="M770" s="319" t="s">
        <v>3779</v>
      </c>
      <c r="N770" s="319" t="s">
        <v>3788</v>
      </c>
      <c r="O770" s="239" t="s">
        <v>1716</v>
      </c>
      <c r="P770" s="321" t="s">
        <v>3620</v>
      </c>
      <c r="Q770" s="322" t="s">
        <v>3789</v>
      </c>
      <c r="R770" s="321" t="s">
        <v>194</v>
      </c>
      <c r="S770" s="322" t="s">
        <v>3641</v>
      </c>
    </row>
    <row r="771">
      <c r="A771" s="230">
        <v>771.0</v>
      </c>
      <c r="B771" s="230" t="s">
        <v>188</v>
      </c>
      <c r="C771" s="231"/>
      <c r="D771" s="232"/>
      <c r="E771" s="232">
        <f>IFERROR(__xludf.DUMMYFUNCTION("iferror(SPLIT(D771,""/""),split(""0/0"",""/""))"),0.0)</f>
        <v>0</v>
      </c>
      <c r="F771" s="232">
        <f>IFERROR(__xludf.DUMMYFUNCTION("""COMPUTED_VALUE"""),0.0)</f>
        <v>0</v>
      </c>
      <c r="G771" s="247" t="b">
        <v>0</v>
      </c>
      <c r="H771" s="242" t="str">
        <f t="shared" si="1"/>
        <v/>
      </c>
      <c r="I771" s="246" t="s">
        <v>3790</v>
      </c>
      <c r="J771" s="318" t="str">
        <f t="shared" si="2"/>
        <v>Obtain Mending on an item</v>
      </c>
      <c r="K771" s="319"/>
      <c r="L771" s="320"/>
      <c r="M771" s="319"/>
      <c r="N771" s="319" t="s">
        <v>3791</v>
      </c>
      <c r="O771" s="239" t="s">
        <v>357</v>
      </c>
      <c r="P771" s="321" t="s">
        <v>3620</v>
      </c>
      <c r="Q771" s="322" t="s">
        <v>3792</v>
      </c>
      <c r="R771" s="321" t="s">
        <v>194</v>
      </c>
      <c r="S771" s="322"/>
    </row>
    <row r="772">
      <c r="A772" s="230">
        <v>772.0</v>
      </c>
      <c r="B772" s="230" t="s">
        <v>257</v>
      </c>
      <c r="C772" s="231"/>
      <c r="D772" s="232"/>
      <c r="E772" s="232">
        <f>IFERROR(__xludf.DUMMYFUNCTION("iferror(SPLIT(D772,""/""),split(""0/0"",""/""))"),0.0)</f>
        <v>0</v>
      </c>
      <c r="F772" s="232">
        <f>IFERROR(__xludf.DUMMYFUNCTION("""COMPUTED_VALUE"""),0.0)</f>
        <v>0</v>
      </c>
      <c r="G772" s="247" t="b">
        <v>0</v>
      </c>
      <c r="H772" s="242" t="str">
        <f t="shared" si="1"/>
        <v/>
      </c>
      <c r="I772" s="249" t="s">
        <v>3793</v>
      </c>
      <c r="J772" s="318" t="str">
        <f t="shared" si="2"/>
        <v>Create a pickaxe with all possible enchantments at max level (See requirement notes below)</v>
      </c>
      <c r="K772" s="319"/>
      <c r="L772" s="320"/>
      <c r="M772" s="324" t="s">
        <v>238</v>
      </c>
      <c r="N772" s="319" t="s">
        <v>3794</v>
      </c>
      <c r="O772" s="239" t="s">
        <v>667</v>
      </c>
      <c r="P772" s="321" t="s">
        <v>3620</v>
      </c>
      <c r="Q772" s="322" t="s">
        <v>3795</v>
      </c>
      <c r="R772" s="321" t="s">
        <v>194</v>
      </c>
      <c r="S772" s="322" t="s">
        <v>3641</v>
      </c>
    </row>
    <row r="773">
      <c r="A773" s="230">
        <v>773.0</v>
      </c>
      <c r="B773" s="230" t="s">
        <v>257</v>
      </c>
      <c r="C773" s="231"/>
      <c r="D773" s="232"/>
      <c r="E773" s="232">
        <f>IFERROR(__xludf.DUMMYFUNCTION("iferror(SPLIT(D773,""/""),split(""0/0"",""/""))"),0.0)</f>
        <v>0</v>
      </c>
      <c r="F773" s="232">
        <f>IFERROR(__xludf.DUMMYFUNCTION("""COMPUTED_VALUE"""),0.0)</f>
        <v>0</v>
      </c>
      <c r="G773" s="247" t="b">
        <v>0</v>
      </c>
      <c r="H773" s="242" t="str">
        <f t="shared" si="1"/>
        <v/>
      </c>
      <c r="I773" s="249" t="s">
        <v>3796</v>
      </c>
      <c r="J773" s="318" t="str">
        <f t="shared" si="2"/>
        <v>Create a shovel with all possible enchantments at max level (See requirement notes below)</v>
      </c>
      <c r="K773" s="319"/>
      <c r="L773" s="320"/>
      <c r="M773" s="324" t="s">
        <v>238</v>
      </c>
      <c r="N773" s="319" t="s">
        <v>3797</v>
      </c>
      <c r="O773" s="239" t="s">
        <v>678</v>
      </c>
      <c r="P773" s="321" t="s">
        <v>3620</v>
      </c>
      <c r="Q773" s="322" t="s">
        <v>3798</v>
      </c>
      <c r="R773" s="321" t="s">
        <v>194</v>
      </c>
      <c r="S773" s="322" t="s">
        <v>3641</v>
      </c>
    </row>
    <row r="774">
      <c r="A774" s="230">
        <v>774.0</v>
      </c>
      <c r="B774" s="230" t="s">
        <v>257</v>
      </c>
      <c r="C774" s="231"/>
      <c r="D774" s="232"/>
      <c r="E774" s="232">
        <f>IFERROR(__xludf.DUMMYFUNCTION("iferror(SPLIT(D774,""/""),split(""0/0"",""/""))"),0.0)</f>
        <v>0</v>
      </c>
      <c r="F774" s="232">
        <f>IFERROR(__xludf.DUMMYFUNCTION("""COMPUTED_VALUE"""),0.0)</f>
        <v>0</v>
      </c>
      <c r="G774" s="247" t="b">
        <v>0</v>
      </c>
      <c r="H774" s="242" t="str">
        <f t="shared" si="1"/>
        <v/>
      </c>
      <c r="I774" s="249" t="s">
        <v>3799</v>
      </c>
      <c r="J774" s="318" t="str">
        <f t="shared" si="2"/>
        <v>Create a axe with all possible enchantments at max level (See requirement notes below)</v>
      </c>
      <c r="K774" s="319"/>
      <c r="L774" s="320"/>
      <c r="M774" s="324" t="s">
        <v>238</v>
      </c>
      <c r="N774" s="319" t="s">
        <v>3800</v>
      </c>
      <c r="O774" s="239" t="s">
        <v>2687</v>
      </c>
      <c r="P774" s="321" t="s">
        <v>3620</v>
      </c>
      <c r="Q774" s="322" t="s">
        <v>3801</v>
      </c>
      <c r="R774" s="321" t="s">
        <v>194</v>
      </c>
      <c r="S774" s="322" t="s">
        <v>3641</v>
      </c>
    </row>
    <row r="775">
      <c r="A775" s="230">
        <v>775.0</v>
      </c>
      <c r="B775" s="230" t="s">
        <v>257</v>
      </c>
      <c r="C775" s="231"/>
      <c r="D775" s="232"/>
      <c r="E775" s="232">
        <f>IFERROR(__xludf.DUMMYFUNCTION("iferror(SPLIT(D775,""/""),split(""0/0"",""/""))"),0.0)</f>
        <v>0</v>
      </c>
      <c r="F775" s="232">
        <f>IFERROR(__xludf.DUMMYFUNCTION("""COMPUTED_VALUE"""),0.0)</f>
        <v>0</v>
      </c>
      <c r="G775" s="247" t="b">
        <v>0</v>
      </c>
      <c r="H775" s="242" t="str">
        <f t="shared" si="1"/>
        <v/>
      </c>
      <c r="I775" s="249" t="s">
        <v>3802</v>
      </c>
      <c r="J775" s="318" t="str">
        <f t="shared" si="2"/>
        <v>Create a hoe with all possible enchantments at max level (See requirement notes below)</v>
      </c>
      <c r="K775" s="319"/>
      <c r="L775" s="320"/>
      <c r="M775" s="324" t="s">
        <v>238</v>
      </c>
      <c r="N775" s="319" t="s">
        <v>3803</v>
      </c>
      <c r="O775" s="239" t="s">
        <v>1579</v>
      </c>
      <c r="P775" s="321" t="s">
        <v>3620</v>
      </c>
      <c r="Q775" s="322" t="s">
        <v>3804</v>
      </c>
      <c r="R775" s="321" t="s">
        <v>194</v>
      </c>
      <c r="S775" s="322" t="s">
        <v>3641</v>
      </c>
    </row>
    <row r="776">
      <c r="A776" s="230">
        <v>776.0</v>
      </c>
      <c r="B776" s="230" t="s">
        <v>257</v>
      </c>
      <c r="C776" s="231"/>
      <c r="D776" s="232"/>
      <c r="E776" s="232">
        <f>IFERROR(__xludf.DUMMYFUNCTION("iferror(SPLIT(D776,""/""),split(""0/0"",""/""))"),0.0)</f>
        <v>0</v>
      </c>
      <c r="F776" s="232">
        <f>IFERROR(__xludf.DUMMYFUNCTION("""COMPUTED_VALUE"""),0.0)</f>
        <v>0</v>
      </c>
      <c r="G776" s="247" t="b">
        <v>0</v>
      </c>
      <c r="H776" s="242" t="str">
        <f t="shared" si="1"/>
        <v/>
      </c>
      <c r="I776" s="249" t="s">
        <v>3805</v>
      </c>
      <c r="J776" s="318" t="str">
        <f t="shared" si="2"/>
        <v>Create a sword with all possible enchantments at max level (See requirement notes below)</v>
      </c>
      <c r="K776" s="319"/>
      <c r="L776" s="320"/>
      <c r="M776" s="324" t="s">
        <v>238</v>
      </c>
      <c r="N776" s="319" t="s">
        <v>3806</v>
      </c>
      <c r="O776" s="239" t="s">
        <v>672</v>
      </c>
      <c r="P776" s="321" t="s">
        <v>3620</v>
      </c>
      <c r="Q776" s="322" t="s">
        <v>3807</v>
      </c>
      <c r="R776" s="321" t="s">
        <v>194</v>
      </c>
      <c r="S776" s="322" t="s">
        <v>3641</v>
      </c>
    </row>
    <row r="777">
      <c r="A777" s="230">
        <v>777.0</v>
      </c>
      <c r="B777" s="230" t="s">
        <v>257</v>
      </c>
      <c r="C777" s="231"/>
      <c r="D777" s="232"/>
      <c r="E777" s="232">
        <f>IFERROR(__xludf.DUMMYFUNCTION("iferror(SPLIT(D777,""/""),split(""0/0"",""/""))"),0.0)</f>
        <v>0</v>
      </c>
      <c r="F777" s="232">
        <f>IFERROR(__xludf.DUMMYFUNCTION("""COMPUTED_VALUE"""),0.0)</f>
        <v>0</v>
      </c>
      <c r="G777" s="247" t="b">
        <v>0</v>
      </c>
      <c r="H777" s="242" t="str">
        <f t="shared" si="1"/>
        <v/>
      </c>
      <c r="I777" s="249" t="s">
        <v>3808</v>
      </c>
      <c r="J777" s="318" t="str">
        <f t="shared" si="2"/>
        <v>Create a bow with all possible enchantments at max level (See requirement notes below)</v>
      </c>
      <c r="K777" s="319"/>
      <c r="L777" s="320"/>
      <c r="M777" s="324" t="s">
        <v>238</v>
      </c>
      <c r="N777" s="319" t="s">
        <v>3809</v>
      </c>
      <c r="O777" s="239" t="s">
        <v>1946</v>
      </c>
      <c r="P777" s="321" t="s">
        <v>3620</v>
      </c>
      <c r="Q777" s="322" t="s">
        <v>3810</v>
      </c>
      <c r="R777" s="321" t="s">
        <v>194</v>
      </c>
      <c r="S777" s="322" t="s">
        <v>3641</v>
      </c>
    </row>
    <row r="778">
      <c r="A778" s="230">
        <v>778.0</v>
      </c>
      <c r="B778" s="230" t="s">
        <v>257</v>
      </c>
      <c r="C778" s="231"/>
      <c r="D778" s="232"/>
      <c r="E778" s="232">
        <f>IFERROR(__xludf.DUMMYFUNCTION("iferror(SPLIT(D778,""/""),split(""0/0"",""/""))"),0.0)</f>
        <v>0</v>
      </c>
      <c r="F778" s="232">
        <f>IFERROR(__xludf.DUMMYFUNCTION("""COMPUTED_VALUE"""),0.0)</f>
        <v>0</v>
      </c>
      <c r="G778" s="247" t="b">
        <v>0</v>
      </c>
      <c r="H778" s="242" t="str">
        <f t="shared" si="1"/>
        <v/>
      </c>
      <c r="I778" s="249" t="s">
        <v>3811</v>
      </c>
      <c r="J778" s="318" t="str">
        <f t="shared" si="2"/>
        <v>Create a crossbow with all possible enchantments at max level (See requirement notes below)</v>
      </c>
      <c r="K778" s="319"/>
      <c r="L778" s="320"/>
      <c r="M778" s="324" t="s">
        <v>238</v>
      </c>
      <c r="N778" s="319" t="s">
        <v>3812</v>
      </c>
      <c r="O778" s="239" t="s">
        <v>2535</v>
      </c>
      <c r="P778" s="321" t="s">
        <v>3620</v>
      </c>
      <c r="Q778" s="322" t="s">
        <v>3813</v>
      </c>
      <c r="R778" s="321" t="s">
        <v>194</v>
      </c>
      <c r="S778" s="322" t="s">
        <v>3641</v>
      </c>
    </row>
    <row r="779">
      <c r="A779" s="230">
        <v>779.0</v>
      </c>
      <c r="B779" s="230" t="s">
        <v>257</v>
      </c>
      <c r="C779" s="231"/>
      <c r="D779" s="232"/>
      <c r="E779" s="232">
        <f>IFERROR(__xludf.DUMMYFUNCTION("iferror(SPLIT(D779,""/""),split(""0/0"",""/""))"),0.0)</f>
        <v>0</v>
      </c>
      <c r="F779" s="232">
        <f>IFERROR(__xludf.DUMMYFUNCTION("""COMPUTED_VALUE"""),0.0)</f>
        <v>0</v>
      </c>
      <c r="G779" s="247" t="b">
        <v>0</v>
      </c>
      <c r="H779" s="242" t="str">
        <f t="shared" si="1"/>
        <v/>
      </c>
      <c r="I779" s="249" t="s">
        <v>3814</v>
      </c>
      <c r="J779" s="318" t="str">
        <f t="shared" si="2"/>
        <v>Create a full suit of armor with all possible enchantments at max level (See requirement notes below)</v>
      </c>
      <c r="K779" s="319"/>
      <c r="L779" s="320"/>
      <c r="M779" s="324" t="s">
        <v>238</v>
      </c>
      <c r="N779" s="319" t="s">
        <v>3815</v>
      </c>
      <c r="O779" s="239" t="s">
        <v>692</v>
      </c>
      <c r="P779" s="321" t="s">
        <v>3620</v>
      </c>
      <c r="Q779" s="322" t="s">
        <v>3816</v>
      </c>
      <c r="R779" s="321" t="s">
        <v>194</v>
      </c>
      <c r="S779" s="322" t="s">
        <v>3641</v>
      </c>
    </row>
    <row r="780">
      <c r="A780" s="230">
        <v>780.0</v>
      </c>
      <c r="B780" s="230" t="s">
        <v>257</v>
      </c>
      <c r="C780" s="231"/>
      <c r="D780" s="232"/>
      <c r="E780" s="232">
        <f>IFERROR(__xludf.DUMMYFUNCTION("iferror(SPLIT(D780,""/""),split(""0/0"",""/""))"),0.0)</f>
        <v>0</v>
      </c>
      <c r="F780" s="232">
        <f>IFERROR(__xludf.DUMMYFUNCTION("""COMPUTED_VALUE"""),0.0)</f>
        <v>0</v>
      </c>
      <c r="G780" s="247" t="b">
        <v>0</v>
      </c>
      <c r="H780" s="242" t="str">
        <f t="shared" si="1"/>
        <v/>
      </c>
      <c r="I780" s="249" t="s">
        <v>3817</v>
      </c>
      <c r="J780" s="318" t="str">
        <f t="shared" si="2"/>
        <v>Create a fishing rod with all possible enchantments at max level (See requirement notes below)</v>
      </c>
      <c r="K780" s="319"/>
      <c r="L780" s="320"/>
      <c r="M780" s="324" t="s">
        <v>238</v>
      </c>
      <c r="N780" s="319" t="s">
        <v>3818</v>
      </c>
      <c r="O780" s="239" t="s">
        <v>2096</v>
      </c>
      <c r="P780" s="321" t="s">
        <v>3620</v>
      </c>
      <c r="Q780" s="322" t="s">
        <v>3819</v>
      </c>
      <c r="R780" s="321" t="s">
        <v>194</v>
      </c>
      <c r="S780" s="322" t="s">
        <v>3641</v>
      </c>
    </row>
    <row r="781">
      <c r="A781" s="230">
        <v>781.0</v>
      </c>
      <c r="B781" s="230" t="s">
        <v>257</v>
      </c>
      <c r="C781" s="231"/>
      <c r="D781" s="232"/>
      <c r="E781" s="232">
        <f>IFERROR(__xludf.DUMMYFUNCTION("iferror(SPLIT(D781,""/""),split(""0/0"",""/""))"),0.0)</f>
        <v>0</v>
      </c>
      <c r="F781" s="232">
        <f>IFERROR(__xludf.DUMMYFUNCTION("""COMPUTED_VALUE"""),0.0)</f>
        <v>0</v>
      </c>
      <c r="G781" s="247" t="b">
        <v>0</v>
      </c>
      <c r="H781" s="242" t="str">
        <f t="shared" si="1"/>
        <v/>
      </c>
      <c r="I781" s="249" t="s">
        <v>3820</v>
      </c>
      <c r="J781" s="318" t="str">
        <f t="shared" si="2"/>
        <v>Create a trident with all possible enchantments at max level (See requirement notes below)</v>
      </c>
      <c r="K781" s="319"/>
      <c r="L781" s="320"/>
      <c r="M781" s="324" t="s">
        <v>238</v>
      </c>
      <c r="N781" s="319" t="s">
        <v>3821</v>
      </c>
      <c r="O781" s="239" t="s">
        <v>1716</v>
      </c>
      <c r="P781" s="321" t="s">
        <v>3620</v>
      </c>
      <c r="Q781" s="322" t="s">
        <v>3822</v>
      </c>
      <c r="R781" s="321" t="s">
        <v>194</v>
      </c>
      <c r="S781" s="322" t="s">
        <v>3641</v>
      </c>
    </row>
    <row r="782">
      <c r="A782" s="230">
        <v>782.0</v>
      </c>
      <c r="B782" s="230" t="s">
        <v>257</v>
      </c>
      <c r="C782" s="231"/>
      <c r="D782" s="232"/>
      <c r="E782" s="232">
        <f>IFERROR(__xludf.DUMMYFUNCTION("iferror(SPLIT(D782,""/""),split(""0/0"",""/""))"),0.0)</f>
        <v>0</v>
      </c>
      <c r="F782" s="232">
        <f>IFERROR(__xludf.DUMMYFUNCTION("""COMPUTED_VALUE"""),0.0)</f>
        <v>0</v>
      </c>
      <c r="G782" s="247" t="b">
        <v>0</v>
      </c>
      <c r="H782" s="242" t="str">
        <f t="shared" si="1"/>
        <v/>
      </c>
      <c r="I782" s="249" t="s">
        <v>3823</v>
      </c>
      <c r="J782" s="318" t="str">
        <f t="shared" si="2"/>
        <v>Create a mace with all possible enchantments at max level (See requirement notes below)</v>
      </c>
      <c r="K782" s="319"/>
      <c r="L782" s="320"/>
      <c r="M782" s="324" t="s">
        <v>238</v>
      </c>
      <c r="N782" s="319" t="s">
        <v>3824</v>
      </c>
      <c r="O782" s="239" t="s">
        <v>2718</v>
      </c>
      <c r="P782" s="321" t="s">
        <v>3620</v>
      </c>
      <c r="Q782" s="322" t="s">
        <v>3825</v>
      </c>
      <c r="R782" s="321" t="s">
        <v>194</v>
      </c>
      <c r="S782" s="321" t="s">
        <v>3641</v>
      </c>
    </row>
    <row r="783">
      <c r="A783" s="230">
        <v>783.0</v>
      </c>
      <c r="B783" s="230" t="s">
        <v>188</v>
      </c>
      <c r="C783" s="231"/>
      <c r="D783" s="232"/>
      <c r="E783" s="232">
        <f>IFERROR(__xludf.DUMMYFUNCTION("iferror(SPLIT(D783,""/""),split(""0/0"",""/""))"),0.0)</f>
        <v>0</v>
      </c>
      <c r="F783" s="232">
        <f>IFERROR(__xludf.DUMMYFUNCTION("""COMPUTED_VALUE"""),0.0)</f>
        <v>0</v>
      </c>
      <c r="G783" s="247" t="b">
        <v>0</v>
      </c>
      <c r="H783" s="242" t="str">
        <f t="shared" si="1"/>
        <v/>
      </c>
      <c r="I783" s="235" t="s">
        <v>3826</v>
      </c>
      <c r="J783" s="325" t="str">
        <f t="shared" si="2"/>
        <v>If your numbers go up, you're having more fun (Once you obtain diamonds OR enter the Nether OR enter the End)</v>
      </c>
      <c r="K783" s="326"/>
      <c r="L783" s="327"/>
      <c r="M783" s="326" t="s">
        <v>3827</v>
      </c>
      <c r="N783" s="326" t="s">
        <v>3828</v>
      </c>
      <c r="O783" s="239" t="s">
        <v>1409</v>
      </c>
      <c r="P783" s="328" t="s">
        <v>3826</v>
      </c>
      <c r="Q783" s="329" t="s">
        <v>3829</v>
      </c>
      <c r="R783" s="328" t="s">
        <v>194</v>
      </c>
      <c r="S783" s="329"/>
    </row>
    <row r="784">
      <c r="A784" s="230">
        <v>784.0</v>
      </c>
      <c r="B784" s="230" t="s">
        <v>188</v>
      </c>
      <c r="C784" s="231"/>
      <c r="D784" s="232"/>
      <c r="E784" s="232">
        <f>IFERROR(__xludf.DUMMYFUNCTION("iferror(SPLIT(D784,""/""),split(""0/0"",""/""))"),0.0)</f>
        <v>0</v>
      </c>
      <c r="F784" s="232">
        <f>IFERROR(__xludf.DUMMYFUNCTION("""COMPUTED_VALUE"""),0.0)</f>
        <v>0</v>
      </c>
      <c r="G784" s="247" t="b">
        <v>0</v>
      </c>
      <c r="H784" s="242" t="str">
        <f t="shared" si="1"/>
        <v/>
      </c>
      <c r="I784" s="243" t="s">
        <v>3830</v>
      </c>
      <c r="J784" s="325" t="str">
        <f t="shared" si="2"/>
        <v>Walk 10km</v>
      </c>
      <c r="K784" s="326"/>
      <c r="L784" s="327"/>
      <c r="M784" s="326"/>
      <c r="N784" s="326" t="s">
        <v>3831</v>
      </c>
      <c r="O784" s="239" t="s">
        <v>1740</v>
      </c>
      <c r="P784" s="328" t="s">
        <v>3826</v>
      </c>
      <c r="Q784" s="329" t="s">
        <v>3832</v>
      </c>
      <c r="R784" s="328" t="s">
        <v>194</v>
      </c>
      <c r="S784" s="329"/>
    </row>
    <row r="785">
      <c r="A785" s="230">
        <v>785.0</v>
      </c>
      <c r="B785" s="230" t="s">
        <v>188</v>
      </c>
      <c r="C785" s="231"/>
      <c r="D785" s="232"/>
      <c r="E785" s="232">
        <f>IFERROR(__xludf.DUMMYFUNCTION("iferror(SPLIT(D785,""/""),split(""0/0"",""/""))"),0.0)</f>
        <v>0</v>
      </c>
      <c r="F785" s="232">
        <f>IFERROR(__xludf.DUMMYFUNCTION("""COMPUTED_VALUE"""),0.0)</f>
        <v>0</v>
      </c>
      <c r="G785" s="247" t="b">
        <v>0</v>
      </c>
      <c r="H785" s="242" t="str">
        <f t="shared" si="1"/>
        <v/>
      </c>
      <c r="I785" s="246" t="s">
        <v>3833</v>
      </c>
      <c r="J785" s="325" t="str">
        <f t="shared" si="2"/>
        <v>Walk 50km</v>
      </c>
      <c r="K785" s="326"/>
      <c r="L785" s="327"/>
      <c r="M785" s="326"/>
      <c r="N785" s="326" t="s">
        <v>3834</v>
      </c>
      <c r="O785" s="239" t="s">
        <v>3716</v>
      </c>
      <c r="P785" s="328" t="s">
        <v>3826</v>
      </c>
      <c r="Q785" s="329" t="s">
        <v>3835</v>
      </c>
      <c r="R785" s="328" t="s">
        <v>194</v>
      </c>
      <c r="S785" s="329"/>
    </row>
    <row r="786">
      <c r="A786" s="230">
        <v>786.0</v>
      </c>
      <c r="B786" s="230" t="s">
        <v>257</v>
      </c>
      <c r="C786" s="231"/>
      <c r="D786" s="232"/>
      <c r="E786" s="232">
        <f>IFERROR(__xludf.DUMMYFUNCTION("iferror(SPLIT(D786,""/""),split(""0/0"",""/""))"),0.0)</f>
        <v>0</v>
      </c>
      <c r="F786" s="232">
        <f>IFERROR(__xludf.DUMMYFUNCTION("""COMPUTED_VALUE"""),0.0)</f>
        <v>0</v>
      </c>
      <c r="G786" s="233" t="b">
        <v>0</v>
      </c>
      <c r="H786" s="242" t="str">
        <f t="shared" si="1"/>
        <v/>
      </c>
      <c r="I786" s="294" t="s">
        <v>78</v>
      </c>
      <c r="J786" s="325" t="str">
        <f t="shared" si="2"/>
        <v>Walk 250km</v>
      </c>
      <c r="K786" s="326"/>
      <c r="L786" s="327"/>
      <c r="M786" s="326"/>
      <c r="N786" s="326" t="s">
        <v>3836</v>
      </c>
      <c r="O786" s="239" t="s">
        <v>2970</v>
      </c>
      <c r="P786" s="328" t="s">
        <v>3826</v>
      </c>
      <c r="Q786" s="329" t="s">
        <v>3837</v>
      </c>
      <c r="R786" s="328" t="s">
        <v>194</v>
      </c>
      <c r="S786" s="329" t="s">
        <v>1634</v>
      </c>
    </row>
    <row r="787">
      <c r="A787" s="230">
        <v>787.0</v>
      </c>
      <c r="B787" s="230" t="s">
        <v>188</v>
      </c>
      <c r="C787" s="231"/>
      <c r="D787" s="232"/>
      <c r="E787" s="232">
        <f>IFERROR(__xludf.DUMMYFUNCTION("iferror(SPLIT(D787,""/""),split(""0/0"",""/""))"),0.0)</f>
        <v>0</v>
      </c>
      <c r="F787" s="232">
        <f>IFERROR(__xludf.DUMMYFUNCTION("""COMPUTED_VALUE"""),0.0)</f>
        <v>0</v>
      </c>
      <c r="G787" s="247" t="b">
        <v>0</v>
      </c>
      <c r="H787" s="242" t="str">
        <f t="shared" si="1"/>
        <v/>
      </c>
      <c r="I787" s="243" t="s">
        <v>3838</v>
      </c>
      <c r="J787" s="325" t="str">
        <f t="shared" si="2"/>
        <v>Sprint 10km</v>
      </c>
      <c r="K787" s="326"/>
      <c r="L787" s="327"/>
      <c r="M787" s="326"/>
      <c r="N787" s="326" t="s">
        <v>3839</v>
      </c>
      <c r="O787" s="239" t="s">
        <v>3840</v>
      </c>
      <c r="P787" s="328" t="s">
        <v>3826</v>
      </c>
      <c r="Q787" s="329" t="s">
        <v>3841</v>
      </c>
      <c r="R787" s="328" t="s">
        <v>194</v>
      </c>
      <c r="S787" s="329"/>
    </row>
    <row r="788">
      <c r="A788" s="230">
        <v>788.0</v>
      </c>
      <c r="B788" s="230" t="s">
        <v>188</v>
      </c>
      <c r="C788" s="231"/>
      <c r="D788" s="232"/>
      <c r="E788" s="232">
        <f>IFERROR(__xludf.DUMMYFUNCTION("iferror(SPLIT(D788,""/""),split(""0/0"",""/""))"),0.0)</f>
        <v>0</v>
      </c>
      <c r="F788" s="232">
        <f>IFERROR(__xludf.DUMMYFUNCTION("""COMPUTED_VALUE"""),0.0)</f>
        <v>0</v>
      </c>
      <c r="G788" s="247" t="b">
        <v>0</v>
      </c>
      <c r="H788" s="242" t="str">
        <f t="shared" si="1"/>
        <v/>
      </c>
      <c r="I788" s="246" t="s">
        <v>3842</v>
      </c>
      <c r="J788" s="325" t="str">
        <f t="shared" si="2"/>
        <v>Sprint 42.195km</v>
      </c>
      <c r="K788" s="326"/>
      <c r="L788" s="327"/>
      <c r="M788" s="326"/>
      <c r="N788" s="326" t="s">
        <v>3843</v>
      </c>
      <c r="O788" s="239" t="s">
        <v>1111</v>
      </c>
      <c r="P788" s="328" t="s">
        <v>3826</v>
      </c>
      <c r="Q788" s="329" t="s">
        <v>3844</v>
      </c>
      <c r="R788" s="328" t="s">
        <v>194</v>
      </c>
      <c r="S788" s="329"/>
    </row>
    <row r="789">
      <c r="A789" s="230">
        <v>789.0</v>
      </c>
      <c r="B789" s="230" t="s">
        <v>257</v>
      </c>
      <c r="C789" s="231"/>
      <c r="D789" s="232"/>
      <c r="E789" s="232">
        <f>IFERROR(__xludf.DUMMYFUNCTION("iferror(SPLIT(D789,""/""),split(""0/0"",""/""))"),0.0)</f>
        <v>0</v>
      </c>
      <c r="F789" s="232">
        <f>IFERROR(__xludf.DUMMYFUNCTION("""COMPUTED_VALUE"""),0.0)</f>
        <v>0</v>
      </c>
      <c r="G789" s="247" t="b">
        <v>0</v>
      </c>
      <c r="H789" s="242" t="str">
        <f t="shared" si="1"/>
        <v/>
      </c>
      <c r="I789" s="249" t="s">
        <v>83</v>
      </c>
      <c r="J789" s="325" t="str">
        <f t="shared" si="2"/>
        <v>Sprint 250km</v>
      </c>
      <c r="K789" s="326"/>
      <c r="L789" s="327"/>
      <c r="M789" s="326"/>
      <c r="N789" s="326" t="s">
        <v>3845</v>
      </c>
      <c r="O789" s="239" t="s">
        <v>597</v>
      </c>
      <c r="P789" s="328" t="s">
        <v>3826</v>
      </c>
      <c r="Q789" s="329" t="s">
        <v>3846</v>
      </c>
      <c r="R789" s="328" t="s">
        <v>194</v>
      </c>
      <c r="S789" s="329" t="s">
        <v>1634</v>
      </c>
    </row>
    <row r="790">
      <c r="A790" s="230">
        <v>790.0</v>
      </c>
      <c r="B790" s="230" t="s">
        <v>188</v>
      </c>
      <c r="C790" s="231"/>
      <c r="D790" s="232"/>
      <c r="E790" s="232">
        <f>IFERROR(__xludf.DUMMYFUNCTION("iferror(SPLIT(D790,""/""),split(""0/0"",""/""))"),0.0)</f>
        <v>0</v>
      </c>
      <c r="F790" s="232">
        <f>IFERROR(__xludf.DUMMYFUNCTION("""COMPUTED_VALUE"""),0.0)</f>
        <v>0</v>
      </c>
      <c r="G790" s="247" t="b">
        <v>0</v>
      </c>
      <c r="H790" s="242" t="str">
        <f t="shared" si="1"/>
        <v/>
      </c>
      <c r="I790" s="243" t="s">
        <v>3847</v>
      </c>
      <c r="J790" s="325" t="str">
        <f t="shared" si="2"/>
        <v>Jump 1000 times</v>
      </c>
      <c r="K790" s="326"/>
      <c r="L790" s="327"/>
      <c r="M790" s="326"/>
      <c r="N790" s="326" t="s">
        <v>3848</v>
      </c>
      <c r="O790" s="239" t="s">
        <v>299</v>
      </c>
      <c r="P790" s="328" t="s">
        <v>3826</v>
      </c>
      <c r="Q790" s="329" t="s">
        <v>3849</v>
      </c>
      <c r="R790" s="328" t="s">
        <v>194</v>
      </c>
      <c r="S790" s="329"/>
    </row>
    <row r="791">
      <c r="A791" s="230">
        <v>791.0</v>
      </c>
      <c r="B791" s="230" t="s">
        <v>188</v>
      </c>
      <c r="C791" s="231"/>
      <c r="D791" s="232"/>
      <c r="E791" s="232">
        <f>IFERROR(__xludf.DUMMYFUNCTION("iferror(SPLIT(D791,""/""),split(""0/0"",""/""))"),0.0)</f>
        <v>0</v>
      </c>
      <c r="F791" s="232">
        <f>IFERROR(__xludf.DUMMYFUNCTION("""COMPUTED_VALUE"""),0.0)</f>
        <v>0</v>
      </c>
      <c r="G791" s="247" t="b">
        <v>0</v>
      </c>
      <c r="H791" s="242" t="str">
        <f t="shared" si="1"/>
        <v/>
      </c>
      <c r="I791" s="246" t="s">
        <v>3850</v>
      </c>
      <c r="J791" s="325" t="str">
        <f t="shared" si="2"/>
        <v>Jump 10,000 times</v>
      </c>
      <c r="K791" s="326"/>
      <c r="L791" s="327"/>
      <c r="M791" s="326"/>
      <c r="N791" s="326" t="s">
        <v>3851</v>
      </c>
      <c r="O791" s="239" t="s">
        <v>3852</v>
      </c>
      <c r="P791" s="328" t="s">
        <v>3826</v>
      </c>
      <c r="Q791" s="329" t="s">
        <v>3853</v>
      </c>
      <c r="R791" s="328" t="s">
        <v>194</v>
      </c>
      <c r="S791" s="329"/>
    </row>
    <row r="792">
      <c r="A792" s="230">
        <v>792.0</v>
      </c>
      <c r="B792" s="230" t="s">
        <v>257</v>
      </c>
      <c r="C792" s="231"/>
      <c r="D792" s="232"/>
      <c r="E792" s="232">
        <f>IFERROR(__xludf.DUMMYFUNCTION("iferror(SPLIT(D792,""/""),split(""0/0"",""/""))"),0.0)</f>
        <v>0</v>
      </c>
      <c r="F792" s="232">
        <f>IFERROR(__xludf.DUMMYFUNCTION("""COMPUTED_VALUE"""),0.0)</f>
        <v>0</v>
      </c>
      <c r="G792" s="247" t="b">
        <v>0</v>
      </c>
      <c r="H792" s="242" t="str">
        <f t="shared" si="1"/>
        <v/>
      </c>
      <c r="I792" s="249" t="s">
        <v>85</v>
      </c>
      <c r="J792" s="325" t="str">
        <f t="shared" si="2"/>
        <v>Jump 100,000 times</v>
      </c>
      <c r="K792" s="326"/>
      <c r="L792" s="327"/>
      <c r="M792" s="326"/>
      <c r="N792" s="326" t="s">
        <v>3854</v>
      </c>
      <c r="O792" s="239" t="s">
        <v>3855</v>
      </c>
      <c r="P792" s="328" t="s">
        <v>3826</v>
      </c>
      <c r="Q792" s="329" t="s">
        <v>3856</v>
      </c>
      <c r="R792" s="328" t="s">
        <v>194</v>
      </c>
      <c r="S792" s="329" t="s">
        <v>1634</v>
      </c>
    </row>
    <row r="793">
      <c r="A793" s="230">
        <v>793.0</v>
      </c>
      <c r="B793" s="230" t="s">
        <v>188</v>
      </c>
      <c r="C793" s="231"/>
      <c r="D793" s="232"/>
      <c r="E793" s="232">
        <f>IFERROR(__xludf.DUMMYFUNCTION("iferror(SPLIT(D793,""/""),split(""0/0"",""/""))"),0.0)</f>
        <v>0</v>
      </c>
      <c r="F793" s="232">
        <f>IFERROR(__xludf.DUMMYFUNCTION("""COMPUTED_VALUE"""),0.0)</f>
        <v>0</v>
      </c>
      <c r="G793" s="247" t="b">
        <v>0</v>
      </c>
      <c r="H793" s="242" t="str">
        <f t="shared" si="1"/>
        <v/>
      </c>
      <c r="I793" s="243" t="s">
        <v>3857</v>
      </c>
      <c r="J793" s="325" t="str">
        <f t="shared" si="2"/>
        <v>Sneak 100m</v>
      </c>
      <c r="K793" s="326"/>
      <c r="L793" s="327"/>
      <c r="M793" s="326"/>
      <c r="N793" s="326" t="s">
        <v>3858</v>
      </c>
      <c r="O793" s="239" t="s">
        <v>1740</v>
      </c>
      <c r="P793" s="328" t="s">
        <v>3826</v>
      </c>
      <c r="Q793" s="329" t="s">
        <v>3859</v>
      </c>
      <c r="R793" s="328" t="s">
        <v>194</v>
      </c>
      <c r="S793" s="329"/>
    </row>
    <row r="794">
      <c r="A794" s="230">
        <v>794.0</v>
      </c>
      <c r="B794" s="230" t="s">
        <v>188</v>
      </c>
      <c r="C794" s="231"/>
      <c r="D794" s="232"/>
      <c r="E794" s="232">
        <f>IFERROR(__xludf.DUMMYFUNCTION("iferror(SPLIT(D794,""/""),split(""0/0"",""/""))"),0.0)</f>
        <v>0</v>
      </c>
      <c r="F794" s="232">
        <f>IFERROR(__xludf.DUMMYFUNCTION("""COMPUTED_VALUE"""),0.0)</f>
        <v>0</v>
      </c>
      <c r="G794" s="247" t="b">
        <v>0</v>
      </c>
      <c r="H794" s="242" t="str">
        <f t="shared" si="1"/>
        <v/>
      </c>
      <c r="I794" s="246" t="s">
        <v>3860</v>
      </c>
      <c r="J794" s="325" t="str">
        <f t="shared" si="2"/>
        <v>Sneak 1km</v>
      </c>
      <c r="K794" s="326"/>
      <c r="L794" s="327"/>
      <c r="M794" s="326"/>
      <c r="N794" s="326" t="s">
        <v>3861</v>
      </c>
      <c r="O794" s="239" t="s">
        <v>1729</v>
      </c>
      <c r="P794" s="328" t="s">
        <v>3826</v>
      </c>
      <c r="Q794" s="329" t="s">
        <v>3862</v>
      </c>
      <c r="R794" s="328" t="s">
        <v>194</v>
      </c>
      <c r="S794" s="329"/>
    </row>
    <row r="795">
      <c r="A795" s="230">
        <v>795.0</v>
      </c>
      <c r="B795" s="230" t="s">
        <v>257</v>
      </c>
      <c r="C795" s="231"/>
      <c r="D795" s="232"/>
      <c r="E795" s="232">
        <f>IFERROR(__xludf.DUMMYFUNCTION("iferror(SPLIT(D795,""/""),split(""0/0"",""/""))"),0.0)</f>
        <v>0</v>
      </c>
      <c r="F795" s="232">
        <f>IFERROR(__xludf.DUMMYFUNCTION("""COMPUTED_VALUE"""),0.0)</f>
        <v>0</v>
      </c>
      <c r="G795" s="247" t="b">
        <v>0</v>
      </c>
      <c r="H795" s="242" t="str">
        <f t="shared" si="1"/>
        <v/>
      </c>
      <c r="I795" s="249" t="s">
        <v>89</v>
      </c>
      <c r="J795" s="325" t="str">
        <f t="shared" si="2"/>
        <v>Sneak 10km</v>
      </c>
      <c r="K795" s="326"/>
      <c r="L795" s="327"/>
      <c r="M795" s="326"/>
      <c r="N795" s="326" t="s">
        <v>3863</v>
      </c>
      <c r="O795" s="239" t="s">
        <v>3864</v>
      </c>
      <c r="P795" s="328" t="s">
        <v>3826</v>
      </c>
      <c r="Q795" s="329" t="s">
        <v>3865</v>
      </c>
      <c r="R795" s="328" t="s">
        <v>194</v>
      </c>
      <c r="S795" s="329" t="s">
        <v>1634</v>
      </c>
    </row>
    <row r="796">
      <c r="A796" s="230">
        <v>796.0</v>
      </c>
      <c r="B796" s="230" t="s">
        <v>188</v>
      </c>
      <c r="C796" s="231"/>
      <c r="D796" s="232"/>
      <c r="E796" s="232">
        <f>IFERROR(__xludf.DUMMYFUNCTION("iferror(SPLIT(D796,""/""),split(""0/0"",""/""))"),0.0)</f>
        <v>0</v>
      </c>
      <c r="F796" s="232">
        <f>IFERROR(__xludf.DUMMYFUNCTION("""COMPUTED_VALUE"""),0.0)</f>
        <v>0</v>
      </c>
      <c r="G796" s="247" t="b">
        <v>0</v>
      </c>
      <c r="H796" s="242" t="str">
        <f t="shared" si="1"/>
        <v/>
      </c>
      <c r="I796" s="243" t="s">
        <v>3866</v>
      </c>
      <c r="J796" s="325" t="str">
        <f t="shared" si="2"/>
        <v>Swim 1km ("Swim" is defined as sprint-swimming)</v>
      </c>
      <c r="K796" s="326" t="s">
        <v>3867</v>
      </c>
      <c r="L796" s="327"/>
      <c r="M796" s="326" t="s">
        <v>3868</v>
      </c>
      <c r="N796" s="326" t="s">
        <v>3869</v>
      </c>
      <c r="O796" s="239" t="s">
        <v>1734</v>
      </c>
      <c r="P796" s="328" t="s">
        <v>3826</v>
      </c>
      <c r="Q796" s="329" t="s">
        <v>3870</v>
      </c>
      <c r="R796" s="328" t="s">
        <v>194</v>
      </c>
      <c r="S796" s="329"/>
    </row>
    <row r="797">
      <c r="A797" s="230">
        <v>797.0</v>
      </c>
      <c r="B797" s="230" t="s">
        <v>188</v>
      </c>
      <c r="C797" s="231"/>
      <c r="D797" s="232"/>
      <c r="E797" s="232">
        <f>IFERROR(__xludf.DUMMYFUNCTION("iferror(SPLIT(D797,""/""),split(""0/0"",""/""))"),0.0)</f>
        <v>0</v>
      </c>
      <c r="F797" s="232">
        <f>IFERROR(__xludf.DUMMYFUNCTION("""COMPUTED_VALUE"""),0.0)</f>
        <v>0</v>
      </c>
      <c r="G797" s="247" t="b">
        <v>0</v>
      </c>
      <c r="H797" s="242" t="str">
        <f t="shared" si="1"/>
        <v/>
      </c>
      <c r="I797" s="246" t="s">
        <v>3871</v>
      </c>
      <c r="J797" s="325" t="str">
        <f t="shared" si="2"/>
        <v>Swim 10km</v>
      </c>
      <c r="K797" s="326" t="s">
        <v>3872</v>
      </c>
      <c r="L797" s="327"/>
      <c r="M797" s="326"/>
      <c r="N797" s="326" t="s">
        <v>3873</v>
      </c>
      <c r="O797" s="239" t="s">
        <v>567</v>
      </c>
      <c r="P797" s="328" t="s">
        <v>3826</v>
      </c>
      <c r="Q797" s="329" t="s">
        <v>3874</v>
      </c>
      <c r="R797" s="328" t="s">
        <v>194</v>
      </c>
      <c r="S797" s="329"/>
    </row>
    <row r="798">
      <c r="A798" s="230">
        <v>798.0</v>
      </c>
      <c r="B798" s="230" t="s">
        <v>257</v>
      </c>
      <c r="C798" s="231"/>
      <c r="D798" s="232"/>
      <c r="E798" s="232">
        <f>IFERROR(__xludf.DUMMYFUNCTION("iferror(SPLIT(D798,""/""),split(""0/0"",""/""))"),0.0)</f>
        <v>0</v>
      </c>
      <c r="F798" s="232">
        <f>IFERROR(__xludf.DUMMYFUNCTION("""COMPUTED_VALUE"""),0.0)</f>
        <v>0</v>
      </c>
      <c r="G798" s="247" t="b">
        <v>0</v>
      </c>
      <c r="H798" s="242" t="str">
        <f t="shared" si="1"/>
        <v/>
      </c>
      <c r="I798" s="249" t="s">
        <v>91</v>
      </c>
      <c r="J798" s="325" t="str">
        <f t="shared" si="2"/>
        <v>Swim 50km</v>
      </c>
      <c r="K798" s="326" t="s">
        <v>3875</v>
      </c>
      <c r="L798" s="327"/>
      <c r="M798" s="326"/>
      <c r="N798" s="326" t="s">
        <v>3876</v>
      </c>
      <c r="O798" s="239" t="s">
        <v>577</v>
      </c>
      <c r="P798" s="328" t="s">
        <v>3826</v>
      </c>
      <c r="Q798" s="329" t="s">
        <v>3877</v>
      </c>
      <c r="R798" s="328" t="s">
        <v>194</v>
      </c>
      <c r="S798" s="329" t="s">
        <v>1634</v>
      </c>
    </row>
    <row r="799">
      <c r="A799" s="230">
        <v>799.0</v>
      </c>
      <c r="B799" s="230" t="s">
        <v>188</v>
      </c>
      <c r="C799" s="231"/>
      <c r="D799" s="232"/>
      <c r="E799" s="232">
        <f>IFERROR(__xludf.DUMMYFUNCTION("iferror(SPLIT(D799,""/""),split(""0/0"",""/""))"),0.0)</f>
        <v>0</v>
      </c>
      <c r="F799" s="232">
        <f>IFERROR(__xludf.DUMMYFUNCTION("""COMPUTED_VALUE"""),0.0)</f>
        <v>0</v>
      </c>
      <c r="G799" s="247" t="b">
        <v>0</v>
      </c>
      <c r="H799" s="242" t="str">
        <f t="shared" si="1"/>
        <v/>
      </c>
      <c r="I799" s="243" t="s">
        <v>3878</v>
      </c>
      <c r="J799" s="325" t="str">
        <f t="shared" si="2"/>
        <v>Ride 1km in a minecart</v>
      </c>
      <c r="K799" s="326" t="s">
        <v>3879</v>
      </c>
      <c r="L799" s="327"/>
      <c r="M799" s="326"/>
      <c r="N799" s="326" t="s">
        <v>3880</v>
      </c>
      <c r="O799" s="239" t="s">
        <v>3548</v>
      </c>
      <c r="P799" s="328" t="s">
        <v>3826</v>
      </c>
      <c r="Q799" s="329" t="s">
        <v>3881</v>
      </c>
      <c r="R799" s="328" t="s">
        <v>194</v>
      </c>
      <c r="S799" s="329"/>
    </row>
    <row r="800">
      <c r="A800" s="230">
        <v>800.0</v>
      </c>
      <c r="B800" s="230" t="s">
        <v>188</v>
      </c>
      <c r="C800" s="231"/>
      <c r="D800" s="232"/>
      <c r="E800" s="232">
        <f>IFERROR(__xludf.DUMMYFUNCTION("iferror(SPLIT(D800,""/""),split(""0/0"",""/""))"),0.0)</f>
        <v>0</v>
      </c>
      <c r="F800" s="232">
        <f>IFERROR(__xludf.DUMMYFUNCTION("""COMPUTED_VALUE"""),0.0)</f>
        <v>0</v>
      </c>
      <c r="G800" s="247" t="b">
        <v>0</v>
      </c>
      <c r="H800" s="242" t="str">
        <f t="shared" si="1"/>
        <v/>
      </c>
      <c r="I800" s="246" t="s">
        <v>3882</v>
      </c>
      <c r="J800" s="325" t="str">
        <f t="shared" si="2"/>
        <v>Ride 10km in a minecart</v>
      </c>
      <c r="K800" s="326" t="s">
        <v>3883</v>
      </c>
      <c r="L800" s="327"/>
      <c r="M800" s="326"/>
      <c r="N800" s="326" t="s">
        <v>3884</v>
      </c>
      <c r="O800" s="239" t="s">
        <v>3553</v>
      </c>
      <c r="P800" s="328" t="s">
        <v>3826</v>
      </c>
      <c r="Q800" s="329" t="s">
        <v>3885</v>
      </c>
      <c r="R800" s="328" t="s">
        <v>194</v>
      </c>
      <c r="S800" s="329"/>
    </row>
    <row r="801">
      <c r="A801" s="230">
        <v>801.0</v>
      </c>
      <c r="B801" s="230" t="s">
        <v>257</v>
      </c>
      <c r="C801" s="231"/>
      <c r="D801" s="232"/>
      <c r="E801" s="232">
        <f>IFERROR(__xludf.DUMMYFUNCTION("iferror(SPLIT(D801,""/""),split(""0/0"",""/""))"),0.0)</f>
        <v>0</v>
      </c>
      <c r="F801" s="232">
        <f>IFERROR(__xludf.DUMMYFUNCTION("""COMPUTED_VALUE"""),0.0)</f>
        <v>0</v>
      </c>
      <c r="G801" s="247" t="b">
        <v>0</v>
      </c>
      <c r="H801" s="242" t="str">
        <f t="shared" si="1"/>
        <v/>
      </c>
      <c r="I801" s="249" t="s">
        <v>95</v>
      </c>
      <c r="J801" s="325" t="str">
        <f t="shared" si="2"/>
        <v>Ride 50km in a minecart</v>
      </c>
      <c r="K801" s="326" t="s">
        <v>549</v>
      </c>
      <c r="L801" s="327"/>
      <c r="M801" s="326"/>
      <c r="N801" s="326" t="s">
        <v>3886</v>
      </c>
      <c r="O801" s="239" t="s">
        <v>3887</v>
      </c>
      <c r="P801" s="328" t="s">
        <v>3826</v>
      </c>
      <c r="Q801" s="329" t="s">
        <v>3888</v>
      </c>
      <c r="R801" s="328" t="s">
        <v>194</v>
      </c>
      <c r="S801" s="329" t="s">
        <v>1634</v>
      </c>
    </row>
    <row r="802">
      <c r="A802" s="230">
        <v>802.0</v>
      </c>
      <c r="B802" s="230" t="s">
        <v>188</v>
      </c>
      <c r="C802" s="231"/>
      <c r="D802" s="232"/>
      <c r="E802" s="232">
        <f>IFERROR(__xludf.DUMMYFUNCTION("iferror(SPLIT(D802,""/""),split(""0/0"",""/""))"),0.0)</f>
        <v>0</v>
      </c>
      <c r="F802" s="232">
        <f>IFERROR(__xludf.DUMMYFUNCTION("""COMPUTED_VALUE"""),0.0)</f>
        <v>0</v>
      </c>
      <c r="G802" s="247" t="b">
        <v>0</v>
      </c>
      <c r="H802" s="242" t="str">
        <f t="shared" si="1"/>
        <v/>
      </c>
      <c r="I802" s="243" t="s">
        <v>3889</v>
      </c>
      <c r="J802" s="325" t="str">
        <f t="shared" si="2"/>
        <v>Ride 100 m on a pig</v>
      </c>
      <c r="K802" s="326" t="s">
        <v>3890</v>
      </c>
      <c r="L802" s="327"/>
      <c r="M802" s="326"/>
      <c r="N802" s="326" t="s">
        <v>3891</v>
      </c>
      <c r="O802" s="239" t="s">
        <v>1919</v>
      </c>
      <c r="P802" s="328" t="s">
        <v>3826</v>
      </c>
      <c r="Q802" s="329" t="s">
        <v>3892</v>
      </c>
      <c r="R802" s="328" t="s">
        <v>194</v>
      </c>
      <c r="S802" s="329"/>
    </row>
    <row r="803">
      <c r="A803" s="230">
        <v>803.0</v>
      </c>
      <c r="B803" s="230" t="s">
        <v>188</v>
      </c>
      <c r="C803" s="231"/>
      <c r="D803" s="232"/>
      <c r="E803" s="232">
        <f>IFERROR(__xludf.DUMMYFUNCTION("iferror(SPLIT(D803,""/""),split(""0/0"",""/""))"),0.0)</f>
        <v>0</v>
      </c>
      <c r="F803" s="232">
        <f>IFERROR(__xludf.DUMMYFUNCTION("""COMPUTED_VALUE"""),0.0)</f>
        <v>0</v>
      </c>
      <c r="G803" s="247" t="b">
        <v>0</v>
      </c>
      <c r="H803" s="242" t="str">
        <f t="shared" si="1"/>
        <v/>
      </c>
      <c r="I803" s="246" t="s">
        <v>3893</v>
      </c>
      <c r="J803" s="325" t="str">
        <f t="shared" si="2"/>
        <v>Ride 1 km on a pig</v>
      </c>
      <c r="K803" s="326" t="s">
        <v>3894</v>
      </c>
      <c r="L803" s="327"/>
      <c r="M803" s="326"/>
      <c r="N803" s="326" t="s">
        <v>3895</v>
      </c>
      <c r="O803" s="239" t="s">
        <v>1621</v>
      </c>
      <c r="P803" s="328" t="s">
        <v>3826</v>
      </c>
      <c r="Q803" s="329" t="s">
        <v>3896</v>
      </c>
      <c r="R803" s="328" t="s">
        <v>194</v>
      </c>
      <c r="S803" s="329"/>
    </row>
    <row r="804">
      <c r="A804" s="230">
        <v>804.0</v>
      </c>
      <c r="B804" s="230" t="s">
        <v>257</v>
      </c>
      <c r="C804" s="231"/>
      <c r="D804" s="232"/>
      <c r="E804" s="232">
        <f>IFERROR(__xludf.DUMMYFUNCTION("iferror(SPLIT(D804,""/""),split(""0/0"",""/""))"),0.0)</f>
        <v>0</v>
      </c>
      <c r="F804" s="232">
        <f>IFERROR(__xludf.DUMMYFUNCTION("""COMPUTED_VALUE"""),0.0)</f>
        <v>0</v>
      </c>
      <c r="G804" s="247" t="b">
        <v>0</v>
      </c>
      <c r="H804" s="242" t="str">
        <f t="shared" si="1"/>
        <v/>
      </c>
      <c r="I804" s="249" t="s">
        <v>97</v>
      </c>
      <c r="J804" s="325" t="str">
        <f t="shared" si="2"/>
        <v>Ride 10 km on a pig</v>
      </c>
      <c r="K804" s="326" t="s">
        <v>3897</v>
      </c>
      <c r="L804" s="327"/>
      <c r="M804" s="326"/>
      <c r="N804" s="326" t="s">
        <v>3898</v>
      </c>
      <c r="O804" s="239" t="s">
        <v>2283</v>
      </c>
      <c r="P804" s="328" t="s">
        <v>3826</v>
      </c>
      <c r="Q804" s="329" t="s">
        <v>3899</v>
      </c>
      <c r="R804" s="328" t="s">
        <v>194</v>
      </c>
      <c r="S804" s="329" t="s">
        <v>1634</v>
      </c>
    </row>
    <row r="805">
      <c r="A805" s="230">
        <v>805.0</v>
      </c>
      <c r="B805" s="230" t="s">
        <v>188</v>
      </c>
      <c r="C805" s="231"/>
      <c r="D805" s="232"/>
      <c r="E805" s="232">
        <f>IFERROR(__xludf.DUMMYFUNCTION("iferror(SPLIT(D805,""/""),split(""0/0"",""/""))"),0.0)</f>
        <v>0</v>
      </c>
      <c r="F805" s="232">
        <f>IFERROR(__xludf.DUMMYFUNCTION("""COMPUTED_VALUE"""),0.0)</f>
        <v>0</v>
      </c>
      <c r="G805" s="247" t="b">
        <v>0</v>
      </c>
      <c r="H805" s="242" t="str">
        <f t="shared" si="1"/>
        <v/>
      </c>
      <c r="I805" s="243" t="s">
        <v>3900</v>
      </c>
      <c r="J805" s="325" t="str">
        <f t="shared" si="2"/>
        <v>Ride 1 km on a horse</v>
      </c>
      <c r="K805" s="326" t="s">
        <v>3901</v>
      </c>
      <c r="L805" s="327"/>
      <c r="M805" s="326"/>
      <c r="N805" s="326" t="s">
        <v>3902</v>
      </c>
      <c r="O805" s="239" t="s">
        <v>3903</v>
      </c>
      <c r="P805" s="328" t="s">
        <v>3826</v>
      </c>
      <c r="Q805" s="329" t="s">
        <v>3904</v>
      </c>
      <c r="R805" s="328" t="s">
        <v>194</v>
      </c>
      <c r="S805" s="329"/>
    </row>
    <row r="806">
      <c r="A806" s="230">
        <v>806.0</v>
      </c>
      <c r="B806" s="230" t="s">
        <v>188</v>
      </c>
      <c r="C806" s="231"/>
      <c r="D806" s="232"/>
      <c r="E806" s="232">
        <f>IFERROR(__xludf.DUMMYFUNCTION("iferror(SPLIT(D806,""/""),split(""0/0"",""/""))"),0.0)</f>
        <v>0</v>
      </c>
      <c r="F806" s="232">
        <f>IFERROR(__xludf.DUMMYFUNCTION("""COMPUTED_VALUE"""),0.0)</f>
        <v>0</v>
      </c>
      <c r="G806" s="247" t="b">
        <v>0</v>
      </c>
      <c r="H806" s="242" t="str">
        <f t="shared" si="1"/>
        <v/>
      </c>
      <c r="I806" s="246" t="s">
        <v>3905</v>
      </c>
      <c r="J806" s="325" t="str">
        <f t="shared" si="2"/>
        <v>Ride 10 km on a horse</v>
      </c>
      <c r="K806" s="326" t="s">
        <v>3906</v>
      </c>
      <c r="L806" s="327"/>
      <c r="M806" s="326"/>
      <c r="N806" s="326" t="s">
        <v>3907</v>
      </c>
      <c r="O806" s="239" t="s">
        <v>3908</v>
      </c>
      <c r="P806" s="328" t="s">
        <v>3826</v>
      </c>
      <c r="Q806" s="329" t="s">
        <v>3909</v>
      </c>
      <c r="R806" s="328" t="s">
        <v>194</v>
      </c>
      <c r="S806" s="329"/>
    </row>
    <row r="807">
      <c r="A807" s="230">
        <v>807.0</v>
      </c>
      <c r="B807" s="230" t="s">
        <v>257</v>
      </c>
      <c r="C807" s="231"/>
      <c r="D807" s="232"/>
      <c r="E807" s="232">
        <f>IFERROR(__xludf.DUMMYFUNCTION("iferror(SPLIT(D807,""/""),split(""0/0"",""/""))"),0.0)</f>
        <v>0</v>
      </c>
      <c r="F807" s="232">
        <f>IFERROR(__xludf.DUMMYFUNCTION("""COMPUTED_VALUE"""),0.0)</f>
        <v>0</v>
      </c>
      <c r="G807" s="247" t="b">
        <v>0</v>
      </c>
      <c r="H807" s="242" t="str">
        <f t="shared" si="1"/>
        <v/>
      </c>
      <c r="I807" s="249" t="s">
        <v>101</v>
      </c>
      <c r="J807" s="325" t="str">
        <f t="shared" si="2"/>
        <v>Ride 50 km on a horse</v>
      </c>
      <c r="K807" s="326" t="s">
        <v>3910</v>
      </c>
      <c r="L807" s="327"/>
      <c r="M807" s="326"/>
      <c r="N807" s="326" t="s">
        <v>3911</v>
      </c>
      <c r="O807" s="239" t="s">
        <v>1932</v>
      </c>
      <c r="P807" s="328" t="s">
        <v>3826</v>
      </c>
      <c r="Q807" s="329" t="s">
        <v>3912</v>
      </c>
      <c r="R807" s="328" t="s">
        <v>194</v>
      </c>
      <c r="S807" s="329" t="s">
        <v>1634</v>
      </c>
    </row>
    <row r="808">
      <c r="A808" s="230">
        <v>808.0</v>
      </c>
      <c r="B808" s="230" t="s">
        <v>188</v>
      </c>
      <c r="C808" s="231"/>
      <c r="D808" s="232"/>
      <c r="E808" s="232">
        <f>IFERROR(__xludf.DUMMYFUNCTION("iferror(SPLIT(D808,""/""),split(""0/0"",""/""))"),0.0)</f>
        <v>0</v>
      </c>
      <c r="F808" s="232">
        <f>IFERROR(__xludf.DUMMYFUNCTION("""COMPUTED_VALUE"""),0.0)</f>
        <v>0</v>
      </c>
      <c r="G808" s="247" t="b">
        <v>0</v>
      </c>
      <c r="H808" s="242" t="str">
        <f t="shared" si="1"/>
        <v/>
      </c>
      <c r="I808" s="243" t="s">
        <v>3913</v>
      </c>
      <c r="J808" s="325" t="str">
        <f t="shared" si="2"/>
        <v>Sail 1km in a boat</v>
      </c>
      <c r="K808" s="326" t="s">
        <v>2305</v>
      </c>
      <c r="L808" s="327"/>
      <c r="M808" s="326"/>
      <c r="N808" s="326" t="s">
        <v>3914</v>
      </c>
      <c r="O808" s="239" t="s">
        <v>3915</v>
      </c>
      <c r="P808" s="328" t="s">
        <v>3826</v>
      </c>
      <c r="Q808" s="329" t="s">
        <v>3916</v>
      </c>
      <c r="R808" s="328" t="s">
        <v>194</v>
      </c>
      <c r="S808" s="329"/>
    </row>
    <row r="809">
      <c r="A809" s="230">
        <v>809.0</v>
      </c>
      <c r="B809" s="230" t="s">
        <v>188</v>
      </c>
      <c r="C809" s="231"/>
      <c r="D809" s="232"/>
      <c r="E809" s="232">
        <f>IFERROR(__xludf.DUMMYFUNCTION("iferror(SPLIT(D809,""/""),split(""0/0"",""/""))"),0.0)</f>
        <v>0</v>
      </c>
      <c r="F809" s="232">
        <f>IFERROR(__xludf.DUMMYFUNCTION("""COMPUTED_VALUE"""),0.0)</f>
        <v>0</v>
      </c>
      <c r="G809" s="247" t="b">
        <v>0</v>
      </c>
      <c r="H809" s="242" t="str">
        <f t="shared" si="1"/>
        <v/>
      </c>
      <c r="I809" s="246" t="s">
        <v>3917</v>
      </c>
      <c r="J809" s="325" t="str">
        <f t="shared" si="2"/>
        <v>Sail 10km in a boat</v>
      </c>
      <c r="K809" s="326" t="s">
        <v>3918</v>
      </c>
      <c r="L809" s="327"/>
      <c r="M809" s="326"/>
      <c r="N809" s="326" t="s">
        <v>3919</v>
      </c>
      <c r="O809" s="239" t="s">
        <v>3920</v>
      </c>
      <c r="P809" s="328" t="s">
        <v>3826</v>
      </c>
      <c r="Q809" s="329" t="s">
        <v>3921</v>
      </c>
      <c r="R809" s="328" t="s">
        <v>194</v>
      </c>
      <c r="S809" s="329"/>
    </row>
    <row r="810">
      <c r="A810" s="230">
        <v>810.0</v>
      </c>
      <c r="B810" s="230" t="s">
        <v>257</v>
      </c>
      <c r="C810" s="231"/>
      <c r="D810" s="232"/>
      <c r="E810" s="232">
        <f>IFERROR(__xludf.DUMMYFUNCTION("iferror(SPLIT(D810,""/""),split(""0/0"",""/""))"),0.0)</f>
        <v>0</v>
      </c>
      <c r="F810" s="232">
        <f>IFERROR(__xludf.DUMMYFUNCTION("""COMPUTED_VALUE"""),0.0)</f>
        <v>0</v>
      </c>
      <c r="G810" s="247" t="b">
        <v>0</v>
      </c>
      <c r="H810" s="242" t="str">
        <f t="shared" si="1"/>
        <v/>
      </c>
      <c r="I810" s="249" t="s">
        <v>103</v>
      </c>
      <c r="J810" s="325" t="str">
        <f t="shared" si="2"/>
        <v>Sail 50km in a boat</v>
      </c>
      <c r="K810" s="326" t="s">
        <v>3922</v>
      </c>
      <c r="L810" s="327"/>
      <c r="M810" s="326"/>
      <c r="N810" s="326" t="s">
        <v>3923</v>
      </c>
      <c r="O810" s="239" t="s">
        <v>3924</v>
      </c>
      <c r="P810" s="328" t="s">
        <v>3826</v>
      </c>
      <c r="Q810" s="329" t="s">
        <v>3925</v>
      </c>
      <c r="R810" s="328" t="s">
        <v>194</v>
      </c>
      <c r="S810" s="329" t="s">
        <v>1634</v>
      </c>
    </row>
    <row r="811">
      <c r="A811" s="230">
        <v>811.0</v>
      </c>
      <c r="B811" s="230" t="s">
        <v>188</v>
      </c>
      <c r="C811" s="231"/>
      <c r="D811" s="232"/>
      <c r="E811" s="232">
        <f>IFERROR(__xludf.DUMMYFUNCTION("iferror(SPLIT(D811,""/""),split(""0/0"",""/""))"),0.0)</f>
        <v>0</v>
      </c>
      <c r="F811" s="232">
        <f>IFERROR(__xludf.DUMMYFUNCTION("""COMPUTED_VALUE"""),0.0)</f>
        <v>0</v>
      </c>
      <c r="G811" s="247" t="b">
        <v>0</v>
      </c>
      <c r="H811" s="242" t="str">
        <f t="shared" si="1"/>
        <v/>
      </c>
      <c r="I811" s="243" t="s">
        <v>3926</v>
      </c>
      <c r="J811" s="325" t="str">
        <f t="shared" si="2"/>
        <v>Ride 100m on a Strider</v>
      </c>
      <c r="K811" s="326" t="s">
        <v>3927</v>
      </c>
      <c r="L811" s="327"/>
      <c r="M811" s="326"/>
      <c r="N811" s="326" t="s">
        <v>3928</v>
      </c>
      <c r="O811" s="239" t="s">
        <v>730</v>
      </c>
      <c r="P811" s="328" t="s">
        <v>3826</v>
      </c>
      <c r="Q811" s="329" t="s">
        <v>3929</v>
      </c>
      <c r="R811" s="328" t="s">
        <v>194</v>
      </c>
      <c r="S811" s="329"/>
    </row>
    <row r="812">
      <c r="A812" s="230">
        <v>812.0</v>
      </c>
      <c r="B812" s="230" t="s">
        <v>188</v>
      </c>
      <c r="C812" s="231"/>
      <c r="D812" s="232"/>
      <c r="E812" s="232">
        <f>IFERROR(__xludf.DUMMYFUNCTION("iferror(SPLIT(D812,""/""),split(""0/0"",""/""))"),0.0)</f>
        <v>0</v>
      </c>
      <c r="F812" s="232">
        <f>IFERROR(__xludf.DUMMYFUNCTION("""COMPUTED_VALUE"""),0.0)</f>
        <v>0</v>
      </c>
      <c r="G812" s="247" t="b">
        <v>0</v>
      </c>
      <c r="H812" s="242" t="str">
        <f t="shared" si="1"/>
        <v/>
      </c>
      <c r="I812" s="246" t="s">
        <v>3930</v>
      </c>
      <c r="J812" s="325" t="str">
        <f t="shared" si="2"/>
        <v>Ride 1km on a Strider</v>
      </c>
      <c r="K812" s="326" t="s">
        <v>3931</v>
      </c>
      <c r="L812" s="327"/>
      <c r="M812" s="326"/>
      <c r="N812" s="326" t="s">
        <v>3932</v>
      </c>
      <c r="O812" s="239" t="s">
        <v>3933</v>
      </c>
      <c r="P812" s="328" t="s">
        <v>3826</v>
      </c>
      <c r="Q812" s="329" t="s">
        <v>3934</v>
      </c>
      <c r="R812" s="328" t="s">
        <v>194</v>
      </c>
      <c r="S812" s="329"/>
    </row>
    <row r="813">
      <c r="A813" s="230">
        <v>813.0</v>
      </c>
      <c r="B813" s="230" t="s">
        <v>257</v>
      </c>
      <c r="C813" s="231"/>
      <c r="D813" s="232"/>
      <c r="E813" s="232">
        <f>IFERROR(__xludf.DUMMYFUNCTION("iferror(SPLIT(D813,""/""),split(""0/0"",""/""))"),0.0)</f>
        <v>0</v>
      </c>
      <c r="F813" s="232">
        <f>IFERROR(__xludf.DUMMYFUNCTION("""COMPUTED_VALUE"""),0.0)</f>
        <v>0</v>
      </c>
      <c r="G813" s="247" t="b">
        <v>0</v>
      </c>
      <c r="H813" s="242" t="str">
        <f t="shared" si="1"/>
        <v/>
      </c>
      <c r="I813" s="249" t="s">
        <v>107</v>
      </c>
      <c r="J813" s="325" t="str">
        <f t="shared" si="2"/>
        <v>Ride 10km on a Strider</v>
      </c>
      <c r="K813" s="326" t="s">
        <v>3935</v>
      </c>
      <c r="L813" s="327"/>
      <c r="M813" s="326"/>
      <c r="N813" s="326" t="s">
        <v>3936</v>
      </c>
      <c r="O813" s="239" t="s">
        <v>3937</v>
      </c>
      <c r="P813" s="328" t="s">
        <v>3826</v>
      </c>
      <c r="Q813" s="329" t="s">
        <v>3938</v>
      </c>
      <c r="R813" s="328" t="s">
        <v>194</v>
      </c>
      <c r="S813" s="329" t="s">
        <v>1634</v>
      </c>
    </row>
    <row r="814">
      <c r="A814" s="230">
        <v>814.0</v>
      </c>
      <c r="B814" s="230" t="s">
        <v>188</v>
      </c>
      <c r="C814" s="231"/>
      <c r="D814" s="232"/>
      <c r="E814" s="232">
        <f>IFERROR(__xludf.DUMMYFUNCTION("iferror(SPLIT(D814,""/""),split(""0/0"",""/""))"),0.0)</f>
        <v>0</v>
      </c>
      <c r="F814" s="232">
        <f>IFERROR(__xludf.DUMMYFUNCTION("""COMPUTED_VALUE"""),0.0)</f>
        <v>0</v>
      </c>
      <c r="G814" s="247" t="b">
        <v>0</v>
      </c>
      <c r="H814" s="242" t="str">
        <f t="shared" si="1"/>
        <v/>
      </c>
      <c r="I814" s="243" t="s">
        <v>3939</v>
      </c>
      <c r="J814" s="325" t="str">
        <f t="shared" si="2"/>
        <v>Fly 10 km with elytra</v>
      </c>
      <c r="K814" s="326" t="s">
        <v>3940</v>
      </c>
      <c r="L814" s="327"/>
      <c r="M814" s="326"/>
      <c r="N814" s="326" t="s">
        <v>3941</v>
      </c>
      <c r="O814" s="239" t="s">
        <v>2515</v>
      </c>
      <c r="P814" s="328" t="s">
        <v>3826</v>
      </c>
      <c r="Q814" s="329" t="s">
        <v>3942</v>
      </c>
      <c r="R814" s="328" t="s">
        <v>194</v>
      </c>
      <c r="S814" s="328" t="s">
        <v>3943</v>
      </c>
    </row>
    <row r="815">
      <c r="A815" s="230">
        <v>815.0</v>
      </c>
      <c r="B815" s="230" t="s">
        <v>188</v>
      </c>
      <c r="C815" s="231"/>
      <c r="D815" s="232"/>
      <c r="E815" s="232">
        <f>IFERROR(__xludf.DUMMYFUNCTION("iferror(SPLIT(D815,""/""),split(""0/0"",""/""))"),0.0)</f>
        <v>0</v>
      </c>
      <c r="F815" s="232">
        <f>IFERROR(__xludf.DUMMYFUNCTION("""COMPUTED_VALUE"""),0.0)</f>
        <v>0</v>
      </c>
      <c r="G815" s="247" t="b">
        <v>0</v>
      </c>
      <c r="H815" s="242" t="str">
        <f t="shared" si="1"/>
        <v/>
      </c>
      <c r="I815" s="246" t="s">
        <v>3944</v>
      </c>
      <c r="J815" s="325" t="str">
        <f t="shared" si="2"/>
        <v>Fly 100km with elytra</v>
      </c>
      <c r="K815" s="326" t="s">
        <v>3945</v>
      </c>
      <c r="L815" s="327"/>
      <c r="M815" s="326"/>
      <c r="N815" s="326" t="s">
        <v>3946</v>
      </c>
      <c r="O815" s="239" t="s">
        <v>3947</v>
      </c>
      <c r="P815" s="328" t="s">
        <v>3826</v>
      </c>
      <c r="Q815" s="329" t="s">
        <v>3948</v>
      </c>
      <c r="R815" s="328" t="s">
        <v>194</v>
      </c>
      <c r="S815" s="328" t="s">
        <v>3943</v>
      </c>
    </row>
    <row r="816">
      <c r="A816" s="230">
        <v>816.0</v>
      </c>
      <c r="B816" s="230" t="s">
        <v>206</v>
      </c>
      <c r="C816" s="231"/>
      <c r="D816" s="232"/>
      <c r="E816" s="232">
        <f>IFERROR(__xludf.DUMMYFUNCTION("iferror(SPLIT(D816,""/""),split(""0/0"",""/""))"),0.0)</f>
        <v>0</v>
      </c>
      <c r="F816" s="232">
        <f>IFERROR(__xludf.DUMMYFUNCTION("""COMPUTED_VALUE"""),0.0)</f>
        <v>0</v>
      </c>
      <c r="G816" s="233" t="b">
        <v>0</v>
      </c>
      <c r="H816" s="242" t="str">
        <f t="shared" si="1"/>
        <v/>
      </c>
      <c r="I816" s="249" t="s">
        <v>76</v>
      </c>
      <c r="J816" s="325" t="str">
        <f t="shared" si="2"/>
        <v>Fly 1000km with elytra</v>
      </c>
      <c r="K816" s="326" t="s">
        <v>3949</v>
      </c>
      <c r="L816" s="327"/>
      <c r="M816" s="326"/>
      <c r="N816" s="326" t="s">
        <v>3950</v>
      </c>
      <c r="O816" s="239" t="s">
        <v>2648</v>
      </c>
      <c r="P816" s="328" t="s">
        <v>3826</v>
      </c>
      <c r="Q816" s="329" t="s">
        <v>3951</v>
      </c>
      <c r="R816" s="328" t="s">
        <v>194</v>
      </c>
      <c r="S816" s="329"/>
    </row>
    <row r="817">
      <c r="A817" s="230">
        <v>817.0</v>
      </c>
      <c r="B817" s="230" t="s">
        <v>188</v>
      </c>
      <c r="C817" s="231"/>
      <c r="D817" s="232"/>
      <c r="E817" s="232">
        <f>IFERROR(__xludf.DUMMYFUNCTION("iferror(SPLIT(D817,""/""),split(""0/0"",""/""))"),0.0)</f>
        <v>0</v>
      </c>
      <c r="F817" s="232">
        <f>IFERROR(__xludf.DUMMYFUNCTION("""COMPUTED_VALUE"""),0.0)</f>
        <v>0</v>
      </c>
      <c r="G817" s="247" t="b">
        <v>0</v>
      </c>
      <c r="H817" s="242" t="str">
        <f t="shared" si="1"/>
        <v/>
      </c>
      <c r="I817" s="243" t="s">
        <v>3952</v>
      </c>
      <c r="J817" s="325" t="str">
        <f t="shared" si="2"/>
        <v>Defeat 250 mobs</v>
      </c>
      <c r="K817" s="326" t="s">
        <v>3953</v>
      </c>
      <c r="L817" s="327"/>
      <c r="M817" s="326"/>
      <c r="N817" s="326" t="s">
        <v>3954</v>
      </c>
      <c r="O817" s="239" t="s">
        <v>2101</v>
      </c>
      <c r="P817" s="328" t="s">
        <v>3826</v>
      </c>
      <c r="Q817" s="329" t="s">
        <v>3955</v>
      </c>
      <c r="R817" s="328" t="s">
        <v>194</v>
      </c>
      <c r="S817" s="329"/>
    </row>
    <row r="818">
      <c r="A818" s="230">
        <v>818.0</v>
      </c>
      <c r="B818" s="230" t="s">
        <v>188</v>
      </c>
      <c r="C818" s="231"/>
      <c r="D818" s="232"/>
      <c r="E818" s="232">
        <f>IFERROR(__xludf.DUMMYFUNCTION("iferror(SPLIT(D818,""/""),split(""0/0"",""/""))"),0.0)</f>
        <v>0</v>
      </c>
      <c r="F818" s="232">
        <f>IFERROR(__xludf.DUMMYFUNCTION("""COMPUTED_VALUE"""),0.0)</f>
        <v>0</v>
      </c>
      <c r="G818" s="247" t="b">
        <v>0</v>
      </c>
      <c r="H818" s="242" t="str">
        <f t="shared" si="1"/>
        <v/>
      </c>
      <c r="I818" s="246" t="s">
        <v>3956</v>
      </c>
      <c r="J818" s="325" t="str">
        <f t="shared" si="2"/>
        <v>Defeat 2500 mobs</v>
      </c>
      <c r="K818" s="326" t="s">
        <v>3957</v>
      </c>
      <c r="L818" s="327"/>
      <c r="M818" s="326"/>
      <c r="N818" s="326" t="s">
        <v>3958</v>
      </c>
      <c r="O818" s="239" t="s">
        <v>1969</v>
      </c>
      <c r="P818" s="328" t="s">
        <v>3826</v>
      </c>
      <c r="Q818" s="329" t="s">
        <v>3959</v>
      </c>
      <c r="R818" s="328" t="s">
        <v>194</v>
      </c>
      <c r="S818" s="329"/>
    </row>
    <row r="819">
      <c r="A819" s="230">
        <v>819.0</v>
      </c>
      <c r="B819" s="230" t="s">
        <v>257</v>
      </c>
      <c r="C819" s="231"/>
      <c r="D819" s="232"/>
      <c r="E819" s="232">
        <f>IFERROR(__xludf.DUMMYFUNCTION("iferror(SPLIT(D819,""/""),split(""0/0"",""/""))"),0.0)</f>
        <v>0</v>
      </c>
      <c r="F819" s="232">
        <f>IFERROR(__xludf.DUMMYFUNCTION("""COMPUTED_VALUE"""),0.0)</f>
        <v>0</v>
      </c>
      <c r="G819" s="233" t="b">
        <v>0</v>
      </c>
      <c r="H819" s="242" t="str">
        <f t="shared" si="1"/>
        <v/>
      </c>
      <c r="I819" s="249" t="s">
        <v>109</v>
      </c>
      <c r="J819" s="325" t="str">
        <f t="shared" si="2"/>
        <v>Defeat 25,000 mobs</v>
      </c>
      <c r="K819" s="326" t="s">
        <v>3960</v>
      </c>
      <c r="L819" s="327"/>
      <c r="M819" s="326"/>
      <c r="N819" s="326" t="s">
        <v>3961</v>
      </c>
      <c r="O819" s="239" t="s">
        <v>672</v>
      </c>
      <c r="P819" s="328" t="s">
        <v>3826</v>
      </c>
      <c r="Q819" s="329" t="s">
        <v>3962</v>
      </c>
      <c r="R819" s="328" t="s">
        <v>194</v>
      </c>
      <c r="S819" s="329" t="s">
        <v>3641</v>
      </c>
    </row>
    <row r="820">
      <c r="A820" s="230">
        <v>820.0</v>
      </c>
      <c r="B820" s="230" t="s">
        <v>188</v>
      </c>
      <c r="C820" s="231"/>
      <c r="D820" s="232"/>
      <c r="E820" s="232">
        <f>IFERROR(__xludf.DUMMYFUNCTION("iferror(SPLIT(D820,""/""),split(""0/0"",""/""))"),0.0)</f>
        <v>0</v>
      </c>
      <c r="F820" s="232">
        <f>IFERROR(__xludf.DUMMYFUNCTION("""COMPUTED_VALUE"""),0.0)</f>
        <v>0</v>
      </c>
      <c r="G820" s="247" t="b">
        <v>0</v>
      </c>
      <c r="H820" s="242" t="str">
        <f t="shared" si="1"/>
        <v/>
      </c>
      <c r="I820" s="243" t="s">
        <v>3963</v>
      </c>
      <c r="J820" s="325" t="str">
        <f t="shared" si="2"/>
        <v>Breed 100 animals</v>
      </c>
      <c r="K820" s="326" t="s">
        <v>3964</v>
      </c>
      <c r="L820" s="327"/>
      <c r="M820" s="326"/>
      <c r="N820" s="326" t="s">
        <v>3965</v>
      </c>
      <c r="O820" s="239" t="s">
        <v>1592</v>
      </c>
      <c r="P820" s="328" t="s">
        <v>3826</v>
      </c>
      <c r="Q820" s="329" t="s">
        <v>3966</v>
      </c>
      <c r="R820" s="328" t="s">
        <v>194</v>
      </c>
      <c r="S820" s="329"/>
    </row>
    <row r="821">
      <c r="A821" s="230">
        <v>821.0</v>
      </c>
      <c r="B821" s="230" t="s">
        <v>188</v>
      </c>
      <c r="C821" s="231"/>
      <c r="D821" s="232"/>
      <c r="E821" s="232">
        <f>IFERROR(__xludf.DUMMYFUNCTION("iferror(SPLIT(D821,""/""),split(""0/0"",""/""))"),0.0)</f>
        <v>0</v>
      </c>
      <c r="F821" s="232">
        <f>IFERROR(__xludf.DUMMYFUNCTION("""COMPUTED_VALUE"""),0.0)</f>
        <v>0</v>
      </c>
      <c r="G821" s="247" t="b">
        <v>0</v>
      </c>
      <c r="H821" s="242" t="str">
        <f t="shared" si="1"/>
        <v/>
      </c>
      <c r="I821" s="246" t="s">
        <v>3967</v>
      </c>
      <c r="J821" s="325" t="str">
        <f t="shared" si="2"/>
        <v>Breed 500 animals</v>
      </c>
      <c r="K821" s="326" t="s">
        <v>3968</v>
      </c>
      <c r="L821" s="327"/>
      <c r="M821" s="326"/>
      <c r="N821" s="326" t="s">
        <v>3969</v>
      </c>
      <c r="O821" s="239" t="s">
        <v>1584</v>
      </c>
      <c r="P821" s="328" t="s">
        <v>3826</v>
      </c>
      <c r="Q821" s="329" t="s">
        <v>3970</v>
      </c>
      <c r="R821" s="328" t="s">
        <v>194</v>
      </c>
      <c r="S821" s="329"/>
    </row>
    <row r="822">
      <c r="A822" s="230">
        <v>822.0</v>
      </c>
      <c r="B822" s="230" t="s">
        <v>257</v>
      </c>
      <c r="C822" s="231"/>
      <c r="D822" s="232"/>
      <c r="E822" s="232">
        <f>IFERROR(__xludf.DUMMYFUNCTION("iferror(SPLIT(D822,""/""),split(""0/0"",""/""))"),0.0)</f>
        <v>0</v>
      </c>
      <c r="F822" s="232">
        <f>IFERROR(__xludf.DUMMYFUNCTION("""COMPUTED_VALUE"""),0.0)</f>
        <v>0</v>
      </c>
      <c r="G822" s="247" t="b">
        <v>0</v>
      </c>
      <c r="H822" s="242" t="str">
        <f t="shared" si="1"/>
        <v/>
      </c>
      <c r="I822" s="249" t="s">
        <v>3971</v>
      </c>
      <c r="J822" s="325" t="str">
        <f t="shared" si="2"/>
        <v>Breed 2500 animals</v>
      </c>
      <c r="K822" s="326" t="s">
        <v>3972</v>
      </c>
      <c r="L822" s="327"/>
      <c r="M822" s="326"/>
      <c r="N822" s="326" t="s">
        <v>3973</v>
      </c>
      <c r="O822" s="239" t="s">
        <v>2621</v>
      </c>
      <c r="P822" s="328" t="s">
        <v>3826</v>
      </c>
      <c r="Q822" s="329" t="s">
        <v>3974</v>
      </c>
      <c r="R822" s="328" t="s">
        <v>194</v>
      </c>
      <c r="S822" s="329" t="s">
        <v>1991</v>
      </c>
    </row>
    <row r="823">
      <c r="A823" s="230">
        <v>823.0</v>
      </c>
      <c r="B823" s="230" t="s">
        <v>188</v>
      </c>
      <c r="C823" s="231"/>
      <c r="D823" s="232"/>
      <c r="E823" s="232">
        <f>IFERROR(__xludf.DUMMYFUNCTION("iferror(SPLIT(D823,""/""),split(""0/0"",""/""))"),0.0)</f>
        <v>0</v>
      </c>
      <c r="F823" s="232">
        <f>IFERROR(__xludf.DUMMYFUNCTION("""COMPUTED_VALUE"""),0.0)</f>
        <v>0</v>
      </c>
      <c r="G823" s="247" t="b">
        <v>0</v>
      </c>
      <c r="H823" s="242" t="str">
        <f t="shared" si="1"/>
        <v/>
      </c>
      <c r="I823" s="243" t="s">
        <v>3975</v>
      </c>
      <c r="J823" s="325" t="str">
        <f t="shared" si="2"/>
        <v>Eat 200 food items (Milk, Potions and Water Bottles do not increment this number)</v>
      </c>
      <c r="K823" s="326"/>
      <c r="L823" s="327"/>
      <c r="M823" s="326" t="s">
        <v>3976</v>
      </c>
      <c r="N823" s="326" t="s">
        <v>3977</v>
      </c>
      <c r="O823" s="239" t="s">
        <v>1465</v>
      </c>
      <c r="P823" s="328" t="s">
        <v>3826</v>
      </c>
      <c r="Q823" s="329" t="s">
        <v>3978</v>
      </c>
      <c r="R823" s="328" t="s">
        <v>194</v>
      </c>
      <c r="S823" s="329"/>
    </row>
    <row r="824">
      <c r="A824" s="230">
        <v>824.0</v>
      </c>
      <c r="B824" s="230" t="s">
        <v>188</v>
      </c>
      <c r="C824" s="231"/>
      <c r="D824" s="232"/>
      <c r="E824" s="232">
        <f>IFERROR(__xludf.DUMMYFUNCTION("iferror(SPLIT(D824,""/""),split(""0/0"",""/""))"),0.0)</f>
        <v>0</v>
      </c>
      <c r="F824" s="232">
        <f>IFERROR(__xludf.DUMMYFUNCTION("""COMPUTED_VALUE"""),0.0)</f>
        <v>0</v>
      </c>
      <c r="G824" s="247" t="b">
        <v>0</v>
      </c>
      <c r="H824" s="242" t="str">
        <f t="shared" si="1"/>
        <v/>
      </c>
      <c r="I824" s="246" t="s">
        <v>3979</v>
      </c>
      <c r="J824" s="325" t="str">
        <f t="shared" si="2"/>
        <v>Eat 1000 food items</v>
      </c>
      <c r="K824" s="326"/>
      <c r="L824" s="327"/>
      <c r="M824" s="326"/>
      <c r="N824" s="326" t="s">
        <v>3980</v>
      </c>
      <c r="O824" s="239" t="s">
        <v>1684</v>
      </c>
      <c r="P824" s="328" t="s">
        <v>3826</v>
      </c>
      <c r="Q824" s="329" t="s">
        <v>3981</v>
      </c>
      <c r="R824" s="328" t="s">
        <v>194</v>
      </c>
      <c r="S824" s="329"/>
    </row>
    <row r="825">
      <c r="A825" s="230">
        <v>825.0</v>
      </c>
      <c r="B825" s="230" t="s">
        <v>257</v>
      </c>
      <c r="C825" s="231"/>
      <c r="D825" s="232"/>
      <c r="E825" s="232">
        <f>IFERROR(__xludf.DUMMYFUNCTION("iferror(SPLIT(D825,""/""),split(""0/0"",""/""))"),0.0)</f>
        <v>0</v>
      </c>
      <c r="F825" s="232">
        <f>IFERROR(__xludf.DUMMYFUNCTION("""COMPUTED_VALUE"""),0.0)</f>
        <v>0</v>
      </c>
      <c r="G825" s="247" t="b">
        <v>0</v>
      </c>
      <c r="H825" s="242" t="str">
        <f t="shared" si="1"/>
        <v/>
      </c>
      <c r="I825" s="249" t="s">
        <v>121</v>
      </c>
      <c r="J825" s="325" t="str">
        <f t="shared" si="2"/>
        <v>Eat 5000 food items</v>
      </c>
      <c r="K825" s="326"/>
      <c r="L825" s="327"/>
      <c r="M825" s="326"/>
      <c r="N825" s="326" t="s">
        <v>3982</v>
      </c>
      <c r="O825" s="239" t="s">
        <v>1547</v>
      </c>
      <c r="P825" s="328" t="s">
        <v>3826</v>
      </c>
      <c r="Q825" s="329" t="s">
        <v>3983</v>
      </c>
      <c r="R825" s="328" t="s">
        <v>194</v>
      </c>
      <c r="S825" s="329" t="s">
        <v>1437</v>
      </c>
    </row>
    <row r="826">
      <c r="A826" s="230">
        <v>826.0</v>
      </c>
      <c r="B826" s="230" t="s">
        <v>188</v>
      </c>
      <c r="C826" s="231"/>
      <c r="D826" s="232"/>
      <c r="E826" s="232">
        <f>IFERROR(__xludf.DUMMYFUNCTION("iferror(SPLIT(D826,""/""),split(""0/0"",""/""))"),0.0)</f>
        <v>0</v>
      </c>
      <c r="F826" s="232">
        <f>IFERROR(__xludf.DUMMYFUNCTION("""COMPUTED_VALUE"""),0.0)</f>
        <v>0</v>
      </c>
      <c r="G826" s="247" t="b">
        <v>0</v>
      </c>
      <c r="H826" s="242" t="str">
        <f t="shared" si="1"/>
        <v/>
      </c>
      <c r="I826" s="243" t="s">
        <v>3984</v>
      </c>
      <c r="J826" s="325" t="str">
        <f t="shared" si="2"/>
        <v>Trade with villagers 100 times</v>
      </c>
      <c r="K826" s="326" t="s">
        <v>480</v>
      </c>
      <c r="L826" s="327"/>
      <c r="M826" s="326"/>
      <c r="N826" s="326" t="s">
        <v>3985</v>
      </c>
      <c r="O826" s="239" t="s">
        <v>2073</v>
      </c>
      <c r="P826" s="328" t="s">
        <v>3826</v>
      </c>
      <c r="Q826" s="329" t="s">
        <v>3986</v>
      </c>
      <c r="R826" s="328" t="s">
        <v>194</v>
      </c>
      <c r="S826" s="329"/>
    </row>
    <row r="827">
      <c r="A827" s="230">
        <v>827.0</v>
      </c>
      <c r="B827" s="230" t="s">
        <v>188</v>
      </c>
      <c r="C827" s="231"/>
      <c r="D827" s="232"/>
      <c r="E827" s="232">
        <f>IFERROR(__xludf.DUMMYFUNCTION("iferror(SPLIT(D827,""/""),split(""0/0"",""/""))"),0.0)</f>
        <v>0</v>
      </c>
      <c r="F827" s="232">
        <f>IFERROR(__xludf.DUMMYFUNCTION("""COMPUTED_VALUE"""),0.0)</f>
        <v>0</v>
      </c>
      <c r="G827" s="247" t="b">
        <v>0</v>
      </c>
      <c r="H827" s="242" t="str">
        <f t="shared" si="1"/>
        <v/>
      </c>
      <c r="I827" s="246" t="s">
        <v>3987</v>
      </c>
      <c r="J827" s="325" t="str">
        <f t="shared" si="2"/>
        <v>Trade with villagers 500 times</v>
      </c>
      <c r="K827" s="326" t="s">
        <v>3988</v>
      </c>
      <c r="L827" s="327"/>
      <c r="M827" s="326"/>
      <c r="N827" s="326" t="s">
        <v>3989</v>
      </c>
      <c r="O827" s="239" t="s">
        <v>3070</v>
      </c>
      <c r="P827" s="328" t="s">
        <v>3826</v>
      </c>
      <c r="Q827" s="329" t="s">
        <v>3990</v>
      </c>
      <c r="R827" s="328" t="s">
        <v>194</v>
      </c>
      <c r="S827" s="329"/>
    </row>
    <row r="828">
      <c r="A828" s="230">
        <v>828.0</v>
      </c>
      <c r="B828" s="230" t="s">
        <v>257</v>
      </c>
      <c r="C828" s="231"/>
      <c r="D828" s="232"/>
      <c r="E828" s="232">
        <f>IFERROR(__xludf.DUMMYFUNCTION("iferror(SPLIT(D828,""/""),split(""0/0"",""/""))"),0.0)</f>
        <v>0</v>
      </c>
      <c r="F828" s="232">
        <f>IFERROR(__xludf.DUMMYFUNCTION("""COMPUTED_VALUE"""),0.0)</f>
        <v>0</v>
      </c>
      <c r="G828" s="247" t="b">
        <v>0</v>
      </c>
      <c r="H828" s="242" t="str">
        <f t="shared" si="1"/>
        <v/>
      </c>
      <c r="I828" s="294" t="s">
        <v>119</v>
      </c>
      <c r="J828" s="325" t="str">
        <f t="shared" si="2"/>
        <v>Trade with villagers 2500 times</v>
      </c>
      <c r="K828" s="326" t="s">
        <v>3991</v>
      </c>
      <c r="L828" s="327"/>
      <c r="M828" s="326"/>
      <c r="N828" s="326" t="s">
        <v>3992</v>
      </c>
      <c r="O828" s="239" t="s">
        <v>1757</v>
      </c>
      <c r="P828" s="328" t="s">
        <v>3826</v>
      </c>
      <c r="Q828" s="329" t="s">
        <v>3993</v>
      </c>
      <c r="R828" s="328" t="s">
        <v>194</v>
      </c>
      <c r="S828" s="328" t="s">
        <v>28</v>
      </c>
    </row>
    <row r="829">
      <c r="A829" s="230">
        <v>829.0</v>
      </c>
      <c r="B829" s="230" t="s">
        <v>188</v>
      </c>
      <c r="C829" s="231"/>
      <c r="D829" s="232"/>
      <c r="E829" s="232">
        <f>IFERROR(__xludf.DUMMYFUNCTION("iferror(SPLIT(D829,""/""),split(""0/0"",""/""))"),0.0)</f>
        <v>0</v>
      </c>
      <c r="F829" s="232">
        <f>IFERROR(__xludf.DUMMYFUNCTION("""COMPUTED_VALUE"""),0.0)</f>
        <v>0</v>
      </c>
      <c r="G829" s="233" t="b">
        <v>0</v>
      </c>
      <c r="H829" s="242" t="str">
        <f t="shared" si="1"/>
        <v/>
      </c>
      <c r="I829" s="243" t="s">
        <v>3994</v>
      </c>
      <c r="J829" s="325" t="str">
        <f t="shared" si="2"/>
        <v>Open 10 loot chests (This number is incremented when you generate a container's loot by opening it)</v>
      </c>
      <c r="K829" s="326"/>
      <c r="L829" s="327"/>
      <c r="M829" s="326" t="s">
        <v>3995</v>
      </c>
      <c r="N829" s="326" t="s">
        <v>3996</v>
      </c>
      <c r="O829" s="239" t="s">
        <v>832</v>
      </c>
      <c r="P829" s="328" t="s">
        <v>3826</v>
      </c>
      <c r="Q829" s="329" t="s">
        <v>3997</v>
      </c>
      <c r="R829" s="328" t="s">
        <v>194</v>
      </c>
      <c r="S829" s="329"/>
    </row>
    <row r="830">
      <c r="A830" s="230">
        <v>830.0</v>
      </c>
      <c r="B830" s="230" t="s">
        <v>188</v>
      </c>
      <c r="C830" s="231"/>
      <c r="D830" s="232"/>
      <c r="E830" s="232">
        <f>IFERROR(__xludf.DUMMYFUNCTION("iferror(SPLIT(D830,""/""),split(""0/0"",""/""))"),0.0)</f>
        <v>0</v>
      </c>
      <c r="F830" s="232">
        <f>IFERROR(__xludf.DUMMYFUNCTION("""COMPUTED_VALUE"""),0.0)</f>
        <v>0</v>
      </c>
      <c r="G830" s="247" t="b">
        <v>0</v>
      </c>
      <c r="H830" s="242" t="str">
        <f t="shared" si="1"/>
        <v/>
      </c>
      <c r="I830" s="246" t="s">
        <v>3998</v>
      </c>
      <c r="J830" s="325" t="str">
        <f t="shared" si="2"/>
        <v>Open 100 loot chests (In other words, when you open a loot chest that has never been opened before)</v>
      </c>
      <c r="K830" s="326"/>
      <c r="L830" s="327"/>
      <c r="M830" s="326" t="s">
        <v>3999</v>
      </c>
      <c r="N830" s="326" t="s">
        <v>4000</v>
      </c>
      <c r="O830" s="239" t="s">
        <v>1996</v>
      </c>
      <c r="P830" s="328" t="s">
        <v>3826</v>
      </c>
      <c r="Q830" s="329" t="s">
        <v>4001</v>
      </c>
      <c r="R830" s="328" t="s">
        <v>194</v>
      </c>
      <c r="S830" s="329"/>
    </row>
    <row r="831">
      <c r="A831" s="230">
        <v>831.0</v>
      </c>
      <c r="B831" s="230" t="s">
        <v>257</v>
      </c>
      <c r="C831" s="231"/>
      <c r="D831" s="232"/>
      <c r="E831" s="232">
        <f>IFERROR(__xludf.DUMMYFUNCTION("iferror(SPLIT(D831,""/""),split(""0/0"",""/""))"),0.0)</f>
        <v>0</v>
      </c>
      <c r="F831" s="232">
        <f>IFERROR(__xludf.DUMMYFUNCTION("""COMPUTED_VALUE"""),0.0)</f>
        <v>0</v>
      </c>
      <c r="G831" s="247" t="b">
        <v>0</v>
      </c>
      <c r="H831" s="242" t="str">
        <f t="shared" si="1"/>
        <v/>
      </c>
      <c r="I831" s="249" t="s">
        <v>123</v>
      </c>
      <c r="J831" s="325" t="str">
        <f t="shared" si="2"/>
        <v>Open 500 loot chests</v>
      </c>
      <c r="K831" s="326"/>
      <c r="L831" s="327"/>
      <c r="M831" s="326"/>
      <c r="N831" s="326" t="s">
        <v>4002</v>
      </c>
      <c r="O831" s="239" t="s">
        <v>4003</v>
      </c>
      <c r="P831" s="328" t="s">
        <v>3826</v>
      </c>
      <c r="Q831" s="329" t="s">
        <v>4004</v>
      </c>
      <c r="R831" s="328" t="s">
        <v>194</v>
      </c>
      <c r="S831" s="329" t="s">
        <v>2891</v>
      </c>
    </row>
    <row r="832">
      <c r="A832" s="230">
        <v>832.0</v>
      </c>
      <c r="B832" s="230" t="s">
        <v>188</v>
      </c>
      <c r="C832" s="231"/>
      <c r="D832" s="232"/>
      <c r="E832" s="232">
        <f>IFERROR(__xludf.DUMMYFUNCTION("iferror(SPLIT(D832,""/""),split(""0/0"",""/""))"),0.0)</f>
        <v>0</v>
      </c>
      <c r="F832" s="232">
        <f>IFERROR(__xludf.DUMMYFUNCTION("""COMPUTED_VALUE"""),0.0)</f>
        <v>0</v>
      </c>
      <c r="G832" s="247" t="b">
        <v>0</v>
      </c>
      <c r="H832" s="242" t="str">
        <f t="shared" si="1"/>
        <v/>
      </c>
      <c r="I832" s="243" t="s">
        <v>4005</v>
      </c>
      <c r="J832" s="325" t="str">
        <f t="shared" si="2"/>
        <v>Enchant 10 items</v>
      </c>
      <c r="K832" s="326" t="s">
        <v>3634</v>
      </c>
      <c r="L832" s="327"/>
      <c r="M832" s="326"/>
      <c r="N832" s="326" t="s">
        <v>4006</v>
      </c>
      <c r="O832" s="239" t="s">
        <v>1969</v>
      </c>
      <c r="P832" s="328" t="s">
        <v>3826</v>
      </c>
      <c r="Q832" s="329" t="s">
        <v>4007</v>
      </c>
      <c r="R832" s="328" t="s">
        <v>194</v>
      </c>
      <c r="S832" s="329"/>
    </row>
    <row r="833">
      <c r="A833" s="230">
        <v>833.0</v>
      </c>
      <c r="B833" s="230" t="s">
        <v>188</v>
      </c>
      <c r="C833" s="231"/>
      <c r="D833" s="232"/>
      <c r="E833" s="232">
        <f>IFERROR(__xludf.DUMMYFUNCTION("iferror(SPLIT(D833,""/""),split(""0/0"",""/""))"),0.0)</f>
        <v>0</v>
      </c>
      <c r="F833" s="232">
        <f>IFERROR(__xludf.DUMMYFUNCTION("""COMPUTED_VALUE"""),0.0)</f>
        <v>0</v>
      </c>
      <c r="G833" s="247" t="b">
        <v>0</v>
      </c>
      <c r="H833" s="242" t="str">
        <f t="shared" si="1"/>
        <v/>
      </c>
      <c r="I833" s="246" t="s">
        <v>4008</v>
      </c>
      <c r="J833" s="325" t="str">
        <f t="shared" si="2"/>
        <v>Enchant 50 items</v>
      </c>
      <c r="K833" s="326" t="s">
        <v>4009</v>
      </c>
      <c r="L833" s="327"/>
      <c r="M833" s="326"/>
      <c r="N833" s="326" t="s">
        <v>4010</v>
      </c>
      <c r="O833" s="239" t="s">
        <v>2687</v>
      </c>
      <c r="P833" s="328" t="s">
        <v>3826</v>
      </c>
      <c r="Q833" s="329" t="s">
        <v>4011</v>
      </c>
      <c r="R833" s="328" t="s">
        <v>194</v>
      </c>
      <c r="S833" s="329"/>
    </row>
    <row r="834">
      <c r="A834" s="230">
        <v>834.0</v>
      </c>
      <c r="B834" s="230" t="s">
        <v>257</v>
      </c>
      <c r="C834" s="231"/>
      <c r="D834" s="232"/>
      <c r="E834" s="232">
        <f>IFERROR(__xludf.DUMMYFUNCTION("iferror(SPLIT(D834,""/""),split(""0/0"",""/""))"),0.0)</f>
        <v>0</v>
      </c>
      <c r="F834" s="232">
        <f>IFERROR(__xludf.DUMMYFUNCTION("""COMPUTED_VALUE"""),0.0)</f>
        <v>0</v>
      </c>
      <c r="G834" s="247" t="b">
        <v>0</v>
      </c>
      <c r="H834" s="242" t="str">
        <f t="shared" si="1"/>
        <v/>
      </c>
      <c r="I834" s="249" t="s">
        <v>115</v>
      </c>
      <c r="J834" s="325" t="str">
        <f t="shared" si="2"/>
        <v>Enchant 250 items</v>
      </c>
      <c r="K834" s="326" t="s">
        <v>4012</v>
      </c>
      <c r="L834" s="327"/>
      <c r="M834" s="326"/>
      <c r="N834" s="326" t="s">
        <v>4013</v>
      </c>
      <c r="O834" s="239" t="s">
        <v>1716</v>
      </c>
      <c r="P834" s="328" t="s">
        <v>3826</v>
      </c>
      <c r="Q834" s="329" t="s">
        <v>4014</v>
      </c>
      <c r="R834" s="328" t="s">
        <v>194</v>
      </c>
      <c r="S834" s="329" t="s">
        <v>3641</v>
      </c>
    </row>
    <row r="835">
      <c r="A835" s="230">
        <v>835.0</v>
      </c>
      <c r="B835" s="230" t="s">
        <v>188</v>
      </c>
      <c r="C835" s="231"/>
      <c r="D835" s="232"/>
      <c r="E835" s="232">
        <f>IFERROR(__xludf.DUMMYFUNCTION("iferror(SPLIT(D835,""/""),split(""0/0"",""/""))"),0.0)</f>
        <v>0</v>
      </c>
      <c r="F835" s="232">
        <f>IFERROR(__xludf.DUMMYFUNCTION("""COMPUTED_VALUE"""),0.0)</f>
        <v>0</v>
      </c>
      <c r="G835" s="247" t="b">
        <v>0</v>
      </c>
      <c r="H835" s="242" t="str">
        <f t="shared" si="1"/>
        <v/>
      </c>
      <c r="I835" s="243" t="s">
        <v>4015</v>
      </c>
      <c r="J835" s="325" t="str">
        <f t="shared" si="2"/>
        <v>Reach 30 experience levels</v>
      </c>
      <c r="K835" s="326" t="s">
        <v>3634</v>
      </c>
      <c r="L835" s="327"/>
      <c r="M835" s="326"/>
      <c r="N835" s="326" t="s">
        <v>4016</v>
      </c>
      <c r="O835" s="239" t="s">
        <v>3225</v>
      </c>
      <c r="P835" s="328" t="s">
        <v>3826</v>
      </c>
      <c r="Q835" s="329" t="s">
        <v>4017</v>
      </c>
      <c r="R835" s="328" t="s">
        <v>194</v>
      </c>
      <c r="S835" s="329"/>
    </row>
    <row r="836">
      <c r="A836" s="230">
        <v>836.0</v>
      </c>
      <c r="B836" s="230" t="s">
        <v>188</v>
      </c>
      <c r="C836" s="231"/>
      <c r="D836" s="232"/>
      <c r="E836" s="232">
        <f>IFERROR(__xludf.DUMMYFUNCTION("iferror(SPLIT(D836,""/""),split(""0/0"",""/""))"),0.0)</f>
        <v>0</v>
      </c>
      <c r="F836" s="232">
        <f>IFERROR(__xludf.DUMMYFUNCTION("""COMPUTED_VALUE"""),0.0)</f>
        <v>0</v>
      </c>
      <c r="G836" s="247" t="b">
        <v>0</v>
      </c>
      <c r="H836" s="242" t="str">
        <f t="shared" si="1"/>
        <v/>
      </c>
      <c r="I836" s="246" t="s">
        <v>4018</v>
      </c>
      <c r="J836" s="325" t="str">
        <f t="shared" si="2"/>
        <v>Reach 100 experience levels</v>
      </c>
      <c r="K836" s="326" t="s">
        <v>4009</v>
      </c>
      <c r="L836" s="327"/>
      <c r="M836" s="326"/>
      <c r="N836" s="326" t="s">
        <v>4019</v>
      </c>
      <c r="O836" s="239" t="s">
        <v>3221</v>
      </c>
      <c r="P836" s="328" t="s">
        <v>3826</v>
      </c>
      <c r="Q836" s="329" t="s">
        <v>4020</v>
      </c>
      <c r="R836" s="328" t="s">
        <v>194</v>
      </c>
      <c r="S836" s="329"/>
    </row>
    <row r="837">
      <c r="A837" s="230">
        <v>837.0</v>
      </c>
      <c r="B837" s="230" t="s">
        <v>257</v>
      </c>
      <c r="C837" s="231"/>
      <c r="D837" s="232"/>
      <c r="E837" s="232">
        <f>IFERROR(__xludf.DUMMYFUNCTION("iferror(SPLIT(D837,""/""),split(""0/0"",""/""))"),0.0)</f>
        <v>0</v>
      </c>
      <c r="F837" s="232">
        <f>IFERROR(__xludf.DUMMYFUNCTION("""COMPUTED_VALUE"""),0.0)</f>
        <v>0</v>
      </c>
      <c r="G837" s="247" t="b">
        <v>0</v>
      </c>
      <c r="H837" s="242" t="str">
        <f t="shared" si="1"/>
        <v/>
      </c>
      <c r="I837" s="249" t="s">
        <v>4021</v>
      </c>
      <c r="J837" s="325" t="str">
        <f t="shared" si="2"/>
        <v>Reach 300 experience levels</v>
      </c>
      <c r="K837" s="326" t="s">
        <v>4012</v>
      </c>
      <c r="L837" s="327"/>
      <c r="M837" s="326"/>
      <c r="N837" s="326" t="s">
        <v>4022</v>
      </c>
      <c r="O837" s="239" t="s">
        <v>608</v>
      </c>
      <c r="P837" s="328" t="s">
        <v>3826</v>
      </c>
      <c r="Q837" s="329" t="s">
        <v>4023</v>
      </c>
      <c r="R837" s="328" t="s">
        <v>194</v>
      </c>
      <c r="S837" s="329" t="s">
        <v>3641</v>
      </c>
    </row>
    <row r="838">
      <c r="A838" s="230">
        <v>838.0</v>
      </c>
      <c r="B838" s="230" t="s">
        <v>188</v>
      </c>
      <c r="C838" s="231"/>
      <c r="D838" s="232"/>
      <c r="E838" s="232">
        <f>IFERROR(__xludf.DUMMYFUNCTION("iferror(SPLIT(D838,""/""),split(""0/0"",""/""))"),0.0)</f>
        <v>0</v>
      </c>
      <c r="F838" s="232">
        <f>IFERROR(__xludf.DUMMYFUNCTION("""COMPUTED_VALUE"""),0.0)</f>
        <v>0</v>
      </c>
      <c r="G838" s="247" t="b">
        <v>0</v>
      </c>
      <c r="H838" s="242" t="str">
        <f t="shared" si="1"/>
        <v/>
      </c>
      <c r="I838" s="243" t="s">
        <v>4024</v>
      </c>
      <c r="J838" s="325" t="str">
        <f t="shared" si="2"/>
        <v>Survive the first night in your brand new world (Be in the world at sunrise)</v>
      </c>
      <c r="K838" s="326"/>
      <c r="L838" s="327"/>
      <c r="M838" s="326" t="s">
        <v>4025</v>
      </c>
      <c r="N838" s="326" t="s">
        <v>4026</v>
      </c>
      <c r="O838" s="239" t="s">
        <v>4027</v>
      </c>
      <c r="P838" s="328" t="s">
        <v>3826</v>
      </c>
      <c r="Q838" s="329" t="s">
        <v>4028</v>
      </c>
      <c r="R838" s="328" t="s">
        <v>194</v>
      </c>
      <c r="S838" s="329"/>
    </row>
    <row r="839">
      <c r="A839" s="230">
        <v>839.0</v>
      </c>
      <c r="B839" s="230" t="s">
        <v>188</v>
      </c>
      <c r="C839" s="231"/>
      <c r="D839" s="232"/>
      <c r="E839" s="232">
        <f>IFERROR(__xludf.DUMMYFUNCTION("iferror(SPLIT(D839,""/""),split(""0/0"",""/""))"),0.0)</f>
        <v>0</v>
      </c>
      <c r="F839" s="232">
        <f>IFERROR(__xludf.DUMMYFUNCTION("""COMPUTED_VALUE"""),0.0)</f>
        <v>0</v>
      </c>
      <c r="G839" s="247" t="b">
        <v>0</v>
      </c>
      <c r="H839" s="242" t="str">
        <f t="shared" si="1"/>
        <v/>
      </c>
      <c r="I839" s="246" t="s">
        <v>4029</v>
      </c>
      <c r="J839" s="325" t="str">
        <f t="shared" si="2"/>
        <v>Play for 100 days (100 Minecraft days, not real-life days.)</v>
      </c>
      <c r="K839" s="326"/>
      <c r="L839" s="327"/>
      <c r="M839" s="326" t="s">
        <v>4030</v>
      </c>
      <c r="N839" s="326" t="s">
        <v>4031</v>
      </c>
      <c r="O839" s="239" t="s">
        <v>624</v>
      </c>
      <c r="P839" s="328" t="s">
        <v>3826</v>
      </c>
      <c r="Q839" s="329" t="s">
        <v>4032</v>
      </c>
      <c r="R839" s="328" t="s">
        <v>194</v>
      </c>
      <c r="S839" s="329"/>
    </row>
    <row r="840">
      <c r="A840" s="230">
        <v>840.0</v>
      </c>
      <c r="B840" s="230" t="s">
        <v>257</v>
      </c>
      <c r="C840" s="231"/>
      <c r="D840" s="232"/>
      <c r="E840" s="232">
        <f>IFERROR(__xludf.DUMMYFUNCTION("iferror(SPLIT(D840,""/""),split(""0/0"",""/""))"),0.0)</f>
        <v>0</v>
      </c>
      <c r="F840" s="232">
        <f>IFERROR(__xludf.DUMMYFUNCTION("""COMPUTED_VALUE"""),0.0)</f>
        <v>0</v>
      </c>
      <c r="G840" s="247" t="b">
        <v>0</v>
      </c>
      <c r="H840" s="242" t="str">
        <f t="shared" si="1"/>
        <v/>
      </c>
      <c r="I840" s="249" t="s">
        <v>125</v>
      </c>
      <c r="J840" s="325" t="str">
        <f t="shared" si="2"/>
        <v>Play for a whole year! (A new day is added to all online players' score at sunrise)</v>
      </c>
      <c r="K840" s="326"/>
      <c r="L840" s="327"/>
      <c r="M840" s="326" t="s">
        <v>4033</v>
      </c>
      <c r="N840" s="326" t="s">
        <v>4034</v>
      </c>
      <c r="O840" s="239" t="s">
        <v>2648</v>
      </c>
      <c r="P840" s="328" t="s">
        <v>3826</v>
      </c>
      <c r="Q840" s="329" t="s">
        <v>4035</v>
      </c>
      <c r="R840" s="328" t="s">
        <v>194</v>
      </c>
      <c r="S840" s="329"/>
    </row>
    <row r="841">
      <c r="A841" s="230">
        <v>841.0</v>
      </c>
      <c r="B841" s="230" t="s">
        <v>188</v>
      </c>
      <c r="C841" s="231"/>
      <c r="D841" s="232"/>
      <c r="E841" s="232">
        <f>IFERROR(__xludf.DUMMYFUNCTION("iferror(SPLIT(D841,""/""),split(""0/0"",""/""))"),0.0)</f>
        <v>0</v>
      </c>
      <c r="F841" s="232">
        <f>IFERROR(__xludf.DUMMYFUNCTION("""COMPUTED_VALUE"""),0.0)</f>
        <v>0</v>
      </c>
      <c r="G841" s="247" t="b">
        <v>0</v>
      </c>
      <c r="H841" s="242" t="str">
        <f t="shared" si="1"/>
        <v/>
      </c>
      <c r="I841" s="235" t="s">
        <v>4036</v>
      </c>
      <c r="J841" s="330" t="str">
        <f t="shared" si="2"/>
        <v>Bring summer clothes (Be in the Nether dimension)</v>
      </c>
      <c r="K841" s="331"/>
      <c r="L841" s="332"/>
      <c r="M841" s="331" t="s">
        <v>4037</v>
      </c>
      <c r="N841" s="331" t="s">
        <v>4038</v>
      </c>
      <c r="O841" s="239" t="s">
        <v>1230</v>
      </c>
      <c r="P841" s="333" t="s">
        <v>4036</v>
      </c>
      <c r="Q841" s="334" t="s">
        <v>4039</v>
      </c>
      <c r="R841" s="333" t="s">
        <v>194</v>
      </c>
      <c r="S841" s="334"/>
    </row>
    <row r="842">
      <c r="A842" s="230">
        <v>842.0</v>
      </c>
      <c r="B842" s="230" t="s">
        <v>188</v>
      </c>
      <c r="C842" s="231"/>
      <c r="D842" s="232"/>
      <c r="E842" s="232">
        <f>IFERROR(__xludf.DUMMYFUNCTION("iferror(SPLIT(D842,""/""),split(""0/0"",""/""))"),0.0)</f>
        <v>0</v>
      </c>
      <c r="F842" s="232">
        <f>IFERROR(__xludf.DUMMYFUNCTION("""COMPUTED_VALUE"""),0.0)</f>
        <v>0</v>
      </c>
      <c r="G842" s="247" t="b">
        <v>0</v>
      </c>
      <c r="H842" s="242" t="str">
        <f t="shared" si="1"/>
        <v/>
      </c>
      <c r="I842" s="243" t="s">
        <v>4040</v>
      </c>
      <c r="J842" s="330" t="str">
        <f t="shared" si="2"/>
        <v>Attack a huge Nether Fungi until a stem pops out (Obtain either Crimson Stem or Warped Stem)</v>
      </c>
      <c r="K842" s="331" t="s">
        <v>4041</v>
      </c>
      <c r="L842" s="332"/>
      <c r="M842" s="331" t="s">
        <v>4042</v>
      </c>
      <c r="N842" s="331" t="s">
        <v>4043</v>
      </c>
      <c r="O842" s="239" t="s">
        <v>4044</v>
      </c>
      <c r="P842" s="333" t="s">
        <v>4036</v>
      </c>
      <c r="Q842" s="334" t="s">
        <v>4045</v>
      </c>
      <c r="R842" s="333" t="s">
        <v>194</v>
      </c>
      <c r="S842" s="334"/>
    </row>
    <row r="843">
      <c r="A843" s="230">
        <v>843.0</v>
      </c>
      <c r="B843" s="230" t="s">
        <v>188</v>
      </c>
      <c r="C843" s="231"/>
      <c r="D843" s="232"/>
      <c r="E843" s="232">
        <f>IFERROR(__xludf.DUMMYFUNCTION("iferror(SPLIT(D843,""/""),split(""0/0"",""/""))"),0.0)</f>
        <v>0</v>
      </c>
      <c r="F843" s="232">
        <f>IFERROR(__xludf.DUMMYFUNCTION("""COMPUTED_VALUE"""),0.0)</f>
        <v>0</v>
      </c>
      <c r="G843" s="247" t="b">
        <v>0</v>
      </c>
      <c r="H843" s="242" t="str">
        <f t="shared" si="1"/>
        <v/>
      </c>
      <c r="I843" s="243" t="s">
        <v>4046</v>
      </c>
      <c r="J843" s="330" t="str">
        <f t="shared" si="2"/>
        <v>Pick up Crimson or Warped Fungus</v>
      </c>
      <c r="K843" s="331" t="s">
        <v>1555</v>
      </c>
      <c r="L843" s="332"/>
      <c r="M843" s="331"/>
      <c r="N843" s="331" t="s">
        <v>4047</v>
      </c>
      <c r="O843" s="239" t="s">
        <v>4048</v>
      </c>
      <c r="P843" s="333" t="s">
        <v>4036</v>
      </c>
      <c r="Q843" s="334" t="s">
        <v>4049</v>
      </c>
      <c r="R843" s="333" t="s">
        <v>194</v>
      </c>
      <c r="S843" s="334"/>
    </row>
    <row r="844">
      <c r="A844" s="230">
        <v>844.0</v>
      </c>
      <c r="B844" s="230" t="s">
        <v>188</v>
      </c>
      <c r="C844" s="231"/>
      <c r="D844" s="232"/>
      <c r="E844" s="232">
        <f>IFERROR(__xludf.DUMMYFUNCTION("iferror(SPLIT(D844,""/""),split(""0/0"",""/""))"),0.0)</f>
        <v>0</v>
      </c>
      <c r="F844" s="232">
        <f>IFERROR(__xludf.DUMMYFUNCTION("""COMPUTED_VALUE"""),0.0)</f>
        <v>0</v>
      </c>
      <c r="G844" s="247" t="b">
        <v>0</v>
      </c>
      <c r="H844" s="242" t="str">
        <f t="shared" si="1"/>
        <v/>
      </c>
      <c r="I844" s="243" t="s">
        <v>4050</v>
      </c>
      <c r="J844" s="330" t="str">
        <f t="shared" si="2"/>
        <v>Pick up some crimson roots</v>
      </c>
      <c r="K844" s="331"/>
      <c r="L844" s="332"/>
      <c r="M844" s="331"/>
      <c r="N844" s="331" t="s">
        <v>4051</v>
      </c>
      <c r="O844" s="239" t="s">
        <v>4052</v>
      </c>
      <c r="P844" s="333" t="s">
        <v>4036</v>
      </c>
      <c r="Q844" s="334" t="s">
        <v>4053</v>
      </c>
      <c r="R844" s="333" t="s">
        <v>194</v>
      </c>
      <c r="S844" s="334"/>
    </row>
    <row r="845">
      <c r="A845" s="230">
        <v>845.0</v>
      </c>
      <c r="B845" s="230" t="s">
        <v>188</v>
      </c>
      <c r="C845" s="231"/>
      <c r="D845" s="232"/>
      <c r="E845" s="232">
        <f>IFERROR(__xludf.DUMMYFUNCTION("iferror(SPLIT(D845,""/""),split(""0/0"",""/""))"),0.0)</f>
        <v>0</v>
      </c>
      <c r="F845" s="232">
        <f>IFERROR(__xludf.DUMMYFUNCTION("""COMPUTED_VALUE"""),0.0)</f>
        <v>0</v>
      </c>
      <c r="G845" s="247" t="b">
        <v>0</v>
      </c>
      <c r="H845" s="242" t="str">
        <f t="shared" si="1"/>
        <v/>
      </c>
      <c r="I845" s="243" t="s">
        <v>4054</v>
      </c>
      <c r="J845" s="330" t="str">
        <f t="shared" si="2"/>
        <v>Climb on some Weeping Vines</v>
      </c>
      <c r="K845" s="331"/>
      <c r="L845" s="332"/>
      <c r="M845" s="331"/>
      <c r="N845" s="331" t="s">
        <v>4055</v>
      </c>
      <c r="O845" s="239" t="s">
        <v>4056</v>
      </c>
      <c r="P845" s="333" t="s">
        <v>4036</v>
      </c>
      <c r="Q845" s="334" t="s">
        <v>4057</v>
      </c>
      <c r="R845" s="333" t="s">
        <v>194</v>
      </c>
      <c r="S845" s="334"/>
    </row>
    <row r="846">
      <c r="A846" s="230">
        <v>846.0</v>
      </c>
      <c r="B846" s="230" t="s">
        <v>188</v>
      </c>
      <c r="C846" s="231"/>
      <c r="D846" s="232"/>
      <c r="E846" s="232">
        <f>IFERROR(__xludf.DUMMYFUNCTION("iferror(SPLIT(D846,""/""),split(""0/0"",""/""))"),0.0)</f>
        <v>0</v>
      </c>
      <c r="F846" s="232">
        <f>IFERROR(__xludf.DUMMYFUNCTION("""COMPUTED_VALUE"""),0.0)</f>
        <v>0</v>
      </c>
      <c r="G846" s="247" t="b">
        <v>0</v>
      </c>
      <c r="H846" s="242" t="str">
        <f t="shared" si="1"/>
        <v/>
      </c>
      <c r="I846" s="243" t="s">
        <v>4058</v>
      </c>
      <c r="J846" s="330" t="str">
        <f t="shared" si="2"/>
        <v>Climb on some Twisted Vines</v>
      </c>
      <c r="K846" s="331"/>
      <c r="L846" s="332"/>
      <c r="M846" s="331"/>
      <c r="N846" s="331" t="s">
        <v>4059</v>
      </c>
      <c r="O846" s="239" t="s">
        <v>4060</v>
      </c>
      <c r="P846" s="333" t="s">
        <v>4036</v>
      </c>
      <c r="Q846" s="334" t="s">
        <v>4061</v>
      </c>
      <c r="R846" s="333" t="s">
        <v>194</v>
      </c>
      <c r="S846" s="334"/>
    </row>
    <row r="847">
      <c r="A847" s="230">
        <v>847.0</v>
      </c>
      <c r="B847" s="230" t="s">
        <v>188</v>
      </c>
      <c r="C847" s="231"/>
      <c r="D847" s="232"/>
      <c r="E847" s="232">
        <f>IFERROR(__xludf.DUMMYFUNCTION("iferror(SPLIT(D847,""/""),split(""0/0"",""/""))"),0.0)</f>
        <v>0</v>
      </c>
      <c r="F847" s="232">
        <f>IFERROR(__xludf.DUMMYFUNCTION("""COMPUTED_VALUE"""),0.0)</f>
        <v>0</v>
      </c>
      <c r="G847" s="247" t="b">
        <v>0</v>
      </c>
      <c r="H847" s="242" t="str">
        <f t="shared" si="1"/>
        <v/>
      </c>
      <c r="I847" s="246" t="s">
        <v>4062</v>
      </c>
      <c r="J847" s="330" t="str">
        <f t="shared" si="2"/>
        <v>Craft every item made out of crimson wood (See requirement notes below)</v>
      </c>
      <c r="K847" s="331" t="s">
        <v>4063</v>
      </c>
      <c r="L847" s="332"/>
      <c r="M847" s="335" t="s">
        <v>238</v>
      </c>
      <c r="N847" s="331" t="s">
        <v>4064</v>
      </c>
      <c r="O847" s="239" t="s">
        <v>4065</v>
      </c>
      <c r="P847" s="333" t="s">
        <v>4036</v>
      </c>
      <c r="Q847" s="334" t="s">
        <v>4066</v>
      </c>
      <c r="R847" s="333" t="s">
        <v>194</v>
      </c>
      <c r="S847" s="334"/>
    </row>
    <row r="848">
      <c r="A848" s="230">
        <v>848.0</v>
      </c>
      <c r="B848" s="230" t="s">
        <v>188</v>
      </c>
      <c r="C848" s="231"/>
      <c r="D848" s="232"/>
      <c r="E848" s="232">
        <f>IFERROR(__xludf.DUMMYFUNCTION("iferror(SPLIT(D848,""/""),split(""0/0"",""/""))"),0.0)</f>
        <v>0</v>
      </c>
      <c r="F848" s="232">
        <f>IFERROR(__xludf.DUMMYFUNCTION("""COMPUTED_VALUE"""),0.0)</f>
        <v>0</v>
      </c>
      <c r="G848" s="247" t="b">
        <v>0</v>
      </c>
      <c r="H848" s="242" t="str">
        <f t="shared" si="1"/>
        <v/>
      </c>
      <c r="I848" s="246" t="s">
        <v>4067</v>
      </c>
      <c r="J848" s="330" t="str">
        <f t="shared" si="2"/>
        <v>Craft every item made out of warped wood (See requirement notes below)</v>
      </c>
      <c r="K848" s="331" t="s">
        <v>4068</v>
      </c>
      <c r="L848" s="332"/>
      <c r="M848" s="335" t="s">
        <v>238</v>
      </c>
      <c r="N848" s="331" t="s">
        <v>4069</v>
      </c>
      <c r="O848" s="239" t="s">
        <v>4070</v>
      </c>
      <c r="P848" s="333" t="s">
        <v>4036</v>
      </c>
      <c r="Q848" s="334" t="s">
        <v>4071</v>
      </c>
      <c r="R848" s="333" t="s">
        <v>194</v>
      </c>
      <c r="S848" s="334"/>
    </row>
    <row r="849">
      <c r="A849" s="230">
        <v>849.0</v>
      </c>
      <c r="B849" s="230" t="s">
        <v>188</v>
      </c>
      <c r="C849" s="231"/>
      <c r="D849" s="232"/>
      <c r="E849" s="232">
        <f>IFERROR(__xludf.DUMMYFUNCTION("iferror(SPLIT(D849,""/""),split(""0/0"",""/""))"),0.0)</f>
        <v>0</v>
      </c>
      <c r="F849" s="232">
        <f>IFERROR(__xludf.DUMMYFUNCTION("""COMPUTED_VALUE"""),0.0)</f>
        <v>0</v>
      </c>
      <c r="G849" s="247" t="b">
        <v>0</v>
      </c>
      <c r="H849" s="242" t="str">
        <f t="shared" si="1"/>
        <v/>
      </c>
      <c r="I849" s="246" t="s">
        <v>4072</v>
      </c>
      <c r="J849" s="330" t="str">
        <f t="shared" si="2"/>
        <v>Explore every Nether biome (See requirement notes below)</v>
      </c>
      <c r="K849" s="331"/>
      <c r="L849" s="332"/>
      <c r="M849" s="335" t="s">
        <v>238</v>
      </c>
      <c r="N849" s="331" t="s">
        <v>4073</v>
      </c>
      <c r="O849" s="239" t="s">
        <v>4074</v>
      </c>
      <c r="P849" s="333" t="s">
        <v>4036</v>
      </c>
      <c r="Q849" s="334" t="s">
        <v>4075</v>
      </c>
      <c r="R849" s="333" t="s">
        <v>194</v>
      </c>
      <c r="S849" s="334"/>
    </row>
    <row r="850">
      <c r="A850" s="230">
        <v>850.0</v>
      </c>
      <c r="B850" s="230" t="s">
        <v>188</v>
      </c>
      <c r="C850" s="231"/>
      <c r="D850" s="232"/>
      <c r="E850" s="232">
        <f>IFERROR(__xludf.DUMMYFUNCTION("iferror(SPLIT(D850,""/""),split(""0/0"",""/""))"),0.0)</f>
        <v>0</v>
      </c>
      <c r="F850" s="232">
        <f>IFERROR(__xludf.DUMMYFUNCTION("""COMPUTED_VALUE"""),0.0)</f>
        <v>0</v>
      </c>
      <c r="G850" s="247" t="b">
        <v>0</v>
      </c>
      <c r="H850" s="242" t="str">
        <f t="shared" si="1"/>
        <v/>
      </c>
      <c r="I850" s="246" t="s">
        <v>4076</v>
      </c>
      <c r="J850" s="330" t="str">
        <f t="shared" si="2"/>
        <v>Gather a stack of every Nether plant (See requirement notes below)</v>
      </c>
      <c r="K850" s="331" t="s">
        <v>4077</v>
      </c>
      <c r="L850" s="332"/>
      <c r="M850" s="335" t="s">
        <v>238</v>
      </c>
      <c r="N850" s="331" t="s">
        <v>4078</v>
      </c>
      <c r="O850" s="239" t="s">
        <v>4079</v>
      </c>
      <c r="P850" s="333" t="s">
        <v>4036</v>
      </c>
      <c r="Q850" s="334" t="s">
        <v>4080</v>
      </c>
      <c r="R850" s="333" t="s">
        <v>194</v>
      </c>
      <c r="S850" s="334"/>
    </row>
    <row r="851">
      <c r="A851" s="230">
        <v>851.0</v>
      </c>
      <c r="B851" s="230" t="s">
        <v>283</v>
      </c>
      <c r="C851" s="231"/>
      <c r="D851" s="232"/>
      <c r="E851" s="232">
        <f>IFERROR(__xludf.DUMMYFUNCTION("iferror(SPLIT(D851,""/""),split(""0/0"",""/""))"),0.0)</f>
        <v>0</v>
      </c>
      <c r="F851" s="232">
        <f>IFERROR(__xludf.DUMMYFUNCTION("""COMPUTED_VALUE"""),0.0)</f>
        <v>0</v>
      </c>
      <c r="G851" s="247" t="b">
        <v>0</v>
      </c>
      <c r="H851" s="242" t="str">
        <f t="shared" si="1"/>
        <v/>
      </c>
      <c r="I851" s="249" t="s">
        <v>4081</v>
      </c>
      <c r="J851" s="330" t="str">
        <f t="shared" si="2"/>
        <v>Place one of every Nether block in the Overworld (See requirement notes below)</v>
      </c>
      <c r="K851" s="331" t="s">
        <v>4082</v>
      </c>
      <c r="L851" s="332"/>
      <c r="M851" s="335" t="s">
        <v>238</v>
      </c>
      <c r="N851" s="331" t="s">
        <v>4083</v>
      </c>
      <c r="O851" s="239" t="s">
        <v>4084</v>
      </c>
      <c r="P851" s="333" t="s">
        <v>4036</v>
      </c>
      <c r="Q851" s="334" t="s">
        <v>4085</v>
      </c>
      <c r="R851" s="333" t="s">
        <v>194</v>
      </c>
      <c r="S851" s="334" t="s">
        <v>290</v>
      </c>
    </row>
    <row r="852">
      <c r="A852" s="230">
        <v>852.0</v>
      </c>
      <c r="B852" s="230" t="s">
        <v>283</v>
      </c>
      <c r="C852" s="231"/>
      <c r="D852" s="232"/>
      <c r="E852" s="232">
        <f>IFERROR(__xludf.DUMMYFUNCTION("iferror(SPLIT(D852,""/""),split(""0/0"",""/""))"),0.0)</f>
        <v>0</v>
      </c>
      <c r="F852" s="232">
        <f>IFERROR(__xludf.DUMMYFUNCTION("""COMPUTED_VALUE"""),0.0)</f>
        <v>0</v>
      </c>
      <c r="G852" s="247" t="b">
        <v>0</v>
      </c>
      <c r="H852" s="242" t="str">
        <f t="shared" si="1"/>
        <v/>
      </c>
      <c r="I852" s="249" t="s">
        <v>4086</v>
      </c>
      <c r="J852" s="330" t="str">
        <f t="shared" si="2"/>
        <v>Place one of every Nether block in The End (See requirement notes below)</v>
      </c>
      <c r="K852" s="331" t="s">
        <v>4082</v>
      </c>
      <c r="L852" s="332"/>
      <c r="M852" s="335" t="s">
        <v>238</v>
      </c>
      <c r="N852" s="331" t="s">
        <v>4087</v>
      </c>
      <c r="O852" s="239" t="s">
        <v>736</v>
      </c>
      <c r="P852" s="333" t="s">
        <v>4036</v>
      </c>
      <c r="Q852" s="334" t="s">
        <v>4088</v>
      </c>
      <c r="R852" s="333" t="s">
        <v>194</v>
      </c>
      <c r="S852" s="334" t="s">
        <v>290</v>
      </c>
    </row>
    <row r="853">
      <c r="A853" s="230">
        <v>853.0</v>
      </c>
      <c r="B853" s="230" t="s">
        <v>188</v>
      </c>
      <c r="C853" s="231"/>
      <c r="D853" s="232"/>
      <c r="E853" s="232">
        <f>IFERROR(__xludf.DUMMYFUNCTION("iferror(SPLIT(D853,""/""),split(""0/0"",""/""))"),0.0)</f>
        <v>0</v>
      </c>
      <c r="F853" s="232">
        <f>IFERROR(__xludf.DUMMYFUNCTION("""COMPUTED_VALUE"""),0.0)</f>
        <v>0</v>
      </c>
      <c r="G853" s="247" t="b">
        <v>0</v>
      </c>
      <c r="H853" s="242" t="str">
        <f t="shared" si="1"/>
        <v/>
      </c>
      <c r="I853" s="243" t="s">
        <v>4089</v>
      </c>
      <c r="J853" s="330" t="str">
        <f t="shared" si="2"/>
        <v>Hunt a Hoglin for food</v>
      </c>
      <c r="K853" s="331" t="s">
        <v>1607</v>
      </c>
      <c r="L853" s="332"/>
      <c r="M853" s="331"/>
      <c r="N853" s="331" t="s">
        <v>4090</v>
      </c>
      <c r="O853" s="239" t="s">
        <v>1592</v>
      </c>
      <c r="P853" s="333" t="s">
        <v>4036</v>
      </c>
      <c r="Q853" s="334" t="s">
        <v>4091</v>
      </c>
      <c r="R853" s="333" t="s">
        <v>194</v>
      </c>
      <c r="S853" s="334"/>
    </row>
    <row r="854">
      <c r="A854" s="230">
        <v>854.0</v>
      </c>
      <c r="B854" s="230" t="s">
        <v>188</v>
      </c>
      <c r="C854" s="231"/>
      <c r="D854" s="232"/>
      <c r="E854" s="232">
        <f>IFERROR(__xludf.DUMMYFUNCTION("iferror(SPLIT(D854,""/""),split(""0/0"",""/""))"),0.0)</f>
        <v>0</v>
      </c>
      <c r="F854" s="232">
        <f>IFERROR(__xludf.DUMMYFUNCTION("""COMPUTED_VALUE"""),0.0)</f>
        <v>0</v>
      </c>
      <c r="G854" s="247" t="b">
        <v>0</v>
      </c>
      <c r="H854" s="242" t="str">
        <f t="shared" si="1"/>
        <v/>
      </c>
      <c r="I854" s="243" t="s">
        <v>4092</v>
      </c>
      <c r="J854" s="330" t="str">
        <f t="shared" si="2"/>
        <v>Breed a baby Hoglin using Crimson Fungi</v>
      </c>
      <c r="K854" s="331" t="s">
        <v>4093</v>
      </c>
      <c r="L854" s="332"/>
      <c r="M854" s="331"/>
      <c r="N854" s="331" t="s">
        <v>4094</v>
      </c>
      <c r="O854" s="239" t="s">
        <v>4095</v>
      </c>
      <c r="P854" s="333" t="s">
        <v>4036</v>
      </c>
      <c r="Q854" s="334" t="s">
        <v>4096</v>
      </c>
      <c r="R854" s="333" t="s">
        <v>194</v>
      </c>
      <c r="S854" s="334"/>
    </row>
    <row r="855">
      <c r="A855" s="230">
        <v>855.0</v>
      </c>
      <c r="B855" s="230" t="s">
        <v>188</v>
      </c>
      <c r="C855" s="231"/>
      <c r="D855" s="232"/>
      <c r="E855" s="232">
        <f>IFERROR(__xludf.DUMMYFUNCTION("iferror(SPLIT(D855,""/""),split(""0/0"",""/""))"),0.0)</f>
        <v>0</v>
      </c>
      <c r="F855" s="232">
        <f>IFERROR(__xludf.DUMMYFUNCTION("""COMPUTED_VALUE"""),0.0)</f>
        <v>0</v>
      </c>
      <c r="G855" s="247" t="b">
        <v>0</v>
      </c>
      <c r="H855" s="242" t="str">
        <f t="shared" si="1"/>
        <v/>
      </c>
      <c r="I855" s="243" t="s">
        <v>4097</v>
      </c>
      <c r="J855" s="330" t="str">
        <f t="shared" si="2"/>
        <v>Get mauled by a Hoglin</v>
      </c>
      <c r="K855" s="331"/>
      <c r="L855" s="332"/>
      <c r="M855" s="331"/>
      <c r="N855" s="331" t="s">
        <v>4098</v>
      </c>
      <c r="O855" s="239" t="s">
        <v>1678</v>
      </c>
      <c r="P855" s="333" t="s">
        <v>4036</v>
      </c>
      <c r="Q855" s="334" t="s">
        <v>4099</v>
      </c>
      <c r="R855" s="333" t="s">
        <v>194</v>
      </c>
      <c r="S855" s="334"/>
    </row>
    <row r="856">
      <c r="A856" s="230">
        <v>856.0</v>
      </c>
      <c r="B856" s="230" t="s">
        <v>257</v>
      </c>
      <c r="C856" s="231"/>
      <c r="D856" s="232"/>
      <c r="E856" s="232">
        <f>IFERROR(__xludf.DUMMYFUNCTION("iferror(SPLIT(D856,""/""),split(""0/0"",""/""))"),0.0)</f>
        <v>0</v>
      </c>
      <c r="F856" s="232">
        <f>IFERROR(__xludf.DUMMYFUNCTION("""COMPUTED_VALUE"""),0.0)</f>
        <v>0</v>
      </c>
      <c r="G856" s="247" t="b">
        <v>0</v>
      </c>
      <c r="H856" s="242" t="str">
        <f t="shared" si="1"/>
        <v/>
      </c>
      <c r="I856" s="246" t="s">
        <v>4100</v>
      </c>
      <c r="J856" s="330" t="str">
        <f t="shared" si="2"/>
        <v>Punch a baby Hoglin that is being ridden by a baby Piglin</v>
      </c>
      <c r="K856" s="331" t="s">
        <v>2797</v>
      </c>
      <c r="L856" s="332"/>
      <c r="M856" s="331"/>
      <c r="N856" s="331" t="s">
        <v>4101</v>
      </c>
      <c r="O856" s="239" t="s">
        <v>4102</v>
      </c>
      <c r="P856" s="333" t="s">
        <v>4036</v>
      </c>
      <c r="Q856" s="334" t="s">
        <v>4103</v>
      </c>
      <c r="R856" s="333" t="s">
        <v>194</v>
      </c>
      <c r="S856" s="333" t="s">
        <v>4104</v>
      </c>
    </row>
    <row r="857">
      <c r="A857" s="230">
        <v>857.0</v>
      </c>
      <c r="B857" s="230" t="s">
        <v>188</v>
      </c>
      <c r="C857" s="231"/>
      <c r="D857" s="232"/>
      <c r="E857" s="232">
        <f>IFERROR(__xludf.DUMMYFUNCTION("iferror(SPLIT(D857,""/""),split(""0/0"",""/""))"),0.0)</f>
        <v>0</v>
      </c>
      <c r="F857" s="232">
        <f>IFERROR(__xludf.DUMMYFUNCTION("""COMPUTED_VALUE"""),0.0)</f>
        <v>0</v>
      </c>
      <c r="G857" s="233" t="b">
        <v>0</v>
      </c>
      <c r="H857" s="242" t="str">
        <f t="shared" si="1"/>
        <v/>
      </c>
      <c r="I857" s="276" t="s">
        <v>4105</v>
      </c>
      <c r="J857" s="330" t="str">
        <f t="shared" si="2"/>
        <v>Bring a Hoglin into the Overworld to zombify it, then kill it for zorkchops (Kill a Zoglin)</v>
      </c>
      <c r="K857" s="331"/>
      <c r="L857" s="332"/>
      <c r="M857" s="331" t="s">
        <v>4106</v>
      </c>
      <c r="N857" s="331" t="s">
        <v>4107</v>
      </c>
      <c r="O857" s="239" t="s">
        <v>2029</v>
      </c>
      <c r="P857" s="333" t="s">
        <v>4036</v>
      </c>
      <c r="Q857" s="334" t="s">
        <v>4108</v>
      </c>
      <c r="R857" s="333" t="s">
        <v>194</v>
      </c>
      <c r="S857" s="334"/>
    </row>
    <row r="858">
      <c r="A858" s="230">
        <v>858.0</v>
      </c>
      <c r="B858" s="230" t="s">
        <v>206</v>
      </c>
      <c r="C858" s="231"/>
      <c r="D858" s="232"/>
      <c r="E858" s="232">
        <f>IFERROR(__xludf.DUMMYFUNCTION("iferror(SPLIT(D858,""/""),split(""0/0"",""/""))"),0.0)</f>
        <v>0</v>
      </c>
      <c r="F858" s="232">
        <f>IFERROR(__xludf.DUMMYFUNCTION("""COMPUTED_VALUE"""),0.0)</f>
        <v>0</v>
      </c>
      <c r="G858" s="247" t="b">
        <v>0</v>
      </c>
      <c r="H858" s="242" t="str">
        <f t="shared" si="1"/>
        <v/>
      </c>
      <c r="I858" s="243" t="s">
        <v>4109</v>
      </c>
      <c r="J858" s="330" t="str">
        <f t="shared" si="2"/>
        <v>Distract Piglins with gold (Drop any golden item (in the piglin_loved tag) and have an adult Piglin pick it up. The player cannot be wearing any golden armor while doing this)</v>
      </c>
      <c r="K858" s="331" t="s">
        <v>2797</v>
      </c>
      <c r="L858" s="332"/>
      <c r="M858" s="331" t="s">
        <v>4110</v>
      </c>
      <c r="N858" s="331" t="s">
        <v>4111</v>
      </c>
      <c r="O858" s="239" t="s">
        <v>557</v>
      </c>
      <c r="P858" s="333" t="s">
        <v>4036</v>
      </c>
      <c r="Q858" s="334" t="s">
        <v>4112</v>
      </c>
      <c r="R858" s="333" t="s">
        <v>194</v>
      </c>
      <c r="S858" s="334"/>
    </row>
    <row r="859">
      <c r="A859" s="230">
        <v>859.0</v>
      </c>
      <c r="B859" s="230" t="s">
        <v>188</v>
      </c>
      <c r="C859" s="231"/>
      <c r="D859" s="232"/>
      <c r="E859" s="232">
        <f>IFERROR(__xludf.DUMMYFUNCTION("iferror(SPLIT(D859,""/""),split(""0/0"",""/""))"),0.0)</f>
        <v>0</v>
      </c>
      <c r="F859" s="232">
        <f>IFERROR(__xludf.DUMMYFUNCTION("""COMPUTED_VALUE"""),0.0)</f>
        <v>0</v>
      </c>
      <c r="G859" s="247" t="b">
        <v>0</v>
      </c>
      <c r="H859" s="242" t="str">
        <f t="shared" si="1"/>
        <v/>
      </c>
      <c r="I859" s="243" t="s">
        <v>4113</v>
      </c>
      <c r="J859" s="330" t="str">
        <f t="shared" si="2"/>
        <v>Slay a Piglin in battle... or an accidental incursion (Kill a Piglin or a Piglin Brute)</v>
      </c>
      <c r="K859" s="331"/>
      <c r="L859" s="332"/>
      <c r="M859" s="331" t="s">
        <v>4114</v>
      </c>
      <c r="N859" s="331" t="s">
        <v>4115</v>
      </c>
      <c r="O859" s="239" t="s">
        <v>4116</v>
      </c>
      <c r="P859" s="333" t="s">
        <v>4036</v>
      </c>
      <c r="Q859" s="334" t="s">
        <v>4117</v>
      </c>
      <c r="R859" s="333" t="s">
        <v>194</v>
      </c>
      <c r="S859" s="334"/>
    </row>
    <row r="860">
      <c r="A860" s="230">
        <v>860.0</v>
      </c>
      <c r="B860" s="230" t="s">
        <v>188</v>
      </c>
      <c r="C860" s="231"/>
      <c r="D860" s="232"/>
      <c r="E860" s="232">
        <f>IFERROR(__xludf.DUMMYFUNCTION("iferror(SPLIT(D860,""/""),split(""0/0"",""/""))"),0.0)</f>
        <v>0</v>
      </c>
      <c r="F860" s="232">
        <f>IFERROR(__xludf.DUMMYFUNCTION("""COMPUTED_VALUE"""),0.0)</f>
        <v>0</v>
      </c>
      <c r="G860" s="247" t="b">
        <v>0</v>
      </c>
      <c r="H860" s="242" t="str">
        <f t="shared" si="1"/>
        <v/>
      </c>
      <c r="I860" s="246" t="s">
        <v>4118</v>
      </c>
      <c r="J860" s="330" t="str">
        <f t="shared" si="2"/>
        <v>Bring a Piglin into the Overworld then spare it from an eternity of zombification</v>
      </c>
      <c r="K860" s="331" t="s">
        <v>2797</v>
      </c>
      <c r="L860" s="332"/>
      <c r="M860" s="331"/>
      <c r="N860" s="331" t="s">
        <v>4119</v>
      </c>
      <c r="O860" s="239" t="s">
        <v>4120</v>
      </c>
      <c r="P860" s="333" t="s">
        <v>4036</v>
      </c>
      <c r="Q860" s="334" t="s">
        <v>4121</v>
      </c>
      <c r="R860" s="333" t="s">
        <v>194</v>
      </c>
      <c r="S860" s="334"/>
    </row>
    <row r="861">
      <c r="A861" s="230">
        <v>861.0</v>
      </c>
      <c r="B861" s="230" t="s">
        <v>257</v>
      </c>
      <c r="C861" s="231"/>
      <c r="D861" s="232"/>
      <c r="E861" s="232">
        <f>IFERROR(__xludf.DUMMYFUNCTION("iferror(SPLIT(D861,""/""),split(""0/0"",""/""))"),0.0)</f>
        <v>0</v>
      </c>
      <c r="F861" s="232">
        <f>IFERROR(__xludf.DUMMYFUNCTION("""COMPUTED_VALUE"""),0.0)</f>
        <v>0</v>
      </c>
      <c r="G861" s="247" t="b">
        <v>0</v>
      </c>
      <c r="H861" s="242" t="str">
        <f t="shared" si="1"/>
        <v/>
      </c>
      <c r="I861" s="246" t="s">
        <v>4122</v>
      </c>
      <c r="J861" s="330" t="str">
        <f t="shared" si="2"/>
        <v>Give a piglin elytra then kill it</v>
      </c>
      <c r="K861" s="331" t="s">
        <v>4123</v>
      </c>
      <c r="L861" s="332"/>
      <c r="M861" s="331"/>
      <c r="N861" s="331" t="s">
        <v>4124</v>
      </c>
      <c r="O861" s="239" t="s">
        <v>3947</v>
      </c>
      <c r="P861" s="333" t="s">
        <v>4036</v>
      </c>
      <c r="Q861" s="334" t="s">
        <v>4125</v>
      </c>
      <c r="R861" s="333" t="s">
        <v>194</v>
      </c>
      <c r="S861" s="333" t="s">
        <v>4104</v>
      </c>
    </row>
    <row r="862">
      <c r="A862" s="230">
        <v>862.0</v>
      </c>
      <c r="B862" s="230" t="s">
        <v>206</v>
      </c>
      <c r="C862" s="231"/>
      <c r="D862" s="232"/>
      <c r="E862" s="232">
        <f>IFERROR(__xludf.DUMMYFUNCTION("iferror(SPLIT(D862,""/""),split(""0/0"",""/""))"),0.0)</f>
        <v>0</v>
      </c>
      <c r="F862" s="232">
        <f>IFERROR(__xludf.DUMMYFUNCTION("""COMPUTED_VALUE"""),0.0)</f>
        <v>0</v>
      </c>
      <c r="G862" s="247" t="b">
        <v>0</v>
      </c>
      <c r="H862" s="242" t="str">
        <f t="shared" si="1"/>
        <v/>
      </c>
      <c r="I862" s="249" t="s">
        <v>4126</v>
      </c>
      <c r="J862" s="330" t="str">
        <f t="shared" si="2"/>
        <v>Barter for every possible type of item with Piglins (See requirement notes below)</v>
      </c>
      <c r="K862" s="331" t="s">
        <v>3743</v>
      </c>
      <c r="L862" s="332"/>
      <c r="M862" s="335" t="s">
        <v>238</v>
      </c>
      <c r="N862" s="331" t="s">
        <v>4127</v>
      </c>
      <c r="O862" s="239" t="s">
        <v>2490</v>
      </c>
      <c r="P862" s="333" t="s">
        <v>4036</v>
      </c>
      <c r="Q862" s="334" t="s">
        <v>4128</v>
      </c>
      <c r="R862" s="333" t="s">
        <v>194</v>
      </c>
      <c r="S862" s="334"/>
    </row>
    <row r="863">
      <c r="A863" s="230">
        <v>863.0</v>
      </c>
      <c r="B863" s="230" t="s">
        <v>257</v>
      </c>
      <c r="C863" s="231"/>
      <c r="D863" s="232"/>
      <c r="E863" s="232">
        <f>IFERROR(__xludf.DUMMYFUNCTION("iferror(SPLIT(D863,""/""),split(""0/0"",""/""))"),0.0)</f>
        <v>0</v>
      </c>
      <c r="F863" s="232">
        <f>IFERROR(__xludf.DUMMYFUNCTION("""COMPUTED_VALUE"""),0.0)</f>
        <v>0</v>
      </c>
      <c r="G863" s="247" t="b">
        <v>0</v>
      </c>
      <c r="H863" s="242" t="str">
        <f t="shared" si="1"/>
        <v/>
      </c>
      <c r="I863" s="249" t="s">
        <v>4129</v>
      </c>
      <c r="J863" s="330" t="str">
        <f t="shared" si="2"/>
        <v>Give a total of 500 gold to Piglins during your nether adventures</v>
      </c>
      <c r="K863" s="331" t="s">
        <v>4130</v>
      </c>
      <c r="L863" s="332"/>
      <c r="M863" s="331"/>
      <c r="N863" s="331" t="s">
        <v>4131</v>
      </c>
      <c r="O863" s="239" t="s">
        <v>577</v>
      </c>
      <c r="P863" s="333" t="s">
        <v>4036</v>
      </c>
      <c r="Q863" s="334" t="s">
        <v>4132</v>
      </c>
      <c r="R863" s="333" t="s">
        <v>194</v>
      </c>
      <c r="S863" s="334" t="s">
        <v>4133</v>
      </c>
    </row>
    <row r="864">
      <c r="A864" s="230">
        <v>864.0</v>
      </c>
      <c r="B864" s="230" t="s">
        <v>188</v>
      </c>
      <c r="C864" s="231"/>
      <c r="D864" s="232"/>
      <c r="E864" s="232">
        <f>IFERROR(__xludf.DUMMYFUNCTION("iferror(SPLIT(D864,""/""),split(""0/0"",""/""))"),0.0)</f>
        <v>0</v>
      </c>
      <c r="F864" s="232">
        <f>IFERROR(__xludf.DUMMYFUNCTION("""COMPUTED_VALUE"""),0.0)</f>
        <v>0</v>
      </c>
      <c r="G864" s="247" t="b">
        <v>0</v>
      </c>
      <c r="H864" s="242" t="str">
        <f t="shared" si="1"/>
        <v/>
      </c>
      <c r="I864" s="249" t="s">
        <v>4134</v>
      </c>
      <c r="J864" s="330" t="str">
        <f t="shared" si="2"/>
        <v>Obtain a Piglin Head by blowing up a Piglin with a Charged Creeper (Obtain a Piglin Head)</v>
      </c>
      <c r="K864" s="331"/>
      <c r="L864" s="332"/>
      <c r="M864" s="331" t="s">
        <v>4135</v>
      </c>
      <c r="N864" s="331" t="s">
        <v>4136</v>
      </c>
      <c r="O864" s="239" t="s">
        <v>3542</v>
      </c>
      <c r="P864" s="333" t="s">
        <v>4036</v>
      </c>
      <c r="Q864" s="334" t="s">
        <v>4137</v>
      </c>
      <c r="R864" s="333" t="s">
        <v>194</v>
      </c>
      <c r="S864" s="334"/>
    </row>
    <row r="865">
      <c r="A865" s="230">
        <v>865.0</v>
      </c>
      <c r="B865" s="230" t="s">
        <v>188</v>
      </c>
      <c r="C865" s="231"/>
      <c r="D865" s="232"/>
      <c r="E865" s="232">
        <f>IFERROR(__xludf.DUMMYFUNCTION("iferror(SPLIT(D865,""/""),split(""0/0"",""/""))"),0.0)</f>
        <v>0</v>
      </c>
      <c r="F865" s="232">
        <f>IFERROR(__xludf.DUMMYFUNCTION("""COMPUTED_VALUE"""),0.0)</f>
        <v>0</v>
      </c>
      <c r="G865" s="247" t="b">
        <v>0</v>
      </c>
      <c r="H865" s="242" t="str">
        <f t="shared" si="1"/>
        <v/>
      </c>
      <c r="I865" s="243" t="s">
        <v>4138</v>
      </c>
      <c r="J865" s="330" t="str">
        <f t="shared" si="2"/>
        <v>Fight your way into a Bastion Remnant (Enter a Bastion Remnant)</v>
      </c>
      <c r="K865" s="331"/>
      <c r="L865" s="332"/>
      <c r="M865" s="331" t="s">
        <v>4139</v>
      </c>
      <c r="N865" s="331" t="s">
        <v>4140</v>
      </c>
      <c r="O865" s="239" t="s">
        <v>1252</v>
      </c>
      <c r="P865" s="333" t="s">
        <v>4036</v>
      </c>
      <c r="Q865" s="334" t="s">
        <v>4141</v>
      </c>
      <c r="R865" s="333" t="s">
        <v>194</v>
      </c>
      <c r="S865" s="334"/>
    </row>
    <row r="866">
      <c r="A866" s="230">
        <v>866.0</v>
      </c>
      <c r="B866" s="230" t="s">
        <v>188</v>
      </c>
      <c r="C866" s="231"/>
      <c r="D866" s="232"/>
      <c r="E866" s="232">
        <f>IFERROR(__xludf.DUMMYFUNCTION("iferror(SPLIT(D866,""/""),split(""0/0"",""/""))"),0.0)</f>
        <v>0</v>
      </c>
      <c r="F866" s="232">
        <f>IFERROR(__xludf.DUMMYFUNCTION("""COMPUTED_VALUE"""),0.0)</f>
        <v>0</v>
      </c>
      <c r="G866" s="247" t="b">
        <v>0</v>
      </c>
      <c r="H866" s="242" t="str">
        <f t="shared" si="1"/>
        <v/>
      </c>
      <c r="I866" s="243" t="s">
        <v>4142</v>
      </c>
      <c r="J866" s="330" t="str">
        <f t="shared" si="2"/>
        <v>Defeat a Piglin Brute in a Bastion Remnant</v>
      </c>
      <c r="K866" s="331" t="s">
        <v>554</v>
      </c>
      <c r="L866" s="332"/>
      <c r="M866" s="331"/>
      <c r="N866" s="331" t="s">
        <v>4143</v>
      </c>
      <c r="O866" s="239" t="s">
        <v>4144</v>
      </c>
      <c r="P866" s="333" t="s">
        <v>4036</v>
      </c>
      <c r="Q866" s="334" t="s">
        <v>4145</v>
      </c>
      <c r="R866" s="333" t="s">
        <v>194</v>
      </c>
      <c r="S866" s="334"/>
    </row>
    <row r="867">
      <c r="A867" s="230">
        <v>867.0</v>
      </c>
      <c r="B867" s="230" t="s">
        <v>188</v>
      </c>
      <c r="C867" s="231"/>
      <c r="D867" s="232"/>
      <c r="E867" s="232">
        <f>IFERROR(__xludf.DUMMYFUNCTION("iferror(SPLIT(D867,""/""),split(""0/0"",""/""))"),0.0)</f>
        <v>0</v>
      </c>
      <c r="F867" s="232">
        <f>IFERROR(__xludf.DUMMYFUNCTION("""COMPUTED_VALUE"""),0.0)</f>
        <v>0</v>
      </c>
      <c r="G867" s="247" t="b">
        <v>0</v>
      </c>
      <c r="H867" s="242" t="str">
        <f t="shared" si="1"/>
        <v/>
      </c>
      <c r="I867" s="243" t="s">
        <v>4146</v>
      </c>
      <c r="J867" s="330" t="str">
        <f t="shared" si="2"/>
        <v>Get murdered by Piglin Brutes</v>
      </c>
      <c r="K867" s="331"/>
      <c r="L867" s="332"/>
      <c r="M867" s="331"/>
      <c r="N867" s="331" t="s">
        <v>4147</v>
      </c>
      <c r="O867" s="239" t="s">
        <v>1247</v>
      </c>
      <c r="P867" s="333" t="s">
        <v>4036</v>
      </c>
      <c r="Q867" s="334" t="s">
        <v>4148</v>
      </c>
      <c r="R867" s="333" t="s">
        <v>194</v>
      </c>
      <c r="S867" s="334"/>
    </row>
    <row r="868">
      <c r="A868" s="230">
        <v>868.0</v>
      </c>
      <c r="B868" s="230" t="s">
        <v>188</v>
      </c>
      <c r="C868" s="231"/>
      <c r="D868" s="232"/>
      <c r="E868" s="232">
        <f>IFERROR(__xludf.DUMMYFUNCTION("iferror(SPLIT(D868,""/""),split(""0/0"",""/""))"),0.0)</f>
        <v>0</v>
      </c>
      <c r="F868" s="232">
        <f>IFERROR(__xludf.DUMMYFUNCTION("""COMPUTED_VALUE"""),0.0)</f>
        <v>0</v>
      </c>
      <c r="G868" s="247" t="b">
        <v>0</v>
      </c>
      <c r="H868" s="242" t="str">
        <f t="shared" si="1"/>
        <v/>
      </c>
      <c r="I868" s="249" t="s">
        <v>4149</v>
      </c>
      <c r="J868" s="330" t="str">
        <f t="shared" si="2"/>
        <v>Send a Piglin Brute to the End and kill it there before it zombifies (Kill a Piglin Brute in the End)</v>
      </c>
      <c r="K868" s="331" t="s">
        <v>3743</v>
      </c>
      <c r="L868" s="332"/>
      <c r="M868" s="331" t="s">
        <v>4150</v>
      </c>
      <c r="N868" s="331" t="s">
        <v>4151</v>
      </c>
      <c r="O868" s="239" t="s">
        <v>1117</v>
      </c>
      <c r="P868" s="333" t="s">
        <v>4036</v>
      </c>
      <c r="Q868" s="334" t="s">
        <v>4152</v>
      </c>
      <c r="R868" s="333" t="s">
        <v>194</v>
      </c>
      <c r="S868" s="334"/>
    </row>
    <row r="869">
      <c r="A869" s="230">
        <v>869.0</v>
      </c>
      <c r="B869" s="230" t="s">
        <v>188</v>
      </c>
      <c r="C869" s="231"/>
      <c r="D869" s="232"/>
      <c r="E869" s="232">
        <f>IFERROR(__xludf.DUMMYFUNCTION("iferror(SPLIT(D869,""/""),split(""0/0"",""/""))"),0.0)</f>
        <v>0</v>
      </c>
      <c r="F869" s="232">
        <f>IFERROR(__xludf.DUMMYFUNCTION("""COMPUTED_VALUE"""),0.0)</f>
        <v>0</v>
      </c>
      <c r="G869" s="247" t="b">
        <v>0</v>
      </c>
      <c r="H869" s="242" t="str">
        <f t="shared" si="1"/>
        <v/>
      </c>
      <c r="I869" s="243" t="s">
        <v>4153</v>
      </c>
      <c r="J869" s="330" t="str">
        <f t="shared" si="2"/>
        <v>Loot a chest in a Bastion Remnant (Open any Bastion Remnant chest for the first time)</v>
      </c>
      <c r="K869" s="331" t="s">
        <v>2797</v>
      </c>
      <c r="L869" s="332"/>
      <c r="M869" s="331" t="s">
        <v>4154</v>
      </c>
      <c r="N869" s="331" t="s">
        <v>4155</v>
      </c>
      <c r="O869" s="239" t="s">
        <v>832</v>
      </c>
      <c r="P869" s="333" t="s">
        <v>4036</v>
      </c>
      <c r="Q869" s="334" t="s">
        <v>4156</v>
      </c>
      <c r="R869" s="333" t="s">
        <v>194</v>
      </c>
      <c r="S869" s="334"/>
    </row>
    <row r="870">
      <c r="A870" s="230">
        <v>870.0</v>
      </c>
      <c r="B870" s="230" t="s">
        <v>188</v>
      </c>
      <c r="C870" s="231"/>
      <c r="D870" s="232"/>
      <c r="E870" s="232">
        <f>IFERROR(__xludf.DUMMYFUNCTION("iferror(SPLIT(D870,""/""),split(""0/0"",""/""))"),0.0)</f>
        <v>0</v>
      </c>
      <c r="F870" s="232">
        <f>IFERROR(__xludf.DUMMYFUNCTION("""COMPUTED_VALUE"""),0.0)</f>
        <v>0</v>
      </c>
      <c r="G870" s="247" t="b">
        <v>0</v>
      </c>
      <c r="H870" s="242" t="str">
        <f t="shared" si="1"/>
        <v/>
      </c>
      <c r="I870" s="243" t="s">
        <v>4157</v>
      </c>
      <c r="J870" s="330" t="str">
        <f t="shared" si="2"/>
        <v>Mine some Gilded Blackstone from a Bastion Remnant (Obtain Gilded Blackstone)</v>
      </c>
      <c r="K870" s="331" t="s">
        <v>4158</v>
      </c>
      <c r="L870" s="332"/>
      <c r="M870" s="331" t="s">
        <v>4159</v>
      </c>
      <c r="N870" s="331" t="s">
        <v>4160</v>
      </c>
      <c r="O870" s="239" t="s">
        <v>4161</v>
      </c>
      <c r="P870" s="333" t="s">
        <v>4036</v>
      </c>
      <c r="Q870" s="334" t="s">
        <v>4162</v>
      </c>
      <c r="R870" s="333" t="s">
        <v>194</v>
      </c>
      <c r="S870" s="334"/>
    </row>
    <row r="871">
      <c r="A871" s="230">
        <v>871.0</v>
      </c>
      <c r="B871" s="230" t="s">
        <v>188</v>
      </c>
      <c r="C871" s="231"/>
      <c r="D871" s="232"/>
      <c r="E871" s="232">
        <f>IFERROR(__xludf.DUMMYFUNCTION("iferror(SPLIT(D871,""/""),split(""0/0"",""/""))"),0.0)</f>
        <v>0</v>
      </c>
      <c r="F871" s="232">
        <f>IFERROR(__xludf.DUMMYFUNCTION("""COMPUTED_VALUE"""),0.0)</f>
        <v>0</v>
      </c>
      <c r="G871" s="247" t="b">
        <v>0</v>
      </c>
      <c r="H871" s="242" t="str">
        <f t="shared" si="1"/>
        <v/>
      </c>
      <c r="I871" s="246" t="s">
        <v>4163</v>
      </c>
      <c r="J871" s="330" t="str">
        <f t="shared" si="2"/>
        <v>Mine a stack of Gilded Blackstone from Bastion Remnants (Obtain 64 Gilded Blackstone)</v>
      </c>
      <c r="K871" s="331" t="s">
        <v>4164</v>
      </c>
      <c r="L871" s="332"/>
      <c r="M871" s="331" t="s">
        <v>4165</v>
      </c>
      <c r="N871" s="331" t="s">
        <v>4166</v>
      </c>
      <c r="O871" s="239" t="s">
        <v>4167</v>
      </c>
      <c r="P871" s="333" t="s">
        <v>4036</v>
      </c>
      <c r="Q871" s="334" t="s">
        <v>4168</v>
      </c>
      <c r="R871" s="333" t="s">
        <v>194</v>
      </c>
      <c r="S871" s="334"/>
    </row>
    <row r="872">
      <c r="A872" s="230">
        <v>872.0</v>
      </c>
      <c r="B872" s="230" t="s">
        <v>188</v>
      </c>
      <c r="C872" s="231"/>
      <c r="D872" s="232"/>
      <c r="E872" s="232">
        <f>IFERROR(__xludf.DUMMYFUNCTION("iferror(SPLIT(D872,""/""),split(""0/0"",""/""))"),0.0)</f>
        <v>0</v>
      </c>
      <c r="F872" s="232">
        <f>IFERROR(__xludf.DUMMYFUNCTION("""COMPUTED_VALUE"""),0.0)</f>
        <v>0</v>
      </c>
      <c r="G872" s="247" t="b">
        <v>0</v>
      </c>
      <c r="H872" s="242" t="str">
        <f t="shared" si="1"/>
        <v/>
      </c>
      <c r="I872" s="246" t="s">
        <v>4169</v>
      </c>
      <c r="J872" s="330" t="str">
        <f t="shared" si="2"/>
        <v>Find a Netherite Upgrade Smithing Template in a Bastion Remnant (Obtain a Netherite Upgrade Smithing Template)</v>
      </c>
      <c r="K872" s="331" t="s">
        <v>4170</v>
      </c>
      <c r="L872" s="332"/>
      <c r="M872" s="331" t="s">
        <v>4171</v>
      </c>
      <c r="N872" s="331" t="s">
        <v>4172</v>
      </c>
      <c r="O872" s="239" t="s">
        <v>4173</v>
      </c>
      <c r="P872" s="333" t="s">
        <v>4036</v>
      </c>
      <c r="Q872" s="334" t="s">
        <v>4174</v>
      </c>
      <c r="R872" s="333" t="s">
        <v>194</v>
      </c>
      <c r="S872" s="334"/>
    </row>
    <row r="873">
      <c r="A873" s="230">
        <v>873.0</v>
      </c>
      <c r="B873" s="230" t="s">
        <v>188</v>
      </c>
      <c r="C873" s="231"/>
      <c r="D873" s="232"/>
      <c r="E873" s="232">
        <f>IFERROR(__xludf.DUMMYFUNCTION("iferror(SPLIT(D873,""/""),split(""0/0"",""/""))"),0.0)</f>
        <v>0</v>
      </c>
      <c r="F873" s="232">
        <f>IFERROR(__xludf.DUMMYFUNCTION("""COMPUTED_VALUE"""),0.0)</f>
        <v>0</v>
      </c>
      <c r="G873" s="233" t="b">
        <v>0</v>
      </c>
      <c r="H873" s="242" t="str">
        <f t="shared" si="1"/>
        <v/>
      </c>
      <c r="I873" s="276" t="s">
        <v>4175</v>
      </c>
      <c r="J873" s="330" t="str">
        <f t="shared" si="2"/>
        <v>Obtain the Pigstep music disc from a Bastion Remnant</v>
      </c>
      <c r="K873" s="331"/>
      <c r="L873" s="332"/>
      <c r="M873" s="331"/>
      <c r="N873" s="331" t="s">
        <v>4176</v>
      </c>
      <c r="O873" s="239" t="s">
        <v>4177</v>
      </c>
      <c r="P873" s="333" t="s">
        <v>4036</v>
      </c>
      <c r="Q873" s="334" t="s">
        <v>4178</v>
      </c>
      <c r="R873" s="333" t="s">
        <v>194</v>
      </c>
      <c r="S873" s="334"/>
    </row>
    <row r="874">
      <c r="A874" s="230">
        <v>874.0</v>
      </c>
      <c r="B874" s="230" t="s">
        <v>257</v>
      </c>
      <c r="C874" s="231"/>
      <c r="D874" s="232"/>
      <c r="E874" s="232">
        <f>IFERROR(__xludf.DUMMYFUNCTION("iferror(SPLIT(D874,""/""),split(""0/0"",""/""))"),0.0)</f>
        <v>0</v>
      </c>
      <c r="F874" s="232">
        <f>IFERROR(__xludf.DUMMYFUNCTION("""COMPUTED_VALUE"""),0.0)</f>
        <v>0</v>
      </c>
      <c r="G874" s="247" t="b">
        <v>0</v>
      </c>
      <c r="H874" s="242" t="str">
        <f t="shared" si="1"/>
        <v/>
      </c>
      <c r="I874" s="243" t="s">
        <v>4179</v>
      </c>
      <c r="J874" s="330" t="str">
        <f t="shared" si="2"/>
        <v>Reel in a Strider using a Fishing Rod (Hook a Strider with a Fishing Rod then right-click to reel it in)</v>
      </c>
      <c r="K874" s="331"/>
      <c r="L874" s="332"/>
      <c r="M874" s="331" t="s">
        <v>4180</v>
      </c>
      <c r="N874" s="331" t="s">
        <v>4181</v>
      </c>
      <c r="O874" s="239" t="s">
        <v>2096</v>
      </c>
      <c r="P874" s="333" t="s">
        <v>4036</v>
      </c>
      <c r="Q874" s="334" t="s">
        <v>4182</v>
      </c>
      <c r="R874" s="333" t="s">
        <v>194</v>
      </c>
      <c r="S874" s="333" t="s">
        <v>1948</v>
      </c>
    </row>
    <row r="875">
      <c r="A875" s="230">
        <v>875.0</v>
      </c>
      <c r="B875" s="230" t="s">
        <v>188</v>
      </c>
      <c r="C875" s="231"/>
      <c r="D875" s="232"/>
      <c r="E875" s="232">
        <f>IFERROR(__xludf.DUMMYFUNCTION("iferror(SPLIT(D875,""/""),split(""0/0"",""/""))"),0.0)</f>
        <v>0</v>
      </c>
      <c r="F875" s="232">
        <f>IFERROR(__xludf.DUMMYFUNCTION("""COMPUTED_VALUE"""),0.0)</f>
        <v>0</v>
      </c>
      <c r="G875" s="247" t="b">
        <v>0</v>
      </c>
      <c r="H875" s="242" t="str">
        <f t="shared" si="1"/>
        <v/>
      </c>
      <c r="I875" s="243" t="s">
        <v>4183</v>
      </c>
      <c r="J875" s="330" t="str">
        <f t="shared" si="2"/>
        <v>Ride a Strider with a Warped Fungus on a Stick (Obtain a Warped Fungus on a Stick AND ride a strider)</v>
      </c>
      <c r="K875" s="331" t="s">
        <v>4184</v>
      </c>
      <c r="L875" s="332"/>
      <c r="M875" s="331" t="s">
        <v>4185</v>
      </c>
      <c r="N875" s="331" t="s">
        <v>4186</v>
      </c>
      <c r="O875" s="239" t="s">
        <v>3933</v>
      </c>
      <c r="P875" s="333" t="s">
        <v>4036</v>
      </c>
      <c r="Q875" s="334" t="s">
        <v>4187</v>
      </c>
      <c r="R875" s="333" t="s">
        <v>194</v>
      </c>
      <c r="S875" s="334"/>
    </row>
    <row r="876">
      <c r="A876" s="230">
        <v>876.0</v>
      </c>
      <c r="B876" s="230" t="s">
        <v>257</v>
      </c>
      <c r="C876" s="231"/>
      <c r="D876" s="232"/>
      <c r="E876" s="232">
        <f>IFERROR(__xludf.DUMMYFUNCTION("iferror(SPLIT(D876,""/""),split(""0/0"",""/""))"),0.0)</f>
        <v>0</v>
      </c>
      <c r="F876" s="232">
        <f>IFERROR(__xludf.DUMMYFUNCTION("""COMPUTED_VALUE"""),0.0)</f>
        <v>0</v>
      </c>
      <c r="G876" s="247" t="b">
        <v>0</v>
      </c>
      <c r="H876" s="242" t="str">
        <f t="shared" si="1"/>
        <v/>
      </c>
      <c r="I876" s="246" t="s">
        <v>4188</v>
      </c>
      <c r="J876" s="330" t="str">
        <f t="shared" si="2"/>
        <v>Take a Strider for a loooong ride on a lava lake in the Overworld (Ride a Strider at least 50 blocks horizontally away from your starting position, all on lava and in the Overworld)</v>
      </c>
      <c r="K876" s="331" t="s">
        <v>3931</v>
      </c>
      <c r="L876" s="332"/>
      <c r="M876" s="331" t="s">
        <v>4189</v>
      </c>
      <c r="N876" s="331" t="s">
        <v>4190</v>
      </c>
      <c r="O876" s="239" t="s">
        <v>730</v>
      </c>
      <c r="P876" s="333" t="s">
        <v>4036</v>
      </c>
      <c r="Q876" s="334" t="s">
        <v>4191</v>
      </c>
      <c r="R876" s="333" t="s">
        <v>194</v>
      </c>
      <c r="S876" s="334" t="s">
        <v>267</v>
      </c>
    </row>
    <row r="877">
      <c r="A877" s="230">
        <v>877.0</v>
      </c>
      <c r="B877" s="230" t="s">
        <v>188</v>
      </c>
      <c r="C877" s="231"/>
      <c r="D877" s="232"/>
      <c r="E877" s="232">
        <f>IFERROR(__xludf.DUMMYFUNCTION("iferror(SPLIT(D877,""/""),split(""0/0"",""/""))"),0.0)</f>
        <v>0</v>
      </c>
      <c r="F877" s="232">
        <f>IFERROR(__xludf.DUMMYFUNCTION("""COMPUTED_VALUE"""),0.0)</f>
        <v>0</v>
      </c>
      <c r="G877" s="247" t="b">
        <v>0</v>
      </c>
      <c r="H877" s="242" t="str">
        <f t="shared" si="1"/>
        <v/>
      </c>
      <c r="I877" s="243" t="s">
        <v>4192</v>
      </c>
      <c r="J877" s="330" t="str">
        <f t="shared" si="2"/>
        <v>Breed two Striders using Warped Fungus</v>
      </c>
      <c r="K877" s="331" t="s">
        <v>4184</v>
      </c>
      <c r="L877" s="332"/>
      <c r="M877" s="331"/>
      <c r="N877" s="331" t="s">
        <v>4193</v>
      </c>
      <c r="O877" s="239" t="s">
        <v>3937</v>
      </c>
      <c r="P877" s="333" t="s">
        <v>4036</v>
      </c>
      <c r="Q877" s="334" t="s">
        <v>4194</v>
      </c>
      <c r="R877" s="333" t="s">
        <v>194</v>
      </c>
      <c r="S877" s="334"/>
    </row>
    <row r="878">
      <c r="A878" s="230">
        <v>878.0</v>
      </c>
      <c r="B878" s="230" t="s">
        <v>257</v>
      </c>
      <c r="C878" s="231"/>
      <c r="D878" s="232"/>
      <c r="E878" s="232">
        <f>IFERROR(__xludf.DUMMYFUNCTION("iferror(SPLIT(D878,""/""),split(""0/0"",""/""))"),0.0)</f>
        <v>0</v>
      </c>
      <c r="F878" s="232">
        <f>IFERROR(__xludf.DUMMYFUNCTION("""COMPUTED_VALUE"""),0.0)</f>
        <v>0</v>
      </c>
      <c r="G878" s="233" t="b">
        <v>0</v>
      </c>
      <c r="H878" s="242" t="str">
        <f t="shared" si="1"/>
        <v/>
      </c>
      <c r="I878" s="276" t="s">
        <v>4195</v>
      </c>
      <c r="J878" s="330" t="str">
        <f t="shared" si="2"/>
        <v>Kill a Zombified Piglin that is riding a Strider and take its steed (Kill a Zombified Piglin that is riding a Strider AND ride a strider that was formerly ridden by one)</v>
      </c>
      <c r="K878" s="331" t="s">
        <v>4196</v>
      </c>
      <c r="L878" s="332"/>
      <c r="M878" s="331" t="s">
        <v>4197</v>
      </c>
      <c r="N878" s="331" t="s">
        <v>4198</v>
      </c>
      <c r="O878" s="239" t="s">
        <v>1919</v>
      </c>
      <c r="P878" s="333" t="s">
        <v>4036</v>
      </c>
      <c r="Q878" s="334" t="s">
        <v>4199</v>
      </c>
      <c r="R878" s="333" t="s">
        <v>194</v>
      </c>
      <c r="S878" s="333" t="s">
        <v>4104</v>
      </c>
    </row>
    <row r="879">
      <c r="A879" s="230">
        <v>879.0</v>
      </c>
      <c r="B879" s="230" t="s">
        <v>257</v>
      </c>
      <c r="C879" s="231"/>
      <c r="D879" s="232"/>
      <c r="E879" s="232">
        <f>IFERROR(__xludf.DUMMYFUNCTION("iferror(SPLIT(D879,""/""),split(""0/0"",""/""))"),0.0)</f>
        <v>0</v>
      </c>
      <c r="F879" s="232">
        <f>IFERROR(__xludf.DUMMYFUNCTION("""COMPUTED_VALUE"""),0.0)</f>
        <v>0</v>
      </c>
      <c r="G879" s="247" t="b">
        <v>0</v>
      </c>
      <c r="H879" s="242" t="str">
        <f t="shared" si="1"/>
        <v/>
      </c>
      <c r="I879" s="246" t="s">
        <v>4200</v>
      </c>
      <c r="J879" s="330" t="str">
        <f t="shared" si="2"/>
        <v>Ride a Strider riding another Strider riding a boat riding a minecart</v>
      </c>
      <c r="K879" s="331" t="s">
        <v>4201</v>
      </c>
      <c r="L879" s="332"/>
      <c r="M879" s="331"/>
      <c r="N879" s="331" t="s">
        <v>4202</v>
      </c>
      <c r="O879" s="239" t="s">
        <v>4203</v>
      </c>
      <c r="P879" s="333" t="s">
        <v>4036</v>
      </c>
      <c r="Q879" s="334" t="s">
        <v>4204</v>
      </c>
      <c r="R879" s="333" t="s">
        <v>194</v>
      </c>
      <c r="S879" s="333" t="s">
        <v>4104</v>
      </c>
    </row>
    <row r="880">
      <c r="A880" s="230">
        <v>880.0</v>
      </c>
      <c r="B880" s="230" t="s">
        <v>188</v>
      </c>
      <c r="C880" s="231"/>
      <c r="D880" s="232"/>
      <c r="E880" s="232">
        <f>IFERROR(__xludf.DUMMYFUNCTION("iferror(SPLIT(D880,""/""),split(""0/0"",""/""))"),0.0)</f>
        <v>0</v>
      </c>
      <c r="F880" s="232">
        <f>IFERROR(__xludf.DUMMYFUNCTION("""COMPUTED_VALUE"""),0.0)</f>
        <v>0</v>
      </c>
      <c r="G880" s="247" t="b">
        <v>0</v>
      </c>
      <c r="H880" s="242" t="str">
        <f t="shared" si="1"/>
        <v/>
      </c>
      <c r="I880" s="243" t="s">
        <v>4205</v>
      </c>
      <c r="J880" s="330" t="str">
        <f t="shared" si="2"/>
        <v>Find a broken Nether Portal in the Nether (Stand in a Ruined Portal in the Nether)</v>
      </c>
      <c r="K880" s="331"/>
      <c r="L880" s="332"/>
      <c r="M880" s="331" t="s">
        <v>4206</v>
      </c>
      <c r="N880" s="331" t="s">
        <v>4207</v>
      </c>
      <c r="O880" s="239" t="s">
        <v>736</v>
      </c>
      <c r="P880" s="333" t="s">
        <v>4036</v>
      </c>
      <c r="Q880" s="334" t="s">
        <v>4208</v>
      </c>
      <c r="R880" s="333" t="s">
        <v>194</v>
      </c>
      <c r="S880" s="334"/>
    </row>
    <row r="881">
      <c r="A881" s="230">
        <v>881.0</v>
      </c>
      <c r="B881" s="230" t="s">
        <v>206</v>
      </c>
      <c r="C881" s="231"/>
      <c r="D881" s="232"/>
      <c r="E881" s="232">
        <f>IFERROR(__xludf.DUMMYFUNCTION("iferror(SPLIT(D881,""/""),split(""0/0"",""/""))"),0.0)</f>
        <v>0</v>
      </c>
      <c r="F881" s="232">
        <f>IFERROR(__xludf.DUMMYFUNCTION("""COMPUTED_VALUE"""),0.0)</f>
        <v>0</v>
      </c>
      <c r="G881" s="247" t="b">
        <v>0</v>
      </c>
      <c r="H881" s="242" t="str">
        <f t="shared" si="1"/>
        <v/>
      </c>
      <c r="I881" s="246" t="s">
        <v>4209</v>
      </c>
      <c r="J881" s="330" t="str">
        <f t="shared" si="2"/>
        <v>Rebuild and reactivate a Ruined Portal (Stand in a Nether Portal block while within the bounding box of a Ruined Portal structure)</v>
      </c>
      <c r="K881" s="331" t="s">
        <v>4210</v>
      </c>
      <c r="L881" s="332"/>
      <c r="M881" s="331" t="s">
        <v>4211</v>
      </c>
      <c r="N881" s="331" t="s">
        <v>4212</v>
      </c>
      <c r="O881" s="239" t="s">
        <v>277</v>
      </c>
      <c r="P881" s="333" t="s">
        <v>4036</v>
      </c>
      <c r="Q881" s="334" t="s">
        <v>4213</v>
      </c>
      <c r="R881" s="333" t="s">
        <v>194</v>
      </c>
      <c r="S881" s="334"/>
    </row>
    <row r="882">
      <c r="A882" s="230">
        <v>882.0</v>
      </c>
      <c r="B882" s="230" t="s">
        <v>188</v>
      </c>
      <c r="C882" s="231"/>
      <c r="D882" s="232"/>
      <c r="E882" s="232">
        <f>IFERROR(__xludf.DUMMYFUNCTION("iferror(SPLIT(D882,""/""),split(""0/0"",""/""))"),0.0)</f>
        <v>0</v>
      </c>
      <c r="F882" s="232">
        <f>IFERROR(__xludf.DUMMYFUNCTION("""COMPUTED_VALUE"""),0.0)</f>
        <v>0</v>
      </c>
      <c r="G882" s="247" t="b">
        <v>0</v>
      </c>
      <c r="H882" s="242" t="str">
        <f t="shared" si="1"/>
        <v/>
      </c>
      <c r="I882" s="243" t="s">
        <v>4214</v>
      </c>
      <c r="J882" s="330" t="str">
        <f t="shared" si="2"/>
        <v>Obtain Crying Obsidian from a Ruined Portal or bartering with Piglins</v>
      </c>
      <c r="K882" s="331"/>
      <c r="L882" s="332"/>
      <c r="M882" s="331"/>
      <c r="N882" s="331" t="s">
        <v>4215</v>
      </c>
      <c r="O882" s="239" t="s">
        <v>2873</v>
      </c>
      <c r="P882" s="333" t="s">
        <v>4036</v>
      </c>
      <c r="Q882" s="334" t="s">
        <v>4216</v>
      </c>
      <c r="R882" s="333" t="s">
        <v>194</v>
      </c>
      <c r="S882" s="334"/>
    </row>
    <row r="883">
      <c r="A883" s="230">
        <v>883.0</v>
      </c>
      <c r="B883" s="230" t="s">
        <v>188</v>
      </c>
      <c r="C883" s="231"/>
      <c r="D883" s="232"/>
      <c r="E883" s="232">
        <f>IFERROR(__xludf.DUMMYFUNCTION("iferror(SPLIT(D883,""/""),split(""0/0"",""/""))"),0.0)</f>
        <v>0</v>
      </c>
      <c r="F883" s="232">
        <f>IFERROR(__xludf.DUMMYFUNCTION("""COMPUTED_VALUE"""),0.0)</f>
        <v>0</v>
      </c>
      <c r="G883" s="247" t="b">
        <v>0</v>
      </c>
      <c r="H883" s="242" t="str">
        <f t="shared" si="1"/>
        <v/>
      </c>
      <c r="I883" s="243" t="s">
        <v>4217</v>
      </c>
      <c r="J883" s="330" t="str">
        <f t="shared" si="2"/>
        <v>Craft a Respawn Anchor using Crying Obsidian and Glowstone then place it down (Place a Respawn Anchor)</v>
      </c>
      <c r="K883" s="331" t="s">
        <v>4218</v>
      </c>
      <c r="L883" s="332"/>
      <c r="M883" s="331" t="s">
        <v>4219</v>
      </c>
      <c r="N883" s="331" t="s">
        <v>4220</v>
      </c>
      <c r="O883" s="239" t="s">
        <v>4221</v>
      </c>
      <c r="P883" s="333" t="s">
        <v>4036</v>
      </c>
      <c r="Q883" s="334" t="s">
        <v>4222</v>
      </c>
      <c r="R883" s="333" t="s">
        <v>194</v>
      </c>
      <c r="S883" s="334"/>
    </row>
    <row r="884">
      <c r="A884" s="230">
        <v>884.0</v>
      </c>
      <c r="B884" s="230" t="s">
        <v>257</v>
      </c>
      <c r="C884" s="231"/>
      <c r="D884" s="232"/>
      <c r="E884" s="232">
        <f>IFERROR(__xludf.DUMMYFUNCTION("iferror(SPLIT(D884,""/""),split(""0/0"",""/""))"),0.0)</f>
        <v>0</v>
      </c>
      <c r="F884" s="232">
        <f>IFERROR(__xludf.DUMMYFUNCTION("""COMPUTED_VALUE"""),0.0)</f>
        <v>0</v>
      </c>
      <c r="G884" s="247" t="b">
        <v>0</v>
      </c>
      <c r="H884" s="242" t="str">
        <f t="shared" si="1"/>
        <v/>
      </c>
      <c r="I884" s="246" t="s">
        <v>4223</v>
      </c>
      <c r="J884" s="330" t="str">
        <f t="shared" si="2"/>
        <v>Charge a Respawn Anchor to the maximum (Place Glowstone into a Respawn Anchor such that it reaches maximum charge)</v>
      </c>
      <c r="K884" s="331" t="s">
        <v>4224</v>
      </c>
      <c r="L884" s="332"/>
      <c r="M884" s="331" t="s">
        <v>4225</v>
      </c>
      <c r="N884" s="331" t="s">
        <v>4226</v>
      </c>
      <c r="O884" s="239" t="s">
        <v>961</v>
      </c>
      <c r="P884" s="333" t="s">
        <v>4036</v>
      </c>
      <c r="Q884" s="334" t="s">
        <v>4227</v>
      </c>
      <c r="R884" s="333" t="s">
        <v>194</v>
      </c>
      <c r="S884" s="334" t="s">
        <v>262</v>
      </c>
    </row>
    <row r="885">
      <c r="A885" s="230">
        <v>885.0</v>
      </c>
      <c r="B885" s="230" t="s">
        <v>188</v>
      </c>
      <c r="C885" s="231"/>
      <c r="D885" s="232"/>
      <c r="E885" s="232">
        <f>IFERROR(__xludf.DUMMYFUNCTION("iferror(SPLIT(D885,""/""),split(""0/0"",""/""))"),0.0)</f>
        <v>0</v>
      </c>
      <c r="F885" s="232">
        <f>IFERROR(__xludf.DUMMYFUNCTION("""COMPUTED_VALUE"""),0.0)</f>
        <v>0</v>
      </c>
      <c r="G885" s="247" t="b">
        <v>0</v>
      </c>
      <c r="H885" s="242" t="str">
        <f t="shared" si="1"/>
        <v/>
      </c>
      <c r="I885" s="243" t="s">
        <v>4228</v>
      </c>
      <c r="J885" s="330" t="str">
        <f t="shared" si="2"/>
        <v>Kill a zombie pigman</v>
      </c>
      <c r="K885" s="331" t="s">
        <v>4229</v>
      </c>
      <c r="L885" s="332"/>
      <c r="M885" s="331"/>
      <c r="N885" s="331" t="s">
        <v>4230</v>
      </c>
      <c r="O885" s="239" t="s">
        <v>4167</v>
      </c>
      <c r="P885" s="333" t="s">
        <v>4036</v>
      </c>
      <c r="Q885" s="334" t="s">
        <v>4231</v>
      </c>
      <c r="R885" s="333" t="s">
        <v>194</v>
      </c>
      <c r="S885" s="334"/>
    </row>
    <row r="886">
      <c r="A886" s="230">
        <v>886.0</v>
      </c>
      <c r="B886" s="230" t="s">
        <v>188</v>
      </c>
      <c r="C886" s="231"/>
      <c r="D886" s="232"/>
      <c r="E886" s="232">
        <f>IFERROR(__xludf.DUMMYFUNCTION("iferror(SPLIT(D886,""/""),split(""0/0"",""/""))"),0.0)</f>
        <v>0</v>
      </c>
      <c r="F886" s="232">
        <f>IFERROR(__xludf.DUMMYFUNCTION("""COMPUTED_VALUE"""),0.0)</f>
        <v>0</v>
      </c>
      <c r="G886" s="247" t="b">
        <v>0</v>
      </c>
      <c r="H886" s="242" t="str">
        <f t="shared" si="1"/>
        <v/>
      </c>
      <c r="I886" s="243" t="s">
        <v>4232</v>
      </c>
      <c r="J886" s="330" t="str">
        <f t="shared" si="2"/>
        <v>Kill a magma cube</v>
      </c>
      <c r="K886" s="331" t="s">
        <v>4233</v>
      </c>
      <c r="L886" s="332"/>
      <c r="M886" s="331"/>
      <c r="N886" s="331" t="s">
        <v>4234</v>
      </c>
      <c r="O886" s="239" t="s">
        <v>4235</v>
      </c>
      <c r="P886" s="333" t="s">
        <v>4036</v>
      </c>
      <c r="Q886" s="334" t="s">
        <v>4236</v>
      </c>
      <c r="R886" s="333" t="s">
        <v>194</v>
      </c>
      <c r="S886" s="334"/>
    </row>
    <row r="887">
      <c r="A887" s="230">
        <v>887.0</v>
      </c>
      <c r="B887" s="230" t="s">
        <v>257</v>
      </c>
      <c r="C887" s="231"/>
      <c r="D887" s="232"/>
      <c r="E887" s="232">
        <f>IFERROR(__xludf.DUMMYFUNCTION("iferror(SPLIT(D887,""/""),split(""0/0"",""/""))"),0.0)</f>
        <v>0</v>
      </c>
      <c r="F887" s="232">
        <f>IFERROR(__xludf.DUMMYFUNCTION("""COMPUTED_VALUE"""),0.0)</f>
        <v>0</v>
      </c>
      <c r="G887" s="247" t="b">
        <v>0</v>
      </c>
      <c r="H887" s="242" t="str">
        <f t="shared" si="1"/>
        <v/>
      </c>
      <c r="I887" s="246" t="s">
        <v>4237</v>
      </c>
      <c r="J887" s="330" t="str">
        <f t="shared" si="2"/>
        <v>Kill a chicken jockey in the nether (Kill a chicken with a zombified piglin passenger or a zombified piglin riding a chicken)</v>
      </c>
      <c r="K887" s="331" t="s">
        <v>4238</v>
      </c>
      <c r="L887" s="332"/>
      <c r="M887" s="331" t="s">
        <v>4239</v>
      </c>
      <c r="N887" s="331" t="s">
        <v>4240</v>
      </c>
      <c r="O887" s="239" t="s">
        <v>2283</v>
      </c>
      <c r="P887" s="333" t="s">
        <v>4036</v>
      </c>
      <c r="Q887" s="334" t="s">
        <v>4241</v>
      </c>
      <c r="R887" s="333" t="s">
        <v>194</v>
      </c>
      <c r="S887" s="333" t="s">
        <v>4104</v>
      </c>
    </row>
    <row r="888">
      <c r="A888" s="230">
        <v>888.0</v>
      </c>
      <c r="B888" s="230" t="s">
        <v>188</v>
      </c>
      <c r="C888" s="231"/>
      <c r="D888" s="232"/>
      <c r="E888" s="232">
        <f>IFERROR(__xludf.DUMMYFUNCTION("iferror(SPLIT(D888,""/""),split(""0/0"",""/""))"),0.0)</f>
        <v>0</v>
      </c>
      <c r="F888" s="232">
        <f>IFERROR(__xludf.DUMMYFUNCTION("""COMPUTED_VALUE"""),0.0)</f>
        <v>0</v>
      </c>
      <c r="G888" s="247" t="b">
        <v>0</v>
      </c>
      <c r="H888" s="242" t="str">
        <f t="shared" si="1"/>
        <v/>
      </c>
      <c r="I888" s="246" t="s">
        <v>4242</v>
      </c>
      <c r="J888" s="330" t="str">
        <f t="shared" si="2"/>
        <v>Collect a stack of magma cream</v>
      </c>
      <c r="K888" s="331" t="s">
        <v>4243</v>
      </c>
      <c r="L888" s="332"/>
      <c r="M888" s="331"/>
      <c r="N888" s="331" t="s">
        <v>4244</v>
      </c>
      <c r="O888" s="239" t="s">
        <v>4245</v>
      </c>
      <c r="P888" s="333" t="s">
        <v>4036</v>
      </c>
      <c r="Q888" s="334" t="s">
        <v>4246</v>
      </c>
      <c r="R888" s="333" t="s">
        <v>194</v>
      </c>
      <c r="S888" s="334"/>
    </row>
    <row r="889">
      <c r="A889" s="230">
        <v>889.0</v>
      </c>
      <c r="B889" s="230" t="s">
        <v>188</v>
      </c>
      <c r="C889" s="231"/>
      <c r="D889" s="232"/>
      <c r="E889" s="232">
        <f>IFERROR(__xludf.DUMMYFUNCTION("iferror(SPLIT(D889,""/""),split(""0/0"",""/""))"),0.0)</f>
        <v>0</v>
      </c>
      <c r="F889" s="232">
        <f>IFERROR(__xludf.DUMMYFUNCTION("""COMPUTED_VALUE"""),0.0)</f>
        <v>0</v>
      </c>
      <c r="G889" s="247" t="b">
        <v>0</v>
      </c>
      <c r="H889" s="242" t="str">
        <f t="shared" si="1"/>
        <v/>
      </c>
      <c r="I889" s="243" t="s">
        <v>4247</v>
      </c>
      <c r="J889" s="330" t="str">
        <f t="shared" si="2"/>
        <v>Shoot down a ghast (Kill a ghast)</v>
      </c>
      <c r="K889" s="331" t="s">
        <v>4248</v>
      </c>
      <c r="L889" s="332"/>
      <c r="M889" s="331" t="s">
        <v>4249</v>
      </c>
      <c r="N889" s="331" t="s">
        <v>4250</v>
      </c>
      <c r="O889" s="239" t="s">
        <v>2410</v>
      </c>
      <c r="P889" s="333" t="s">
        <v>4036</v>
      </c>
      <c r="Q889" s="334" t="s">
        <v>4251</v>
      </c>
      <c r="R889" s="333" t="s">
        <v>194</v>
      </c>
      <c r="S889" s="334"/>
    </row>
    <row r="890">
      <c r="A890" s="230">
        <v>890.0</v>
      </c>
      <c r="B890" s="230" t="s">
        <v>188</v>
      </c>
      <c r="C890" s="231"/>
      <c r="D890" s="232"/>
      <c r="E890" s="232">
        <f>IFERROR(__xludf.DUMMYFUNCTION("iferror(SPLIT(D890,""/""),split(""0/0"",""/""))"),0.0)</f>
        <v>0</v>
      </c>
      <c r="F890" s="232">
        <f>IFERROR(__xludf.DUMMYFUNCTION("""COMPUTED_VALUE"""),0.0)</f>
        <v>0</v>
      </c>
      <c r="G890" s="247" t="b">
        <v>0</v>
      </c>
      <c r="H890" s="242" t="str">
        <f t="shared" si="1"/>
        <v/>
      </c>
      <c r="I890" s="243" t="s">
        <v>4252</v>
      </c>
      <c r="J890" s="330" t="str">
        <f t="shared" si="2"/>
        <v>Block the explosion of a Ghast's fireball</v>
      </c>
      <c r="K890" s="331" t="s">
        <v>4248</v>
      </c>
      <c r="L890" s="332"/>
      <c r="M890" s="331"/>
      <c r="N890" s="331" t="s">
        <v>4253</v>
      </c>
      <c r="O890" s="239" t="s">
        <v>2298</v>
      </c>
      <c r="P890" s="333" t="s">
        <v>4036</v>
      </c>
      <c r="Q890" s="334" t="s">
        <v>4254</v>
      </c>
      <c r="R890" s="333" t="s">
        <v>194</v>
      </c>
      <c r="S890" s="334"/>
    </row>
    <row r="891">
      <c r="A891" s="230">
        <v>891.0</v>
      </c>
      <c r="B891" s="230" t="s">
        <v>188</v>
      </c>
      <c r="C891" s="231"/>
      <c r="D891" s="232"/>
      <c r="E891" s="232">
        <f>IFERROR(__xludf.DUMMYFUNCTION("iferror(SPLIT(D891,""/""),split(""0/0"",""/""))"),0.0)</f>
        <v>0</v>
      </c>
      <c r="F891" s="232">
        <f>IFERROR(__xludf.DUMMYFUNCTION("""COMPUTED_VALUE"""),0.0)</f>
        <v>0</v>
      </c>
      <c r="G891" s="247" t="b">
        <v>0</v>
      </c>
      <c r="H891" s="242" t="str">
        <f t="shared" si="1"/>
        <v/>
      </c>
      <c r="I891" s="243" t="s">
        <v>4255</v>
      </c>
      <c r="J891" s="330" t="str">
        <f t="shared" si="2"/>
        <v>Look at a Ghast through a Spyglass</v>
      </c>
      <c r="K891" s="331" t="s">
        <v>4248</v>
      </c>
      <c r="L891" s="332"/>
      <c r="M891" s="331"/>
      <c r="N891" s="331" t="s">
        <v>4256</v>
      </c>
      <c r="O891" s="239" t="s">
        <v>645</v>
      </c>
      <c r="P891" s="333" t="s">
        <v>4036</v>
      </c>
      <c r="Q891" s="334" t="s">
        <v>4257</v>
      </c>
      <c r="R891" s="333" t="s">
        <v>194</v>
      </c>
      <c r="S891" s="334"/>
    </row>
    <row r="892">
      <c r="A892" s="230">
        <v>892.0</v>
      </c>
      <c r="B892" s="230" t="s">
        <v>206</v>
      </c>
      <c r="C892" s="231"/>
      <c r="D892" s="232"/>
      <c r="E892" s="232">
        <f>IFERROR(__xludf.DUMMYFUNCTION("iferror(SPLIT(D892,""/""),split(""0/0"",""/""))"),0.0)</f>
        <v>0</v>
      </c>
      <c r="F892" s="232">
        <f>IFERROR(__xludf.DUMMYFUNCTION("""COMPUTED_VALUE"""),0.0)</f>
        <v>0</v>
      </c>
      <c r="G892" s="247" t="b">
        <v>0</v>
      </c>
      <c r="H892" s="242" t="str">
        <f t="shared" si="1"/>
        <v/>
      </c>
      <c r="I892" s="246" t="s">
        <v>4258</v>
      </c>
      <c r="J892" s="330" t="str">
        <f t="shared" si="2"/>
        <v>Destroy a Ghast with its fireball</v>
      </c>
      <c r="K892" s="331" t="s">
        <v>4248</v>
      </c>
      <c r="L892" s="332"/>
      <c r="M892" s="331"/>
      <c r="N892" s="331" t="s">
        <v>4259</v>
      </c>
      <c r="O892" s="239" t="s">
        <v>2714</v>
      </c>
      <c r="P892" s="333" t="s">
        <v>4036</v>
      </c>
      <c r="Q892" s="334" t="s">
        <v>4260</v>
      </c>
      <c r="R892" s="333" t="s">
        <v>194</v>
      </c>
      <c r="S892" s="334"/>
    </row>
    <row r="893">
      <c r="A893" s="230">
        <v>893.0</v>
      </c>
      <c r="B893" s="230" t="s">
        <v>206</v>
      </c>
      <c r="C893" s="231"/>
      <c r="D893" s="232"/>
      <c r="E893" s="232">
        <f>IFERROR(__xludf.DUMMYFUNCTION("iferror(SPLIT(D893,""/""),split(""0/0"",""/""))"),0.0)</f>
        <v>0</v>
      </c>
      <c r="F893" s="232">
        <f>IFERROR(__xludf.DUMMYFUNCTION("""COMPUTED_VALUE"""),0.0)</f>
        <v>0</v>
      </c>
      <c r="G893" s="247" t="b">
        <v>0</v>
      </c>
      <c r="H893" s="242" t="str">
        <f t="shared" si="1"/>
        <v/>
      </c>
      <c r="I893" s="246" t="s">
        <v>4261</v>
      </c>
      <c r="J893" s="330" t="str">
        <f t="shared" si="2"/>
        <v>Bring down a ghast with a sword (Kill a ghast using a direct melee attack while holding a sword)</v>
      </c>
      <c r="K893" s="331" t="s">
        <v>4262</v>
      </c>
      <c r="L893" s="332"/>
      <c r="M893" s="331" t="s">
        <v>4263</v>
      </c>
      <c r="N893" s="331" t="s">
        <v>4264</v>
      </c>
      <c r="O893" s="239" t="s">
        <v>1969</v>
      </c>
      <c r="P893" s="333" t="s">
        <v>4036</v>
      </c>
      <c r="Q893" s="334" t="s">
        <v>4265</v>
      </c>
      <c r="R893" s="333" t="s">
        <v>194</v>
      </c>
      <c r="S893" s="334"/>
    </row>
    <row r="894">
      <c r="A894" s="230">
        <v>894.0</v>
      </c>
      <c r="B894" s="230" t="s">
        <v>188</v>
      </c>
      <c r="C894" s="231"/>
      <c r="D894" s="232"/>
      <c r="E894" s="232">
        <f>IFERROR(__xludf.DUMMYFUNCTION("iferror(SPLIT(D894,""/""),split(""0/0"",""/""))"),0.0)</f>
        <v>0</v>
      </c>
      <c r="F894" s="232">
        <f>IFERROR(__xludf.DUMMYFUNCTION("""COMPUTED_VALUE"""),0.0)</f>
        <v>0</v>
      </c>
      <c r="G894" s="247" t="b">
        <v>0</v>
      </c>
      <c r="H894" s="242" t="str">
        <f t="shared" si="1"/>
        <v/>
      </c>
      <c r="I894" s="246" t="s">
        <v>4266</v>
      </c>
      <c r="J894" s="330" t="str">
        <f t="shared" si="2"/>
        <v>Collect a stack of ghast tears</v>
      </c>
      <c r="K894" s="331" t="s">
        <v>4267</v>
      </c>
      <c r="L894" s="332"/>
      <c r="M894" s="331"/>
      <c r="N894" s="331" t="s">
        <v>4268</v>
      </c>
      <c r="O894" s="239" t="s">
        <v>4269</v>
      </c>
      <c r="P894" s="333" t="s">
        <v>4036</v>
      </c>
      <c r="Q894" s="334" t="s">
        <v>4270</v>
      </c>
      <c r="R894" s="333" t="s">
        <v>194</v>
      </c>
      <c r="S894" s="334"/>
    </row>
    <row r="895">
      <c r="A895" s="230">
        <v>895.0</v>
      </c>
      <c r="B895" s="230" t="s">
        <v>188</v>
      </c>
      <c r="C895" s="231"/>
      <c r="D895" s="232"/>
      <c r="E895" s="232">
        <f>IFERROR(__xludf.DUMMYFUNCTION("iferror(SPLIT(D895,""/""),split(""0/0"",""/""))"),0.0)</f>
        <v>0</v>
      </c>
      <c r="F895" s="232">
        <f>IFERROR(__xludf.DUMMYFUNCTION("""COMPUTED_VALUE"""),0.0)</f>
        <v>0</v>
      </c>
      <c r="G895" s="247" t="b">
        <v>0</v>
      </c>
      <c r="H895" s="242" t="str">
        <f t="shared" si="1"/>
        <v/>
      </c>
      <c r="I895" s="249" t="s">
        <v>4271</v>
      </c>
      <c r="J895" s="330" t="str">
        <f t="shared" si="2"/>
        <v>Rescue a Ghast from the Nether, bring it safely back home to the Overworld... and then kill it (Kill a ghast in the Overworld)</v>
      </c>
      <c r="K895" s="331" t="s">
        <v>4272</v>
      </c>
      <c r="L895" s="332"/>
      <c r="M895" s="331" t="s">
        <v>4273</v>
      </c>
      <c r="N895" s="331" t="s">
        <v>4274</v>
      </c>
      <c r="O895" s="239" t="s">
        <v>2664</v>
      </c>
      <c r="P895" s="333" t="s">
        <v>4036</v>
      </c>
      <c r="Q895" s="334" t="s">
        <v>4275</v>
      </c>
      <c r="R895" s="333" t="s">
        <v>194</v>
      </c>
      <c r="S895" s="334"/>
    </row>
    <row r="896">
      <c r="A896" s="230">
        <v>896.0</v>
      </c>
      <c r="B896" s="230" t="s">
        <v>257</v>
      </c>
      <c r="C896" s="231"/>
      <c r="D896" s="232"/>
      <c r="E896" s="232">
        <f>IFERROR(__xludf.DUMMYFUNCTION("iferror(SPLIT(D896,""/""),split(""0/0"",""/""))"),0.0)</f>
        <v>0</v>
      </c>
      <c r="F896" s="232">
        <f>IFERROR(__xludf.DUMMYFUNCTION("""COMPUTED_VALUE"""),0.0)</f>
        <v>0</v>
      </c>
      <c r="G896" s="247" t="b">
        <v>0</v>
      </c>
      <c r="H896" s="242" t="str">
        <f t="shared" si="1"/>
        <v/>
      </c>
      <c r="I896" s="249" t="s">
        <v>50</v>
      </c>
      <c r="J896" s="330" t="str">
        <f t="shared" si="2"/>
        <v>Smite a ghast with lightning from the Overworld’s heavens (Strike a ghast with lightning using the Channeling enchantment)</v>
      </c>
      <c r="K896" s="331" t="s">
        <v>4276</v>
      </c>
      <c r="L896" s="332"/>
      <c r="M896" s="331" t="s">
        <v>4277</v>
      </c>
      <c r="N896" s="331" t="s">
        <v>4278</v>
      </c>
      <c r="O896" s="239" t="s">
        <v>1716</v>
      </c>
      <c r="P896" s="333" t="s">
        <v>4036</v>
      </c>
      <c r="Q896" s="334" t="s">
        <v>4279</v>
      </c>
      <c r="R896" s="333" t="s">
        <v>194</v>
      </c>
      <c r="S896" s="333" t="s">
        <v>28</v>
      </c>
    </row>
    <row r="897">
      <c r="A897" s="230">
        <v>897.0</v>
      </c>
      <c r="B897" s="230" t="s">
        <v>283</v>
      </c>
      <c r="C897" s="231"/>
      <c r="D897" s="232"/>
      <c r="E897" s="232">
        <f>IFERROR(__xludf.DUMMYFUNCTION("iferror(SPLIT(D897,""/""),split(""0/0"",""/""))"),0.0)</f>
        <v>0</v>
      </c>
      <c r="F897" s="232">
        <f>IFERROR(__xludf.DUMMYFUNCTION("""COMPUTED_VALUE"""),0.0)</f>
        <v>0</v>
      </c>
      <c r="G897" s="247" t="b">
        <v>0</v>
      </c>
      <c r="H897" s="242" t="str">
        <f t="shared" si="1"/>
        <v/>
      </c>
      <c r="I897" s="243" t="s">
        <v>4280</v>
      </c>
      <c r="J897" s="330" t="str">
        <f t="shared" si="2"/>
        <v>Ring a bell in the Nether</v>
      </c>
      <c r="K897" s="331"/>
      <c r="L897" s="332"/>
      <c r="M897" s="331"/>
      <c r="N897" s="331" t="s">
        <v>4281</v>
      </c>
      <c r="O897" s="239" t="s">
        <v>3021</v>
      </c>
      <c r="P897" s="333" t="s">
        <v>4036</v>
      </c>
      <c r="Q897" s="334" t="s">
        <v>4282</v>
      </c>
      <c r="R897" s="333" t="s">
        <v>194</v>
      </c>
      <c r="S897" s="334" t="s">
        <v>290</v>
      </c>
    </row>
    <row r="898">
      <c r="A898" s="230">
        <v>898.0</v>
      </c>
      <c r="B898" s="230" t="s">
        <v>283</v>
      </c>
      <c r="C898" s="231"/>
      <c r="D898" s="232"/>
      <c r="E898" s="232">
        <f>IFERROR(__xludf.DUMMYFUNCTION("iferror(SPLIT(D898,""/""),split(""0/0"",""/""))"),0.0)</f>
        <v>0</v>
      </c>
      <c r="F898" s="232">
        <f>IFERROR(__xludf.DUMMYFUNCTION("""COMPUTED_VALUE"""),0.0)</f>
        <v>0</v>
      </c>
      <c r="G898" s="247" t="b">
        <v>0</v>
      </c>
      <c r="H898" s="242" t="str">
        <f t="shared" si="1"/>
        <v/>
      </c>
      <c r="I898" s="243" t="s">
        <v>4283</v>
      </c>
      <c r="J898" s="330" t="str">
        <f t="shared" si="2"/>
        <v>Sit in water in the Nether (Sit in a cauldron filled with water in the Nether)</v>
      </c>
      <c r="K898" s="331"/>
      <c r="L898" s="332"/>
      <c r="M898" s="331" t="s">
        <v>4284</v>
      </c>
      <c r="N898" s="331" t="s">
        <v>4285</v>
      </c>
      <c r="O898" s="239" t="s">
        <v>345</v>
      </c>
      <c r="P898" s="333" t="s">
        <v>4036</v>
      </c>
      <c r="Q898" s="334" t="s">
        <v>4286</v>
      </c>
      <c r="R898" s="333" t="s">
        <v>194</v>
      </c>
      <c r="S898" s="334" t="s">
        <v>290</v>
      </c>
    </row>
    <row r="899">
      <c r="A899" s="230">
        <v>899.0</v>
      </c>
      <c r="B899" s="230" t="s">
        <v>283</v>
      </c>
      <c r="C899" s="231"/>
      <c r="D899" s="232"/>
      <c r="E899" s="232">
        <f>IFERROR(__xludf.DUMMYFUNCTION("iferror(SPLIT(D899,""/""),split(""0/0"",""/""))"),0.0)</f>
        <v>0</v>
      </c>
      <c r="F899" s="232">
        <f>IFERROR(__xludf.DUMMYFUNCTION("""COMPUTED_VALUE"""),0.0)</f>
        <v>0</v>
      </c>
      <c r="G899" s="247" t="b">
        <v>0</v>
      </c>
      <c r="H899" s="242" t="str">
        <f t="shared" si="1"/>
        <v/>
      </c>
      <c r="I899" s="246" t="s">
        <v>4287</v>
      </c>
      <c r="J899" s="330" t="str">
        <f t="shared" si="2"/>
        <v>Start freezing in the Nether (Start freezing from Powder Snow in the Nether)</v>
      </c>
      <c r="K899" s="331"/>
      <c r="L899" s="332"/>
      <c r="M899" s="331" t="s">
        <v>4288</v>
      </c>
      <c r="N899" s="331" t="s">
        <v>4289</v>
      </c>
      <c r="O899" s="239" t="s">
        <v>4290</v>
      </c>
      <c r="P899" s="333" t="s">
        <v>4036</v>
      </c>
      <c r="Q899" s="334" t="s">
        <v>4291</v>
      </c>
      <c r="R899" s="333" t="s">
        <v>194</v>
      </c>
      <c r="S899" s="334" t="s">
        <v>290</v>
      </c>
    </row>
    <row r="900">
      <c r="A900" s="230">
        <v>900.0</v>
      </c>
      <c r="B900" s="230" t="s">
        <v>188</v>
      </c>
      <c r="C900" s="231"/>
      <c r="D900" s="232"/>
      <c r="E900" s="232">
        <f>IFERROR(__xludf.DUMMYFUNCTION("iferror(SPLIT(D900,""/""),split(""0/0"",""/""))"),0.0)</f>
        <v>0</v>
      </c>
      <c r="F900" s="232">
        <f>IFERROR(__xludf.DUMMYFUNCTION("""COMPUTED_VALUE"""),0.0)</f>
        <v>0</v>
      </c>
      <c r="G900" s="247" t="b">
        <v>0</v>
      </c>
      <c r="H900" s="242" t="str">
        <f t="shared" si="1"/>
        <v/>
      </c>
      <c r="I900" s="243" t="s">
        <v>4292</v>
      </c>
      <c r="J900" s="330" t="str">
        <f t="shared" si="2"/>
        <v>Mine Nether Gold Ore for a pile of gold nuggets (Mine Nether Gold Ore)</v>
      </c>
      <c r="K900" s="331" t="s">
        <v>4293</v>
      </c>
      <c r="L900" s="332"/>
      <c r="M900" s="331" t="s">
        <v>4294</v>
      </c>
      <c r="N900" s="331" t="s">
        <v>4295</v>
      </c>
      <c r="O900" s="239" t="s">
        <v>4296</v>
      </c>
      <c r="P900" s="333" t="s">
        <v>4036</v>
      </c>
      <c r="Q900" s="334" t="s">
        <v>4297</v>
      </c>
      <c r="R900" s="333" t="s">
        <v>194</v>
      </c>
      <c r="S900" s="334"/>
    </row>
    <row r="901">
      <c r="A901" s="230">
        <v>901.0</v>
      </c>
      <c r="B901" s="230" t="s">
        <v>206</v>
      </c>
      <c r="C901" s="231"/>
      <c r="D901" s="232"/>
      <c r="E901" s="232">
        <f>IFERROR(__xludf.DUMMYFUNCTION("iferror(SPLIT(D901,""/""),split(""0/0"",""/""))"),0.0)</f>
        <v>0</v>
      </c>
      <c r="F901" s="232">
        <f>IFERROR(__xludf.DUMMYFUNCTION("""COMPUTED_VALUE"""),0.0)</f>
        <v>0</v>
      </c>
      <c r="G901" s="247" t="b">
        <v>0</v>
      </c>
      <c r="H901" s="242" t="str">
        <f t="shared" si="1"/>
        <v/>
      </c>
      <c r="I901" s="243" t="s">
        <v>4298</v>
      </c>
      <c r="J901" s="330" t="str">
        <f t="shared" si="2"/>
        <v>Walk on some hot Magma Blocks in the Nether (Step on a Magma Block in the Nether without sneaking, wearing Frost Walker Boots, or having the Fire Resistance effect)</v>
      </c>
      <c r="K901" s="331" t="s">
        <v>4299</v>
      </c>
      <c r="L901" s="332"/>
      <c r="M901" s="331" t="s">
        <v>4300</v>
      </c>
      <c r="N901" s="331" t="s">
        <v>4301</v>
      </c>
      <c r="O901" s="239" t="s">
        <v>4302</v>
      </c>
      <c r="P901" s="333" t="s">
        <v>4036</v>
      </c>
      <c r="Q901" s="334" t="s">
        <v>4303</v>
      </c>
      <c r="R901" s="333" t="s">
        <v>194</v>
      </c>
      <c r="S901" s="334"/>
    </row>
    <row r="902">
      <c r="A902" s="230">
        <v>902.0</v>
      </c>
      <c r="B902" s="230" t="s">
        <v>188</v>
      </c>
      <c r="C902" s="231"/>
      <c r="D902" s="232"/>
      <c r="E902" s="232">
        <f>IFERROR(__xludf.DUMMYFUNCTION("iferror(SPLIT(D902,""/""),split(""0/0"",""/""))"),0.0)</f>
        <v>0</v>
      </c>
      <c r="F902" s="232">
        <f>IFERROR(__xludf.DUMMYFUNCTION("""COMPUTED_VALUE"""),0.0)</f>
        <v>0</v>
      </c>
      <c r="G902" s="247" t="b">
        <v>0</v>
      </c>
      <c r="H902" s="242" t="str">
        <f t="shared" si="1"/>
        <v/>
      </c>
      <c r="I902" s="243" t="s">
        <v>4304</v>
      </c>
      <c r="J902" s="330" t="str">
        <f t="shared" si="2"/>
        <v>Mine Blackstone from a Basalt Deltas biome</v>
      </c>
      <c r="K902" s="331"/>
      <c r="L902" s="332"/>
      <c r="M902" s="331"/>
      <c r="N902" s="331" t="s">
        <v>4305</v>
      </c>
      <c r="O902" s="239" t="s">
        <v>4306</v>
      </c>
      <c r="P902" s="333" t="s">
        <v>4036</v>
      </c>
      <c r="Q902" s="334" t="s">
        <v>4307</v>
      </c>
      <c r="R902" s="333" t="s">
        <v>194</v>
      </c>
      <c r="S902" s="334"/>
    </row>
    <row r="903">
      <c r="A903" s="230">
        <v>903.0</v>
      </c>
      <c r="B903" s="230" t="s">
        <v>188</v>
      </c>
      <c r="C903" s="231"/>
      <c r="D903" s="232"/>
      <c r="E903" s="232">
        <f>IFERROR(__xludf.DUMMYFUNCTION("iferror(SPLIT(D903,""/""),split(""0/0"",""/""))"),0.0)</f>
        <v>0</v>
      </c>
      <c r="F903" s="232">
        <f>IFERROR(__xludf.DUMMYFUNCTION("""COMPUTED_VALUE"""),0.0)</f>
        <v>0</v>
      </c>
      <c r="G903" s="247" t="b">
        <v>0</v>
      </c>
      <c r="H903" s="242" t="str">
        <f t="shared" si="1"/>
        <v/>
      </c>
      <c r="I903" s="243" t="s">
        <v>4308</v>
      </c>
      <c r="J903" s="330" t="str">
        <f t="shared" si="2"/>
        <v>Mine a stack of Netherrack, Basalt, Blackstone and Magma in the Nether</v>
      </c>
      <c r="K903" s="331"/>
      <c r="L903" s="332"/>
      <c r="M903" s="331"/>
      <c r="N903" s="331" t="s">
        <v>4309</v>
      </c>
      <c r="O903" s="239" t="s">
        <v>4084</v>
      </c>
      <c r="P903" s="333" t="s">
        <v>4036</v>
      </c>
      <c r="Q903" s="334" t="s">
        <v>4310</v>
      </c>
      <c r="R903" s="333" t="s">
        <v>194</v>
      </c>
      <c r="S903" s="334"/>
    </row>
    <row r="904">
      <c r="A904" s="230">
        <v>904.0</v>
      </c>
      <c r="B904" s="230" t="s">
        <v>188</v>
      </c>
      <c r="C904" s="231"/>
      <c r="D904" s="232"/>
      <c r="E904" s="232">
        <f>IFERROR(__xludf.DUMMYFUNCTION("iferror(SPLIT(D904,""/""),split(""0/0"",""/""))"),0.0)</f>
        <v>0</v>
      </c>
      <c r="F904" s="232">
        <f>IFERROR(__xludf.DUMMYFUNCTION("""COMPUTED_VALUE"""),0.0)</f>
        <v>0</v>
      </c>
      <c r="G904" s="247" t="b">
        <v>0</v>
      </c>
      <c r="H904" s="242" t="str">
        <f t="shared" si="1"/>
        <v/>
      </c>
      <c r="I904" s="243" t="s">
        <v>4311</v>
      </c>
      <c r="J904" s="330" t="str">
        <f t="shared" si="2"/>
        <v>You sink like quicksand, but move slow like mud (Stand on soul sand)</v>
      </c>
      <c r="K904" s="331" t="s">
        <v>4312</v>
      </c>
      <c r="L904" s="332"/>
      <c r="M904" s="331" t="s">
        <v>4313</v>
      </c>
      <c r="N904" s="331" t="s">
        <v>4314</v>
      </c>
      <c r="O904" s="239" t="s">
        <v>4315</v>
      </c>
      <c r="P904" s="333" t="s">
        <v>4036</v>
      </c>
      <c r="Q904" s="334" t="s">
        <v>4316</v>
      </c>
      <c r="R904" s="333" t="s">
        <v>194</v>
      </c>
      <c r="S904" s="334"/>
    </row>
    <row r="905">
      <c r="A905" s="230">
        <v>905.0</v>
      </c>
      <c r="B905" s="230" t="s">
        <v>206</v>
      </c>
      <c r="C905" s="231"/>
      <c r="D905" s="232"/>
      <c r="E905" s="232">
        <f>IFERROR(__xludf.DUMMYFUNCTION("iferror(SPLIT(D905,""/""),split(""0/0"",""/""))"),0.0)</f>
        <v>0</v>
      </c>
      <c r="F905" s="232">
        <f>IFERROR(__xludf.DUMMYFUNCTION("""COMPUTED_VALUE"""),0.0)</f>
        <v>0</v>
      </c>
      <c r="G905" s="247" t="b">
        <v>0</v>
      </c>
      <c r="H905" s="242" t="str">
        <f t="shared" si="1"/>
        <v/>
      </c>
      <c r="I905" s="243" t="s">
        <v>4317</v>
      </c>
      <c r="J905" s="330" t="str">
        <f t="shared" si="2"/>
        <v>Get caught on Soul Fire (Stand in soul fire)</v>
      </c>
      <c r="K905" s="331"/>
      <c r="L905" s="332"/>
      <c r="M905" s="331" t="s">
        <v>4318</v>
      </c>
      <c r="N905" s="331" t="s">
        <v>4319</v>
      </c>
      <c r="O905" s="239" t="s">
        <v>3746</v>
      </c>
      <c r="P905" s="333" t="s">
        <v>4036</v>
      </c>
      <c r="Q905" s="334" t="s">
        <v>4320</v>
      </c>
      <c r="R905" s="333" t="s">
        <v>194</v>
      </c>
      <c r="S905" s="334"/>
    </row>
    <row r="906">
      <c r="A906" s="230">
        <v>906.0</v>
      </c>
      <c r="B906" s="230" t="s">
        <v>283</v>
      </c>
      <c r="C906" s="231"/>
      <c r="D906" s="232"/>
      <c r="E906" s="232">
        <f>IFERROR(__xludf.DUMMYFUNCTION("iferror(SPLIT(D906,""/""),split(""0/0"",""/""))"),0.0)</f>
        <v>0</v>
      </c>
      <c r="F906" s="232">
        <f>IFERROR(__xludf.DUMMYFUNCTION("""COMPUTED_VALUE"""),0.0)</f>
        <v>0</v>
      </c>
      <c r="G906" s="247" t="b">
        <v>0</v>
      </c>
      <c r="H906" s="242" t="str">
        <f t="shared" si="1"/>
        <v/>
      </c>
      <c r="I906" s="243" t="s">
        <v>4321</v>
      </c>
      <c r="J906" s="330" t="str">
        <f t="shared" si="2"/>
        <v>Place down a Soul Campfire</v>
      </c>
      <c r="K906" s="331"/>
      <c r="L906" s="332"/>
      <c r="M906" s="331"/>
      <c r="N906" s="331" t="s">
        <v>4322</v>
      </c>
      <c r="O906" s="239" t="s">
        <v>4323</v>
      </c>
      <c r="P906" s="333" t="s">
        <v>4036</v>
      </c>
      <c r="Q906" s="334" t="s">
        <v>4324</v>
      </c>
      <c r="R906" s="333" t="s">
        <v>194</v>
      </c>
      <c r="S906" s="334" t="s">
        <v>290</v>
      </c>
    </row>
    <row r="907">
      <c r="A907" s="230">
        <v>907.0</v>
      </c>
      <c r="B907" s="230" t="s">
        <v>188</v>
      </c>
      <c r="C907" s="231"/>
      <c r="D907" s="232"/>
      <c r="E907" s="232">
        <f>IFERROR(__xludf.DUMMYFUNCTION("iferror(SPLIT(D907,""/""),split(""0/0"",""/""))"),0.0)</f>
        <v>0</v>
      </c>
      <c r="F907" s="232">
        <f>IFERROR(__xludf.DUMMYFUNCTION("""COMPUTED_VALUE"""),0.0)</f>
        <v>0</v>
      </c>
      <c r="G907" s="247" t="b">
        <v>0</v>
      </c>
      <c r="H907" s="242" t="str">
        <f t="shared" si="1"/>
        <v/>
      </c>
      <c r="I907" s="243" t="s">
        <v>4325</v>
      </c>
      <c r="J907" s="330" t="str">
        <f t="shared" si="2"/>
        <v>Mine some glowstone dust from the Nether (Obtain Glowstone Dust while in the Nether)</v>
      </c>
      <c r="K907" s="331" t="s">
        <v>4326</v>
      </c>
      <c r="L907" s="332"/>
      <c r="M907" s="331" t="s">
        <v>4327</v>
      </c>
      <c r="N907" s="331" t="s">
        <v>4328</v>
      </c>
      <c r="O907" s="239" t="s">
        <v>4329</v>
      </c>
      <c r="P907" s="333" t="s">
        <v>4036</v>
      </c>
      <c r="Q907" s="334" t="s">
        <v>4330</v>
      </c>
      <c r="R907" s="333" t="s">
        <v>194</v>
      </c>
      <c r="S907" s="334"/>
    </row>
    <row r="908">
      <c r="A908" s="230">
        <v>908.0</v>
      </c>
      <c r="B908" s="230" t="s">
        <v>188</v>
      </c>
      <c r="C908" s="231"/>
      <c r="D908" s="232"/>
      <c r="E908" s="232">
        <f>IFERROR(__xludf.DUMMYFUNCTION("iferror(SPLIT(D908,""/""),split(""0/0"",""/""))"),0.0)</f>
        <v>0</v>
      </c>
      <c r="F908" s="232">
        <f>IFERROR(__xludf.DUMMYFUNCTION("""COMPUTED_VALUE"""),0.0)</f>
        <v>0</v>
      </c>
      <c r="G908" s="247" t="b">
        <v>0</v>
      </c>
      <c r="H908" s="242" t="str">
        <f t="shared" si="1"/>
        <v/>
      </c>
      <c r="I908" s="243" t="s">
        <v>4331</v>
      </c>
      <c r="J908" s="330" t="str">
        <f t="shared" si="2"/>
        <v>Shoot a mob with a spectral arrow</v>
      </c>
      <c r="K908" s="331" t="s">
        <v>4332</v>
      </c>
      <c r="L908" s="332"/>
      <c r="M908" s="331"/>
      <c r="N908" s="331" t="s">
        <v>4333</v>
      </c>
      <c r="O908" s="239" t="s">
        <v>2626</v>
      </c>
      <c r="P908" s="333" t="s">
        <v>4036</v>
      </c>
      <c r="Q908" s="334" t="s">
        <v>4334</v>
      </c>
      <c r="R908" s="333" t="s">
        <v>194</v>
      </c>
      <c r="S908" s="334"/>
    </row>
    <row r="909">
      <c r="A909" s="230">
        <v>909.0</v>
      </c>
      <c r="B909" s="230" t="s">
        <v>188</v>
      </c>
      <c r="C909" s="231"/>
      <c r="D909" s="232"/>
      <c r="E909" s="232">
        <f>IFERROR(__xludf.DUMMYFUNCTION("iferror(SPLIT(D909,""/""),split(""0/0"",""/""))"),0.0)</f>
        <v>0</v>
      </c>
      <c r="F909" s="232">
        <f>IFERROR(__xludf.DUMMYFUNCTION("""COMPUTED_VALUE"""),0.0)</f>
        <v>0</v>
      </c>
      <c r="G909" s="247" t="b">
        <v>0</v>
      </c>
      <c r="H909" s="242" t="str">
        <f t="shared" si="1"/>
        <v/>
      </c>
      <c r="I909" s="246" t="s">
        <v>4335</v>
      </c>
      <c r="J909" s="330" t="str">
        <f t="shared" si="2"/>
        <v>Mine and craft a stack of glowstone blocks (Obtain a stack of Glowstone blocks)</v>
      </c>
      <c r="K909" s="331" t="s">
        <v>4336</v>
      </c>
      <c r="L909" s="332"/>
      <c r="M909" s="331" t="s">
        <v>4337</v>
      </c>
      <c r="N909" s="331" t="s">
        <v>4338</v>
      </c>
      <c r="O909" s="239" t="s">
        <v>961</v>
      </c>
      <c r="P909" s="333" t="s">
        <v>4036</v>
      </c>
      <c r="Q909" s="334" t="s">
        <v>4339</v>
      </c>
      <c r="R909" s="333" t="s">
        <v>194</v>
      </c>
      <c r="S909" s="334"/>
    </row>
    <row r="910">
      <c r="A910" s="230">
        <v>910.0</v>
      </c>
      <c r="B910" s="230" t="s">
        <v>188</v>
      </c>
      <c r="C910" s="231"/>
      <c r="D910" s="232"/>
      <c r="E910" s="232">
        <f>IFERROR(__xludf.DUMMYFUNCTION("iferror(SPLIT(D910,""/""),split(""0/0"",""/""))"),0.0)</f>
        <v>0</v>
      </c>
      <c r="F910" s="232">
        <f>IFERROR(__xludf.DUMMYFUNCTION("""COMPUTED_VALUE"""),0.0)</f>
        <v>0</v>
      </c>
      <c r="G910" s="247" t="b">
        <v>0</v>
      </c>
      <c r="H910" s="242" t="str">
        <f t="shared" si="1"/>
        <v/>
      </c>
      <c r="I910" s="243" t="s">
        <v>4340</v>
      </c>
      <c r="J910" s="330" t="str">
        <f t="shared" si="2"/>
        <v>Dig down into the deepest depths of the Nether (Be below y=22 in the Nether dimension)</v>
      </c>
      <c r="K910" s="331"/>
      <c r="L910" s="332"/>
      <c r="M910" s="331" t="s">
        <v>4341</v>
      </c>
      <c r="N910" s="331" t="s">
        <v>4342</v>
      </c>
      <c r="O910" s="239" t="s">
        <v>2541</v>
      </c>
      <c r="P910" s="333" t="s">
        <v>4036</v>
      </c>
      <c r="Q910" s="334" t="s">
        <v>4343</v>
      </c>
      <c r="R910" s="333" t="s">
        <v>194</v>
      </c>
      <c r="S910" s="334"/>
    </row>
    <row r="911">
      <c r="A911" s="230">
        <v>911.0</v>
      </c>
      <c r="B911" s="230" t="s">
        <v>188</v>
      </c>
      <c r="C911" s="231"/>
      <c r="D911" s="232"/>
      <c r="E911" s="232">
        <f>IFERROR(__xludf.DUMMYFUNCTION("iferror(SPLIT(D911,""/""),split(""0/0"",""/""))"),0.0)</f>
        <v>0</v>
      </c>
      <c r="F911" s="232">
        <f>IFERROR(__xludf.DUMMYFUNCTION("""COMPUTED_VALUE"""),0.0)</f>
        <v>0</v>
      </c>
      <c r="G911" s="247" t="b">
        <v>0</v>
      </c>
      <c r="H911" s="242" t="str">
        <f t="shared" si="1"/>
        <v/>
      </c>
      <c r="I911" s="243" t="s">
        <v>4344</v>
      </c>
      <c r="J911" s="330" t="str">
        <f t="shared" si="2"/>
        <v>Excavate out some Ancient Debris from deep beneath the lava oceans (Obtain Ancient Debris)</v>
      </c>
      <c r="K911" s="331"/>
      <c r="L911" s="332"/>
      <c r="M911" s="331" t="s">
        <v>4345</v>
      </c>
      <c r="N911" s="331" t="s">
        <v>4346</v>
      </c>
      <c r="O911" s="239" t="s">
        <v>4347</v>
      </c>
      <c r="P911" s="333" t="s">
        <v>4036</v>
      </c>
      <c r="Q911" s="334" t="s">
        <v>4348</v>
      </c>
      <c r="R911" s="333" t="s">
        <v>194</v>
      </c>
      <c r="S911" s="334"/>
    </row>
    <row r="912">
      <c r="A912" s="230">
        <v>912.0</v>
      </c>
      <c r="B912" s="230" t="s">
        <v>188</v>
      </c>
      <c r="C912" s="231"/>
      <c r="D912" s="232"/>
      <c r="E912" s="232">
        <f>IFERROR(__xludf.DUMMYFUNCTION("iferror(SPLIT(D912,""/""),split(""0/0"",""/""))"),0.0)</f>
        <v>0</v>
      </c>
      <c r="F912" s="232">
        <f>IFERROR(__xludf.DUMMYFUNCTION("""COMPUTED_VALUE"""),0.0)</f>
        <v>0</v>
      </c>
      <c r="G912" s="247" t="b">
        <v>0</v>
      </c>
      <c r="H912" s="242" t="str">
        <f t="shared" si="1"/>
        <v/>
      </c>
      <c r="I912" s="243" t="s">
        <v>4349</v>
      </c>
      <c r="J912" s="330" t="str">
        <f t="shared" si="2"/>
        <v>Smelt Ancient Debris into Netherite Scrap (Obtain Netherite Scrap)</v>
      </c>
      <c r="K912" s="331"/>
      <c r="L912" s="332"/>
      <c r="M912" s="331" t="s">
        <v>4350</v>
      </c>
      <c r="N912" s="331" t="s">
        <v>4351</v>
      </c>
      <c r="O912" s="239" t="s">
        <v>4352</v>
      </c>
      <c r="P912" s="333" t="s">
        <v>4036</v>
      </c>
      <c r="Q912" s="334" t="s">
        <v>4353</v>
      </c>
      <c r="R912" s="333" t="s">
        <v>194</v>
      </c>
      <c r="S912" s="334"/>
    </row>
    <row r="913">
      <c r="A913" s="230">
        <v>913.0</v>
      </c>
      <c r="B913" s="230" t="s">
        <v>188</v>
      </c>
      <c r="C913" s="231"/>
      <c r="D913" s="232"/>
      <c r="E913" s="232">
        <f>IFERROR(__xludf.DUMMYFUNCTION("iferror(SPLIT(D913,""/""),split(""0/0"",""/""))"),0.0)</f>
        <v>0</v>
      </c>
      <c r="F913" s="232">
        <f>IFERROR(__xludf.DUMMYFUNCTION("""COMPUTED_VALUE"""),0.0)</f>
        <v>0</v>
      </c>
      <c r="G913" s="247" t="b">
        <v>0</v>
      </c>
      <c r="H913" s="242" t="str">
        <f t="shared" si="1"/>
        <v/>
      </c>
      <c r="I913" s="243" t="s">
        <v>4354</v>
      </c>
      <c r="J913" s="330" t="str">
        <f t="shared" si="2"/>
        <v>Use Gold Ingots and Netherite Scrap to make a Netherite Ingot (Obtain a Netherite Ingot)</v>
      </c>
      <c r="K913" s="331" t="s">
        <v>4082</v>
      </c>
      <c r="L913" s="332"/>
      <c r="M913" s="331" t="s">
        <v>4355</v>
      </c>
      <c r="N913" s="331" t="s">
        <v>4356</v>
      </c>
      <c r="O913" s="239" t="s">
        <v>4357</v>
      </c>
      <c r="P913" s="333" t="s">
        <v>4036</v>
      </c>
      <c r="Q913" s="334" t="s">
        <v>4358</v>
      </c>
      <c r="R913" s="333" t="s">
        <v>194</v>
      </c>
      <c r="S913" s="334"/>
    </row>
    <row r="914">
      <c r="A914" s="230">
        <v>914.0</v>
      </c>
      <c r="B914" s="230" t="s">
        <v>188</v>
      </c>
      <c r="C914" s="231"/>
      <c r="D914" s="232"/>
      <c r="E914" s="232">
        <f>IFERROR(__xludf.DUMMYFUNCTION("iferror(SPLIT(D914,""/""),split(""0/0"",""/""))"),0.0)</f>
        <v>0</v>
      </c>
      <c r="F914" s="232">
        <f>IFERROR(__xludf.DUMMYFUNCTION("""COMPUTED_VALUE"""),0.0)</f>
        <v>0</v>
      </c>
      <c r="G914" s="247" t="b">
        <v>0</v>
      </c>
      <c r="H914" s="242" t="str">
        <f t="shared" si="1"/>
        <v/>
      </c>
      <c r="I914" s="246" t="s">
        <v>4359</v>
      </c>
      <c r="J914" s="330" t="str">
        <f t="shared" si="2"/>
        <v>Craft a Netherite Pickaxe, Axe, Shovel and Hoe (Obtain a Netherite Pickaxe, Axe, Shovel and Hoe)</v>
      </c>
      <c r="K914" s="331" t="s">
        <v>2561</v>
      </c>
      <c r="L914" s="332"/>
      <c r="M914" s="331" t="s">
        <v>4360</v>
      </c>
      <c r="N914" s="331" t="s">
        <v>4361</v>
      </c>
      <c r="O914" s="239" t="s">
        <v>4362</v>
      </c>
      <c r="P914" s="333" t="s">
        <v>4036</v>
      </c>
      <c r="Q914" s="334" t="s">
        <v>4363</v>
      </c>
      <c r="R914" s="333" t="s">
        <v>194</v>
      </c>
      <c r="S914" s="334"/>
    </row>
    <row r="915">
      <c r="A915" s="230">
        <v>915.0</v>
      </c>
      <c r="B915" s="230" t="s">
        <v>188</v>
      </c>
      <c r="C915" s="231"/>
      <c r="D915" s="232"/>
      <c r="E915" s="232">
        <f>IFERROR(__xludf.DUMMYFUNCTION("iferror(SPLIT(D915,""/""),split(""0/0"",""/""))"),0.0)</f>
        <v>0</v>
      </c>
      <c r="F915" s="232">
        <f>IFERROR(__xludf.DUMMYFUNCTION("""COMPUTED_VALUE"""),0.0)</f>
        <v>0</v>
      </c>
      <c r="G915" s="247" t="b">
        <v>0</v>
      </c>
      <c r="H915" s="242" t="str">
        <f t="shared" si="1"/>
        <v/>
      </c>
      <c r="I915" s="246" t="s">
        <v>4364</v>
      </c>
      <c r="J915" s="330" t="str">
        <f t="shared" si="2"/>
        <v>Upgrade your diamond armor to netherite armor (Obtain a full suit of Netherite Armor)</v>
      </c>
      <c r="K915" s="331" t="s">
        <v>2561</v>
      </c>
      <c r="L915" s="332"/>
      <c r="M915" s="331" t="s">
        <v>4365</v>
      </c>
      <c r="N915" s="331" t="s">
        <v>4366</v>
      </c>
      <c r="O915" s="239" t="s">
        <v>2564</v>
      </c>
      <c r="P915" s="333" t="s">
        <v>4036</v>
      </c>
      <c r="Q915" s="334" t="s">
        <v>4367</v>
      </c>
      <c r="R915" s="333" t="s">
        <v>194</v>
      </c>
      <c r="S915" s="334"/>
    </row>
    <row r="916">
      <c r="A916" s="230">
        <v>916.0</v>
      </c>
      <c r="B916" s="230" t="s">
        <v>257</v>
      </c>
      <c r="C916" s="231"/>
      <c r="D916" s="232"/>
      <c r="E916" s="232">
        <f>IFERROR(__xludf.DUMMYFUNCTION("iferror(SPLIT(D916,""/""),split(""0/0"",""/""))"),0.0)</f>
        <v>0</v>
      </c>
      <c r="F916" s="232">
        <f>IFERROR(__xludf.DUMMYFUNCTION("""COMPUTED_VALUE"""),0.0)</f>
        <v>0</v>
      </c>
      <c r="G916" s="247" t="b">
        <v>0</v>
      </c>
      <c r="H916" s="242" t="str">
        <f t="shared" si="1"/>
        <v/>
      </c>
      <c r="I916" s="246" t="s">
        <v>4368</v>
      </c>
      <c r="J916" s="330" t="str">
        <f t="shared" si="2"/>
        <v>Step on Soul Sand with Netherite Boots enchanted with Soul Speed III (Also works with Soul Soil)</v>
      </c>
      <c r="K916" s="331" t="s">
        <v>2561</v>
      </c>
      <c r="L916" s="332"/>
      <c r="M916" s="331" t="s">
        <v>4369</v>
      </c>
      <c r="N916" s="331" t="s">
        <v>4370</v>
      </c>
      <c r="O916" s="239" t="s">
        <v>4371</v>
      </c>
      <c r="P916" s="333" t="s">
        <v>4036</v>
      </c>
      <c r="Q916" s="334" t="s">
        <v>4372</v>
      </c>
      <c r="R916" s="333" t="s">
        <v>194</v>
      </c>
      <c r="S916" s="334" t="s">
        <v>262</v>
      </c>
    </row>
    <row r="917">
      <c r="A917" s="230">
        <v>917.0</v>
      </c>
      <c r="B917" s="230" t="s">
        <v>257</v>
      </c>
      <c r="C917" s="231"/>
      <c r="D917" s="232"/>
      <c r="E917" s="232">
        <f>IFERROR(__xludf.DUMMYFUNCTION("iferror(SPLIT(D917,""/""),split(""0/0"",""/""))"),0.0)</f>
        <v>0</v>
      </c>
      <c r="F917" s="232">
        <f>IFERROR(__xludf.DUMMYFUNCTION("""COMPUTED_VALUE"""),0.0)</f>
        <v>0</v>
      </c>
      <c r="G917" s="247" t="b">
        <v>0</v>
      </c>
      <c r="H917" s="242" t="str">
        <f t="shared" si="1"/>
        <v/>
      </c>
      <c r="I917" s="249" t="s">
        <v>4373</v>
      </c>
      <c r="J917" s="330" t="str">
        <f t="shared" si="2"/>
        <v>Achieve an absolutely insane speed by combining the Speed II effect, Dolphin’s Grace, Depth Strider III, Soul Speed III and sprinting</v>
      </c>
      <c r="K917" s="331"/>
      <c r="L917" s="332"/>
      <c r="M917" s="331"/>
      <c r="N917" s="331" t="s">
        <v>4374</v>
      </c>
      <c r="O917" s="239" t="s">
        <v>4375</v>
      </c>
      <c r="P917" s="333" t="s">
        <v>4036</v>
      </c>
      <c r="Q917" s="334" t="s">
        <v>4376</v>
      </c>
      <c r="R917" s="333" t="s">
        <v>194</v>
      </c>
      <c r="S917" s="334" t="s">
        <v>262</v>
      </c>
    </row>
    <row r="918">
      <c r="A918" s="230">
        <v>918.0</v>
      </c>
      <c r="B918" s="230" t="s">
        <v>188</v>
      </c>
      <c r="C918" s="231"/>
      <c r="D918" s="232"/>
      <c r="E918" s="232">
        <f>IFERROR(__xludf.DUMMYFUNCTION("iferror(SPLIT(D918,""/""),split(""0/0"",""/""))"),0.0)</f>
        <v>0</v>
      </c>
      <c r="F918" s="232">
        <f>IFERROR(__xludf.DUMMYFUNCTION("""COMPUTED_VALUE"""),0.0)</f>
        <v>0</v>
      </c>
      <c r="G918" s="247" t="b">
        <v>0</v>
      </c>
      <c r="H918" s="242" t="str">
        <f t="shared" si="1"/>
        <v/>
      </c>
      <c r="I918" s="249" t="s">
        <v>4377</v>
      </c>
      <c r="J918" s="330" t="str">
        <f t="shared" si="2"/>
        <v>Completely use up a netherite hoe. Clearly you have chosen... poorly (Break a Netherite Hoe)</v>
      </c>
      <c r="K918" s="331"/>
      <c r="L918" s="332"/>
      <c r="M918" s="331" t="s">
        <v>4378</v>
      </c>
      <c r="N918" s="331" t="s">
        <v>4379</v>
      </c>
      <c r="O918" s="239" t="s">
        <v>4380</v>
      </c>
      <c r="P918" s="333" t="s">
        <v>4036</v>
      </c>
      <c r="Q918" s="334" t="s">
        <v>4381</v>
      </c>
      <c r="R918" s="333" t="s">
        <v>194</v>
      </c>
      <c r="S918" s="334"/>
    </row>
    <row r="919">
      <c r="A919" s="230">
        <v>919.0</v>
      </c>
      <c r="B919" s="230" t="s">
        <v>188</v>
      </c>
      <c r="C919" s="231"/>
      <c r="D919" s="232"/>
      <c r="E919" s="232">
        <f>IFERROR(__xludf.DUMMYFUNCTION("iferror(SPLIT(D919,""/""),split(""0/0"",""/""))"),0.0)</f>
        <v>0</v>
      </c>
      <c r="F919" s="232">
        <f>IFERROR(__xludf.DUMMYFUNCTION("""COMPUTED_VALUE"""),0.0)</f>
        <v>0</v>
      </c>
      <c r="G919" s="247" t="b">
        <v>0</v>
      </c>
      <c r="H919" s="242" t="str">
        <f t="shared" si="1"/>
        <v/>
      </c>
      <c r="I919" s="246" t="s">
        <v>4382</v>
      </c>
      <c r="J919" s="330" t="str">
        <f t="shared" si="2"/>
        <v>Mine a stack of Ancient Debris</v>
      </c>
      <c r="K919" s="331" t="s">
        <v>4383</v>
      </c>
      <c r="L919" s="332"/>
      <c r="M919" s="331"/>
      <c r="N919" s="331" t="s">
        <v>4384</v>
      </c>
      <c r="O919" s="239" t="s">
        <v>4347</v>
      </c>
      <c r="P919" s="333" t="s">
        <v>4036</v>
      </c>
      <c r="Q919" s="334" t="s">
        <v>4385</v>
      </c>
      <c r="R919" s="333" t="s">
        <v>194</v>
      </c>
      <c r="S919" s="334"/>
    </row>
    <row r="920">
      <c r="A920" s="230">
        <v>920.0</v>
      </c>
      <c r="B920" s="230" t="s">
        <v>188</v>
      </c>
      <c r="C920" s="231"/>
      <c r="D920" s="232"/>
      <c r="E920" s="232">
        <f>IFERROR(__xludf.DUMMYFUNCTION("iferror(SPLIT(D920,""/""),split(""0/0"",""/""))"),0.0)</f>
        <v>0</v>
      </c>
      <c r="F920" s="232">
        <f>IFERROR(__xludf.DUMMYFUNCTION("""COMPUTED_VALUE"""),0.0)</f>
        <v>0</v>
      </c>
      <c r="G920" s="247" t="b">
        <v>0</v>
      </c>
      <c r="H920" s="242" t="str">
        <f t="shared" si="1"/>
        <v/>
      </c>
      <c r="I920" s="249" t="s">
        <v>4386</v>
      </c>
      <c r="J920" s="330" t="str">
        <f t="shared" si="2"/>
        <v>Mine enough Ancient Debris to make a stack of Netherite Ingots (don’t worry, this datapack won’t make you mine a stack of Netherite Blocks, I’m not that evil…)</v>
      </c>
      <c r="K920" s="331" t="s">
        <v>4387</v>
      </c>
      <c r="L920" s="332"/>
      <c r="M920" s="331"/>
      <c r="N920" s="331" t="s">
        <v>4388</v>
      </c>
      <c r="O920" s="239" t="s">
        <v>4357</v>
      </c>
      <c r="P920" s="333" t="s">
        <v>4036</v>
      </c>
      <c r="Q920" s="334" t="s">
        <v>4389</v>
      </c>
      <c r="R920" s="333" t="s">
        <v>194</v>
      </c>
      <c r="S920" s="334"/>
    </row>
    <row r="921">
      <c r="A921" s="230">
        <v>921.0</v>
      </c>
      <c r="B921" s="230" t="s">
        <v>188</v>
      </c>
      <c r="C921" s="231"/>
      <c r="D921" s="232"/>
      <c r="E921" s="232">
        <f>IFERROR(__xludf.DUMMYFUNCTION("iferror(SPLIT(D921,""/""),split(""0/0"",""/""))"),0.0)</f>
        <v>0</v>
      </c>
      <c r="F921" s="232">
        <f>IFERROR(__xludf.DUMMYFUNCTION("""COMPUTED_VALUE"""),0.0)</f>
        <v>0</v>
      </c>
      <c r="G921" s="247" t="b">
        <v>0</v>
      </c>
      <c r="H921" s="242" t="str">
        <f t="shared" si="1"/>
        <v/>
      </c>
      <c r="I921" s="243" t="s">
        <v>4390</v>
      </c>
      <c r="J921" s="330" t="str">
        <f t="shared" si="2"/>
        <v>Craft a Lodestone using Chiseled Stone Bricks and a Netherite Ingot</v>
      </c>
      <c r="K921" s="331"/>
      <c r="L921" s="332"/>
      <c r="M921" s="331"/>
      <c r="N921" s="331" t="s">
        <v>4391</v>
      </c>
      <c r="O921" s="239" t="s">
        <v>4392</v>
      </c>
      <c r="P921" s="333" t="s">
        <v>4036</v>
      </c>
      <c r="Q921" s="334" t="s">
        <v>4393</v>
      </c>
      <c r="R921" s="333" t="s">
        <v>194</v>
      </c>
      <c r="S921" s="334"/>
    </row>
    <row r="922">
      <c r="A922" s="230">
        <v>922.0</v>
      </c>
      <c r="B922" s="230" t="s">
        <v>188</v>
      </c>
      <c r="C922" s="231"/>
      <c r="D922" s="232"/>
      <c r="E922" s="232">
        <f>IFERROR(__xludf.DUMMYFUNCTION("iferror(SPLIT(D922,""/""),split(""0/0"",""/""))"),0.0)</f>
        <v>0</v>
      </c>
      <c r="F922" s="232">
        <f>IFERROR(__xludf.DUMMYFUNCTION("""COMPUTED_VALUE"""),0.0)</f>
        <v>0</v>
      </c>
      <c r="G922" s="233" t="b">
        <v>0</v>
      </c>
      <c r="H922" s="242" t="str">
        <f t="shared" si="1"/>
        <v/>
      </c>
      <c r="I922" s="243" t="s">
        <v>4394</v>
      </c>
      <c r="J922" s="330" t="str">
        <f t="shared" si="2"/>
        <v>Right click on a Lodestone with a Compass to create a Lodestone Compass (Obtain a Lodestone Compass)</v>
      </c>
      <c r="K922" s="331" t="s">
        <v>4395</v>
      </c>
      <c r="L922" s="332"/>
      <c r="M922" s="331" t="s">
        <v>4396</v>
      </c>
      <c r="N922" s="331" t="s">
        <v>4397</v>
      </c>
      <c r="O922" s="239" t="s">
        <v>619</v>
      </c>
      <c r="P922" s="333" t="s">
        <v>4036</v>
      </c>
      <c r="Q922" s="334" t="s">
        <v>4398</v>
      </c>
      <c r="R922" s="333" t="s">
        <v>194</v>
      </c>
      <c r="S922" s="334"/>
    </row>
    <row r="923">
      <c r="A923" s="230">
        <v>923.0</v>
      </c>
      <c r="B923" s="230" t="s">
        <v>257</v>
      </c>
      <c r="C923" s="231"/>
      <c r="D923" s="232"/>
      <c r="E923" s="232">
        <f>IFERROR(__xludf.DUMMYFUNCTION("iferror(SPLIT(D923,""/""),split(""0/0"",""/""))"),0.0)</f>
        <v>0</v>
      </c>
      <c r="F923" s="232">
        <f>IFERROR(__xludf.DUMMYFUNCTION("""COMPUTED_VALUE"""),0.0)</f>
        <v>0</v>
      </c>
      <c r="G923" s="233" t="b">
        <v>0</v>
      </c>
      <c r="H923" s="242" t="str">
        <f t="shared" si="1"/>
        <v/>
      </c>
      <c r="I923" s="246" t="s">
        <v>4399</v>
      </c>
      <c r="J923" s="330" t="str">
        <f t="shared" si="2"/>
        <v>Create a Lodestone Compass in all three dimensions (Use a compass on a lodestone in all three dimensions (not all at the same time))</v>
      </c>
      <c r="K923" s="331" t="s">
        <v>4400</v>
      </c>
      <c r="L923" s="332"/>
      <c r="M923" s="331" t="s">
        <v>4401</v>
      </c>
      <c r="N923" s="331" t="s">
        <v>4402</v>
      </c>
      <c r="O923" s="239" t="s">
        <v>4403</v>
      </c>
      <c r="P923" s="333" t="s">
        <v>4036</v>
      </c>
      <c r="Q923" s="334" t="s">
        <v>4404</v>
      </c>
      <c r="R923" s="333" t="s">
        <v>194</v>
      </c>
      <c r="S923" s="334" t="s">
        <v>262</v>
      </c>
    </row>
    <row r="924">
      <c r="A924" s="230">
        <v>924.0</v>
      </c>
      <c r="B924" s="230" t="s">
        <v>188</v>
      </c>
      <c r="C924" s="231"/>
      <c r="D924" s="232"/>
      <c r="E924" s="232">
        <f>IFERROR(__xludf.DUMMYFUNCTION("iferror(SPLIT(D924,""/""),split(""0/0"",""/""))"),0.0)</f>
        <v>0</v>
      </c>
      <c r="F924" s="232">
        <f>IFERROR(__xludf.DUMMYFUNCTION("""COMPUTED_VALUE"""),0.0)</f>
        <v>0</v>
      </c>
      <c r="G924" s="247" t="b">
        <v>0</v>
      </c>
      <c r="H924" s="242" t="str">
        <f t="shared" si="1"/>
        <v/>
      </c>
      <c r="I924" s="246" t="s">
        <v>4405</v>
      </c>
      <c r="J924" s="330" t="str">
        <f t="shared" si="2"/>
        <v>Hit something while you and it are in lava</v>
      </c>
      <c r="K924" s="331" t="s">
        <v>4406</v>
      </c>
      <c r="L924" s="332"/>
      <c r="M924" s="331"/>
      <c r="N924" s="331" t="s">
        <v>4407</v>
      </c>
      <c r="O924" s="239" t="s">
        <v>730</v>
      </c>
      <c r="P924" s="333" t="s">
        <v>4036</v>
      </c>
      <c r="Q924" s="334" t="s">
        <v>4408</v>
      </c>
      <c r="R924" s="333" t="s">
        <v>194</v>
      </c>
      <c r="S924" s="334"/>
    </row>
    <row r="925">
      <c r="A925" s="230">
        <v>925.0</v>
      </c>
      <c r="B925" s="230" t="s">
        <v>188</v>
      </c>
      <c r="C925" s="231"/>
      <c r="D925" s="232"/>
      <c r="E925" s="232">
        <f>IFERROR(__xludf.DUMMYFUNCTION("iferror(SPLIT(D925,""/""),split(""0/0"",""/""))"),0.0)</f>
        <v>0</v>
      </c>
      <c r="F925" s="232">
        <f>IFERROR(__xludf.DUMMYFUNCTION("""COMPUTED_VALUE"""),0.0)</f>
        <v>0</v>
      </c>
      <c r="G925" s="247" t="b">
        <v>0</v>
      </c>
      <c r="H925" s="242" t="str">
        <f t="shared" si="1"/>
        <v/>
      </c>
      <c r="I925" s="246" t="s">
        <v>4409</v>
      </c>
      <c r="J925" s="330" t="str">
        <f t="shared" si="2"/>
        <v>Get above the roof in the nether (Be above y=128 in the Nether dimension)</v>
      </c>
      <c r="K925" s="331"/>
      <c r="L925" s="332"/>
      <c r="M925" s="331" t="s">
        <v>4410</v>
      </c>
      <c r="N925" s="331" t="s">
        <v>4411</v>
      </c>
      <c r="O925" s="239" t="s">
        <v>357</v>
      </c>
      <c r="P925" s="333" t="s">
        <v>4036</v>
      </c>
      <c r="Q925" s="334" t="s">
        <v>4412</v>
      </c>
      <c r="R925" s="333" t="s">
        <v>194</v>
      </c>
      <c r="S925" s="334"/>
    </row>
    <row r="926">
      <c r="A926" s="230">
        <v>926.0</v>
      </c>
      <c r="B926" s="230" t="s">
        <v>188</v>
      </c>
      <c r="C926" s="231"/>
      <c r="D926" s="232"/>
      <c r="E926" s="232">
        <f>IFERROR(__xludf.DUMMYFUNCTION("iferror(SPLIT(D926,""/""),split(""0/0"",""/""))"),0.0)</f>
        <v>0</v>
      </c>
      <c r="F926" s="232">
        <f>IFERROR(__xludf.DUMMYFUNCTION("""COMPUTED_VALUE"""),0.0)</f>
        <v>0</v>
      </c>
      <c r="G926" s="247" t="b">
        <v>0</v>
      </c>
      <c r="H926" s="242" t="str">
        <f t="shared" si="1"/>
        <v/>
      </c>
      <c r="I926" s="249" t="s">
        <v>4413</v>
      </c>
      <c r="J926" s="330" t="str">
        <f t="shared" si="2"/>
        <v>Use the Nether to travel 7km in the Overworld</v>
      </c>
      <c r="K926" s="331"/>
      <c r="L926" s="332"/>
      <c r="M926" s="331"/>
      <c r="N926" s="331" t="s">
        <v>4414</v>
      </c>
      <c r="O926" s="239" t="s">
        <v>2812</v>
      </c>
      <c r="P926" s="333" t="s">
        <v>4036</v>
      </c>
      <c r="Q926" s="334" t="s">
        <v>4415</v>
      </c>
      <c r="R926" s="333" t="s">
        <v>194</v>
      </c>
      <c r="S926" s="334"/>
    </row>
    <row r="927">
      <c r="A927" s="230">
        <v>927.0</v>
      </c>
      <c r="B927" s="230" t="s">
        <v>206</v>
      </c>
      <c r="C927" s="231"/>
      <c r="D927" s="232"/>
      <c r="E927" s="232">
        <f>IFERROR(__xludf.DUMMYFUNCTION("iferror(SPLIT(D927,""/""),split(""0/0"",""/""))"),0.0)</f>
        <v>0</v>
      </c>
      <c r="F927" s="232">
        <f>IFERROR(__xludf.DUMMYFUNCTION("""COMPUTED_VALUE"""),0.0)</f>
        <v>0</v>
      </c>
      <c r="G927" s="247" t="b">
        <v>0</v>
      </c>
      <c r="H927" s="242" t="str">
        <f t="shared" si="1"/>
        <v/>
      </c>
      <c r="I927" s="249" t="s">
        <v>4416</v>
      </c>
      <c r="J927" s="330" t="str">
        <f t="shared" si="2"/>
        <v>Stay in the Nether for twenty ingame days (Be in the Nether for twenty days (six hours and forty minutes) without leaving)</v>
      </c>
      <c r="K927" s="331"/>
      <c r="L927" s="332"/>
      <c r="M927" s="331" t="s">
        <v>4417</v>
      </c>
      <c r="N927" s="331" t="s">
        <v>4418</v>
      </c>
      <c r="O927" s="239" t="s">
        <v>4419</v>
      </c>
      <c r="P927" s="333" t="s">
        <v>4036</v>
      </c>
      <c r="Q927" s="334" t="s">
        <v>4420</v>
      </c>
      <c r="R927" s="333" t="s">
        <v>194</v>
      </c>
      <c r="S927" s="334"/>
    </row>
    <row r="928">
      <c r="A928" s="230">
        <v>928.0</v>
      </c>
      <c r="B928" s="230" t="s">
        <v>257</v>
      </c>
      <c r="C928" s="231"/>
      <c r="D928" s="232"/>
      <c r="E928" s="232">
        <f>IFERROR(__xludf.DUMMYFUNCTION("iferror(SPLIT(D928,""/""),split(""0/0"",""/""))"),0.0)</f>
        <v>0</v>
      </c>
      <c r="F928" s="232">
        <f>IFERROR(__xludf.DUMMYFUNCTION("""COMPUTED_VALUE"""),0.0)</f>
        <v>0</v>
      </c>
      <c r="G928" s="247" t="b">
        <v>0</v>
      </c>
      <c r="H928" s="242" t="str">
        <f t="shared" si="1"/>
        <v/>
      </c>
      <c r="I928" s="249" t="s">
        <v>4421</v>
      </c>
      <c r="J928" s="330" t="str">
        <f t="shared" si="2"/>
        <v>Build a machine that can break a hole in the roof of the Nether (Be between y=127 and 127.9999 in the Nether dimension in a non-solid block)</v>
      </c>
      <c r="K928" s="331"/>
      <c r="L928" s="332"/>
      <c r="M928" s="331" t="s">
        <v>4422</v>
      </c>
      <c r="N928" s="331" t="s">
        <v>4423</v>
      </c>
      <c r="O928" s="239" t="s">
        <v>3508</v>
      </c>
      <c r="P928" s="333" t="s">
        <v>4036</v>
      </c>
      <c r="Q928" s="334" t="s">
        <v>4424</v>
      </c>
      <c r="R928" s="333" t="s">
        <v>194</v>
      </c>
      <c r="S928" s="333" t="s">
        <v>4425</v>
      </c>
    </row>
    <row r="929">
      <c r="A929" s="230">
        <v>929.0</v>
      </c>
      <c r="B929" s="230" t="s">
        <v>188</v>
      </c>
      <c r="C929" s="231"/>
      <c r="D929" s="232"/>
      <c r="E929" s="232">
        <f>IFERROR(__xludf.DUMMYFUNCTION("iferror(SPLIT(D929,""/""),split(""0/0"",""/""))"),0.0)</f>
        <v>0</v>
      </c>
      <c r="F929" s="232">
        <f>IFERROR(__xludf.DUMMYFUNCTION("""COMPUTED_VALUE"""),0.0)</f>
        <v>0</v>
      </c>
      <c r="G929" s="247" t="b">
        <v>0</v>
      </c>
      <c r="H929" s="242" t="str">
        <f t="shared" si="1"/>
        <v/>
      </c>
      <c r="I929" s="243" t="s">
        <v>4426</v>
      </c>
      <c r="J929" s="330" t="str">
        <f t="shared" si="2"/>
        <v>Break your way into a Nether Fortress (Enter a Nether Fortress)</v>
      </c>
      <c r="K929" s="331"/>
      <c r="L929" s="332"/>
      <c r="M929" s="331" t="s">
        <v>4427</v>
      </c>
      <c r="N929" s="331" t="s">
        <v>4428</v>
      </c>
      <c r="O929" s="239" t="s">
        <v>4429</v>
      </c>
      <c r="P929" s="333" t="s">
        <v>4036</v>
      </c>
      <c r="Q929" s="334" t="s">
        <v>4430</v>
      </c>
      <c r="R929" s="333" t="s">
        <v>194</v>
      </c>
      <c r="S929" s="334"/>
    </row>
    <row r="930">
      <c r="A930" s="230">
        <v>930.0</v>
      </c>
      <c r="B930" s="230" t="s">
        <v>188</v>
      </c>
      <c r="C930" s="231"/>
      <c r="D930" s="232"/>
      <c r="E930" s="232">
        <f>IFERROR(__xludf.DUMMYFUNCTION("iferror(SPLIT(D930,""/""),split(""0/0"",""/""))"),0.0)</f>
        <v>0</v>
      </c>
      <c r="F930" s="232">
        <f>IFERROR(__xludf.DUMMYFUNCTION("""COMPUTED_VALUE"""),0.0)</f>
        <v>0</v>
      </c>
      <c r="G930" s="247" t="b">
        <v>0</v>
      </c>
      <c r="H930" s="242" t="str">
        <f t="shared" si="1"/>
        <v/>
      </c>
      <c r="I930" s="243" t="s">
        <v>4431</v>
      </c>
      <c r="J930" s="330" t="str">
        <f t="shared" si="2"/>
        <v>Kill a wither skeleton</v>
      </c>
      <c r="K930" s="331" t="s">
        <v>4432</v>
      </c>
      <c r="L930" s="332"/>
      <c r="M930" s="331"/>
      <c r="N930" s="331" t="s">
        <v>4433</v>
      </c>
      <c r="O930" s="239" t="s">
        <v>2024</v>
      </c>
      <c r="P930" s="333" t="s">
        <v>4036</v>
      </c>
      <c r="Q930" s="334" t="s">
        <v>4434</v>
      </c>
      <c r="R930" s="333" t="s">
        <v>194</v>
      </c>
      <c r="S930" s="334"/>
    </row>
    <row r="931">
      <c r="A931" s="230">
        <v>931.0</v>
      </c>
      <c r="B931" s="230" t="s">
        <v>188</v>
      </c>
      <c r="C931" s="231"/>
      <c r="D931" s="232"/>
      <c r="E931" s="232">
        <f>IFERROR(__xludf.DUMMYFUNCTION("iferror(SPLIT(D931,""/""),split(""0/0"",""/""))"),0.0)</f>
        <v>0</v>
      </c>
      <c r="F931" s="232">
        <f>IFERROR(__xludf.DUMMYFUNCTION("""COMPUTED_VALUE"""),0.0)</f>
        <v>0</v>
      </c>
      <c r="G931" s="247" t="b">
        <v>0</v>
      </c>
      <c r="H931" s="242" t="str">
        <f t="shared" si="1"/>
        <v/>
      </c>
      <c r="I931" s="243" t="s">
        <v>4435</v>
      </c>
      <c r="J931" s="330" t="str">
        <f t="shared" si="2"/>
        <v>Obtain a wither skeleton's skull</v>
      </c>
      <c r="K931" s="331" t="s">
        <v>4436</v>
      </c>
      <c r="L931" s="332"/>
      <c r="M931" s="331"/>
      <c r="N931" s="331" t="s">
        <v>4437</v>
      </c>
      <c r="O931" s="239" t="s">
        <v>2444</v>
      </c>
      <c r="P931" s="333" t="s">
        <v>4036</v>
      </c>
      <c r="Q931" s="334" t="s">
        <v>4438</v>
      </c>
      <c r="R931" s="333" t="s">
        <v>194</v>
      </c>
      <c r="S931" s="334"/>
    </row>
    <row r="932">
      <c r="A932" s="230">
        <v>932.0</v>
      </c>
      <c r="B932" s="230" t="s">
        <v>188</v>
      </c>
      <c r="C932" s="231"/>
      <c r="D932" s="232"/>
      <c r="E932" s="232">
        <f>IFERROR(__xludf.DUMMYFUNCTION("iferror(SPLIT(D932,""/""),split(""0/0"",""/""))"),0.0)</f>
        <v>0</v>
      </c>
      <c r="F932" s="232">
        <f>IFERROR(__xludf.DUMMYFUNCTION("""COMPUTED_VALUE"""),0.0)</f>
        <v>0</v>
      </c>
      <c r="G932" s="247" t="b">
        <v>0</v>
      </c>
      <c r="H932" s="242" t="str">
        <f t="shared" si="1"/>
        <v/>
      </c>
      <c r="I932" s="246" t="s">
        <v>4439</v>
      </c>
      <c r="J932" s="330" t="str">
        <f t="shared" si="2"/>
        <v>Summon the wither</v>
      </c>
      <c r="K932" s="331" t="s">
        <v>4440</v>
      </c>
      <c r="L932" s="332"/>
      <c r="M932" s="331"/>
      <c r="N932" s="331" t="s">
        <v>4441</v>
      </c>
      <c r="O932" s="239" t="s">
        <v>3213</v>
      </c>
      <c r="P932" s="333" t="s">
        <v>4036</v>
      </c>
      <c r="Q932" s="334" t="s">
        <v>4442</v>
      </c>
      <c r="R932" s="333" t="s">
        <v>194</v>
      </c>
      <c r="S932" s="334"/>
    </row>
    <row r="933">
      <c r="A933" s="230">
        <v>933.0</v>
      </c>
      <c r="B933" s="230" t="s">
        <v>188</v>
      </c>
      <c r="C933" s="231"/>
      <c r="D933" s="232"/>
      <c r="E933" s="232">
        <f>IFERROR(__xludf.DUMMYFUNCTION("iferror(SPLIT(D933,""/""),split(""0/0"",""/""))"),0.0)</f>
        <v>0</v>
      </c>
      <c r="F933" s="232">
        <f>IFERROR(__xludf.DUMMYFUNCTION("""COMPUTED_VALUE"""),0.0)</f>
        <v>0</v>
      </c>
      <c r="G933" s="247" t="b">
        <v>0</v>
      </c>
      <c r="H933" s="242" t="str">
        <f t="shared" si="1"/>
        <v/>
      </c>
      <c r="I933" s="243" t="s">
        <v>4443</v>
      </c>
      <c r="J933" s="330" t="str">
        <f t="shared" si="2"/>
        <v>Pick up some Wither Roses from the damage the Wither wrought on your world</v>
      </c>
      <c r="K933" s="331" t="s">
        <v>4444</v>
      </c>
      <c r="L933" s="332"/>
      <c r="M933" s="331"/>
      <c r="N933" s="331" t="s">
        <v>4445</v>
      </c>
      <c r="O933" s="239" t="s">
        <v>4446</v>
      </c>
      <c r="P933" s="333" t="s">
        <v>4036</v>
      </c>
      <c r="Q933" s="334" t="s">
        <v>4447</v>
      </c>
      <c r="R933" s="333" t="s">
        <v>194</v>
      </c>
      <c r="S933" s="334"/>
    </row>
    <row r="934">
      <c r="A934" s="230">
        <v>934.0</v>
      </c>
      <c r="B934" s="230" t="s">
        <v>188</v>
      </c>
      <c r="C934" s="231"/>
      <c r="D934" s="232"/>
      <c r="E934" s="232">
        <f>IFERROR(__xludf.DUMMYFUNCTION("iferror(SPLIT(D934,""/""),split(""0/0"",""/""))"),0.0)</f>
        <v>0</v>
      </c>
      <c r="F934" s="232">
        <f>IFERROR(__xludf.DUMMYFUNCTION("""COMPUTED_VALUE"""),0.0)</f>
        <v>0</v>
      </c>
      <c r="G934" s="247" t="b">
        <v>0</v>
      </c>
      <c r="H934" s="242" t="str">
        <f t="shared" si="1"/>
        <v/>
      </c>
      <c r="I934" s="246" t="s">
        <v>4448</v>
      </c>
      <c r="J934" s="330" t="str">
        <f t="shared" si="2"/>
        <v>Construct and place a beacon (Place a beacon on at least a level 1 pyramid)</v>
      </c>
      <c r="K934" s="331"/>
      <c r="L934" s="332"/>
      <c r="M934" s="331" t="s">
        <v>4449</v>
      </c>
      <c r="N934" s="331" t="s">
        <v>4450</v>
      </c>
      <c r="O934" s="239" t="s">
        <v>4451</v>
      </c>
      <c r="P934" s="333" t="s">
        <v>4036</v>
      </c>
      <c r="Q934" s="334" t="s">
        <v>4452</v>
      </c>
      <c r="R934" s="333" t="s">
        <v>194</v>
      </c>
      <c r="S934" s="334"/>
    </row>
    <row r="935">
      <c r="A935" s="230">
        <v>935.0</v>
      </c>
      <c r="B935" s="230" t="s">
        <v>188</v>
      </c>
      <c r="C935" s="231"/>
      <c r="D935" s="232"/>
      <c r="E935" s="232">
        <f>IFERROR(__xludf.DUMMYFUNCTION("iferror(SPLIT(D935,""/""),split(""0/0"",""/""))"),0.0)</f>
        <v>0</v>
      </c>
      <c r="F935" s="232">
        <f>IFERROR(__xludf.DUMMYFUNCTION("""COMPUTED_VALUE"""),0.0)</f>
        <v>0</v>
      </c>
      <c r="G935" s="247" t="b">
        <v>0</v>
      </c>
      <c r="H935" s="242" t="str">
        <f t="shared" si="1"/>
        <v/>
      </c>
      <c r="I935" s="249" t="s">
        <v>4453</v>
      </c>
      <c r="J935" s="330" t="str">
        <f t="shared" si="2"/>
        <v>Bring a beacon to full power (Place a beacon on at least a level 4 pyramid)</v>
      </c>
      <c r="K935" s="331"/>
      <c r="L935" s="332"/>
      <c r="M935" s="331" t="s">
        <v>4454</v>
      </c>
      <c r="N935" s="331" t="s">
        <v>4455</v>
      </c>
      <c r="O935" s="239" t="s">
        <v>4451</v>
      </c>
      <c r="P935" s="333" t="s">
        <v>4036</v>
      </c>
      <c r="Q935" s="334" t="s">
        <v>4456</v>
      </c>
      <c r="R935" s="333" t="s">
        <v>194</v>
      </c>
      <c r="S935" s="334"/>
    </row>
    <row r="936">
      <c r="A936" s="230">
        <v>936.0</v>
      </c>
      <c r="B936" s="230" t="s">
        <v>206</v>
      </c>
      <c r="C936" s="231"/>
      <c r="D936" s="232"/>
      <c r="E936" s="232">
        <f>IFERROR(__xludf.DUMMYFUNCTION("iferror(SPLIT(D936,""/""),split(""0/0"",""/""))"),0.0)</f>
        <v>0</v>
      </c>
      <c r="F936" s="232">
        <f>IFERROR(__xludf.DUMMYFUNCTION("""COMPUTED_VALUE"""),0.0)</f>
        <v>0</v>
      </c>
      <c r="G936" s="247" t="b">
        <v>0</v>
      </c>
      <c r="H936" s="242" t="str">
        <f t="shared" si="1"/>
        <v/>
      </c>
      <c r="I936" s="249" t="s">
        <v>4457</v>
      </c>
      <c r="J936" s="330" t="str">
        <f t="shared" si="2"/>
        <v>Hold a Diamond or Netherite Pickaxe enchanted with Efficiency V while under the Haste II effect</v>
      </c>
      <c r="K936" s="331" t="s">
        <v>3664</v>
      </c>
      <c r="L936" s="332"/>
      <c r="M936" s="331"/>
      <c r="N936" s="331" t="s">
        <v>4458</v>
      </c>
      <c r="O936" s="239" t="s">
        <v>667</v>
      </c>
      <c r="P936" s="333" t="s">
        <v>4036</v>
      </c>
      <c r="Q936" s="334" t="s">
        <v>4459</v>
      </c>
      <c r="R936" s="333" t="s">
        <v>194</v>
      </c>
      <c r="S936" s="334"/>
    </row>
    <row r="937">
      <c r="A937" s="230">
        <v>937.0</v>
      </c>
      <c r="B937" s="230" t="s">
        <v>257</v>
      </c>
      <c r="C937" s="231"/>
      <c r="D937" s="232"/>
      <c r="E937" s="232">
        <f>IFERROR(__xludf.DUMMYFUNCTION("iferror(SPLIT(D937,""/""),split(""0/0"",""/""))"),0.0)</f>
        <v>0</v>
      </c>
      <c r="F937" s="232">
        <f>IFERROR(__xludf.DUMMYFUNCTION("""COMPUTED_VALUE"""),0.0)</f>
        <v>0</v>
      </c>
      <c r="G937" s="247" t="b">
        <v>0</v>
      </c>
      <c r="H937" s="242" t="str">
        <f t="shared" si="1"/>
        <v/>
      </c>
      <c r="I937" s="249" t="s">
        <v>4460</v>
      </c>
      <c r="J937" s="330" t="str">
        <f t="shared" si="2"/>
        <v>Acquire every beacon-induced effect at once (Obtain Speed, Haste, Resistance, Jump Boost, Strength and Regeneration from beacons)</v>
      </c>
      <c r="K937" s="331" t="s">
        <v>4461</v>
      </c>
      <c r="L937" s="332"/>
      <c r="M937" s="331" t="s">
        <v>4462</v>
      </c>
      <c r="N937" s="331" t="s">
        <v>4463</v>
      </c>
      <c r="O937" s="239" t="s">
        <v>711</v>
      </c>
      <c r="P937" s="333" t="s">
        <v>4036</v>
      </c>
      <c r="Q937" s="334" t="s">
        <v>4464</v>
      </c>
      <c r="R937" s="333" t="s">
        <v>194</v>
      </c>
      <c r="S937" s="333" t="s">
        <v>262</v>
      </c>
    </row>
    <row r="938">
      <c r="A938" s="230">
        <v>938.0</v>
      </c>
      <c r="B938" s="230" t="s">
        <v>188</v>
      </c>
      <c r="C938" s="231"/>
      <c r="D938" s="232"/>
      <c r="E938" s="232">
        <f>IFERROR(__xludf.DUMMYFUNCTION("iferror(SPLIT(D938,""/""),split(""0/0"",""/""))"),0.0)</f>
        <v>0</v>
      </c>
      <c r="F938" s="232">
        <f>IFERROR(__xludf.DUMMYFUNCTION("""COMPUTED_VALUE"""),0.0)</f>
        <v>0</v>
      </c>
      <c r="G938" s="247" t="b">
        <v>0</v>
      </c>
      <c r="H938" s="242" t="str">
        <f t="shared" si="1"/>
        <v/>
      </c>
      <c r="I938" s="243" t="s">
        <v>4465</v>
      </c>
      <c r="J938" s="330" t="str">
        <f t="shared" si="2"/>
        <v>Relieve a Blaze of its rod</v>
      </c>
      <c r="K938" s="331" t="s">
        <v>4466</v>
      </c>
      <c r="L938" s="332"/>
      <c r="M938" s="331"/>
      <c r="N938" s="331" t="s">
        <v>4467</v>
      </c>
      <c r="O938" s="239" t="s">
        <v>2580</v>
      </c>
      <c r="P938" s="333" t="s">
        <v>4036</v>
      </c>
      <c r="Q938" s="334" t="s">
        <v>4468</v>
      </c>
      <c r="R938" s="333" t="s">
        <v>194</v>
      </c>
      <c r="S938" s="334"/>
    </row>
    <row r="939">
      <c r="A939" s="230">
        <v>939.0</v>
      </c>
      <c r="B939" s="230" t="s">
        <v>188</v>
      </c>
      <c r="C939" s="231"/>
      <c r="D939" s="232"/>
      <c r="E939" s="232">
        <f>IFERROR(__xludf.DUMMYFUNCTION("iferror(SPLIT(D939,""/""),split(""0/0"",""/""))"),0.0)</f>
        <v>0</v>
      </c>
      <c r="F939" s="232">
        <f>IFERROR(__xludf.DUMMYFUNCTION("""COMPUTED_VALUE"""),0.0)</f>
        <v>0</v>
      </c>
      <c r="G939" s="247" t="b">
        <v>0</v>
      </c>
      <c r="H939" s="242" t="str">
        <f t="shared" si="1"/>
        <v/>
      </c>
      <c r="I939" s="243" t="s">
        <v>4469</v>
      </c>
      <c r="J939" s="330" t="str">
        <f t="shared" si="2"/>
        <v>Block some Blaze fireballs (Block a Blaze's fireball with a shield)</v>
      </c>
      <c r="K939" s="331" t="s">
        <v>4470</v>
      </c>
      <c r="L939" s="332"/>
      <c r="M939" s="331" t="s">
        <v>4471</v>
      </c>
      <c r="N939" s="331" t="s">
        <v>4472</v>
      </c>
      <c r="O939" s="239" t="s">
        <v>2298</v>
      </c>
      <c r="P939" s="333" t="s">
        <v>4036</v>
      </c>
      <c r="Q939" s="334" t="s">
        <v>4473</v>
      </c>
      <c r="R939" s="333" t="s">
        <v>194</v>
      </c>
      <c r="S939" s="334"/>
    </row>
    <row r="940">
      <c r="A940" s="230">
        <v>940.0</v>
      </c>
      <c r="B940" s="230" t="s">
        <v>188</v>
      </c>
      <c r="C940" s="231"/>
      <c r="D940" s="232"/>
      <c r="E940" s="232">
        <f>IFERROR(__xludf.DUMMYFUNCTION("iferror(SPLIT(D940,""/""),split(""0/0"",""/""))"),0.0)</f>
        <v>0</v>
      </c>
      <c r="F940" s="232">
        <f>IFERROR(__xludf.DUMMYFUNCTION("""COMPUTED_VALUE"""),0.0)</f>
        <v>0</v>
      </c>
      <c r="G940" s="247" t="b">
        <v>0</v>
      </c>
      <c r="H940" s="242" t="str">
        <f t="shared" si="1"/>
        <v/>
      </c>
      <c r="I940" s="246" t="s">
        <v>4474</v>
      </c>
      <c r="J940" s="330" t="str">
        <f t="shared" si="2"/>
        <v>Collect a stack of blaze rods</v>
      </c>
      <c r="K940" s="331" t="s">
        <v>4475</v>
      </c>
      <c r="L940" s="332"/>
      <c r="M940" s="331"/>
      <c r="N940" s="331" t="s">
        <v>4476</v>
      </c>
      <c r="O940" s="239" t="s">
        <v>4477</v>
      </c>
      <c r="P940" s="333" t="s">
        <v>4036</v>
      </c>
      <c r="Q940" s="334" t="s">
        <v>4478</v>
      </c>
      <c r="R940" s="333" t="s">
        <v>194</v>
      </c>
      <c r="S940" s="334"/>
    </row>
    <row r="941">
      <c r="A941" s="230">
        <v>941.0</v>
      </c>
      <c r="B941" s="230" t="s">
        <v>188</v>
      </c>
      <c r="C941" s="231"/>
      <c r="D941" s="232"/>
      <c r="E941" s="232">
        <f>IFERROR(__xludf.DUMMYFUNCTION("iferror(SPLIT(D941,""/""),split(""0/0"",""/""))"),0.0)</f>
        <v>0</v>
      </c>
      <c r="F941" s="232">
        <f>IFERROR(__xludf.DUMMYFUNCTION("""COMPUTED_VALUE"""),0.0)</f>
        <v>0</v>
      </c>
      <c r="G941" s="247" t="b">
        <v>0</v>
      </c>
      <c r="H941" s="242" t="str">
        <f t="shared" si="1"/>
        <v/>
      </c>
      <c r="I941" s="246" t="s">
        <v>4479</v>
      </c>
      <c r="J941" s="330" t="str">
        <f t="shared" si="2"/>
        <v>Craft a stack of fire charges</v>
      </c>
      <c r="K941" s="331" t="s">
        <v>2767</v>
      </c>
      <c r="L941" s="332"/>
      <c r="M941" s="331"/>
      <c r="N941" s="331" t="s">
        <v>4480</v>
      </c>
      <c r="O941" s="239" t="s">
        <v>2714</v>
      </c>
      <c r="P941" s="333" t="s">
        <v>4036</v>
      </c>
      <c r="Q941" s="334" t="s">
        <v>4481</v>
      </c>
      <c r="R941" s="333" t="s">
        <v>194</v>
      </c>
      <c r="S941" s="334"/>
    </row>
    <row r="942">
      <c r="A942" s="230">
        <v>942.0</v>
      </c>
      <c r="B942" s="230" t="s">
        <v>188</v>
      </c>
      <c r="C942" s="231"/>
      <c r="D942" s="232"/>
      <c r="E942" s="232">
        <f>IFERROR(__xludf.DUMMYFUNCTION("iferror(SPLIT(D942,""/""),split(""0/0"",""/""))"),0.0)</f>
        <v>0</v>
      </c>
      <c r="F942" s="232">
        <f>IFERROR(__xludf.DUMMYFUNCTION("""COMPUTED_VALUE"""),0.0)</f>
        <v>0</v>
      </c>
      <c r="G942" s="247" t="b">
        <v>0</v>
      </c>
      <c r="H942" s="242" t="str">
        <f t="shared" si="1"/>
        <v/>
      </c>
      <c r="I942" s="243" t="s">
        <v>4482</v>
      </c>
      <c r="J942" s="330" t="str">
        <f t="shared" si="2"/>
        <v>Harvest some nether wart from a nether fortress (Obtain nether wart)</v>
      </c>
      <c r="K942" s="331"/>
      <c r="L942" s="332"/>
      <c r="M942" s="331" t="s">
        <v>4483</v>
      </c>
      <c r="N942" s="331" t="s">
        <v>4484</v>
      </c>
      <c r="O942" s="239" t="s">
        <v>2807</v>
      </c>
      <c r="P942" s="333" t="s">
        <v>4036</v>
      </c>
      <c r="Q942" s="334" t="s">
        <v>4485</v>
      </c>
      <c r="R942" s="333" t="s">
        <v>194</v>
      </c>
      <c r="S942" s="334"/>
    </row>
    <row r="943">
      <c r="A943" s="230">
        <v>943.0</v>
      </c>
      <c r="B943" s="230" t="s">
        <v>188</v>
      </c>
      <c r="C943" s="231"/>
      <c r="D943" s="232"/>
      <c r="E943" s="232">
        <f>IFERROR(__xludf.DUMMYFUNCTION("iferror(SPLIT(D943,""/""),split(""0/0"",""/""))"),0.0)</f>
        <v>0</v>
      </c>
      <c r="F943" s="232">
        <f>IFERROR(__xludf.DUMMYFUNCTION("""COMPUTED_VALUE"""),0.0)</f>
        <v>0</v>
      </c>
      <c r="G943" s="247" t="b">
        <v>0</v>
      </c>
      <c r="H943" s="242" t="str">
        <f t="shared" si="1"/>
        <v/>
      </c>
      <c r="I943" s="243" t="s">
        <v>4486</v>
      </c>
      <c r="J943" s="330" t="str">
        <f t="shared" si="2"/>
        <v>Craft a brewing stand for brewing potions (Obtain a brewing stand)</v>
      </c>
      <c r="K943" s="331"/>
      <c r="L943" s="332"/>
      <c r="M943" s="331" t="s">
        <v>4487</v>
      </c>
      <c r="N943" s="331" t="s">
        <v>4488</v>
      </c>
      <c r="O943" s="239" t="s">
        <v>3193</v>
      </c>
      <c r="P943" s="333" t="s">
        <v>4036</v>
      </c>
      <c r="Q943" s="334" t="s">
        <v>4489</v>
      </c>
      <c r="R943" s="333" t="s">
        <v>194</v>
      </c>
      <c r="S943" s="334"/>
    </row>
    <row r="944">
      <c r="A944" s="230">
        <v>944.0</v>
      </c>
      <c r="B944" s="230" t="s">
        <v>188</v>
      </c>
      <c r="C944" s="231"/>
      <c r="D944" s="232"/>
      <c r="E944" s="232">
        <f>IFERROR(__xludf.DUMMYFUNCTION("iferror(SPLIT(D944,""/""),split(""0/0"",""/""))"),0.0)</f>
        <v>0</v>
      </c>
      <c r="F944" s="232">
        <f>IFERROR(__xludf.DUMMYFUNCTION("""COMPUTED_VALUE"""),0.0)</f>
        <v>0</v>
      </c>
      <c r="G944" s="247" t="b">
        <v>0</v>
      </c>
      <c r="H944" s="242" t="str">
        <f t="shared" si="1"/>
        <v/>
      </c>
      <c r="I944" s="243" t="s">
        <v>4490</v>
      </c>
      <c r="J944" s="330" t="str">
        <f t="shared" si="2"/>
        <v>Craft an ender chest for some extra inventory space (Obtain an ender chest)</v>
      </c>
      <c r="K944" s="331" t="s">
        <v>4491</v>
      </c>
      <c r="L944" s="332"/>
      <c r="M944" s="331" t="s">
        <v>4492</v>
      </c>
      <c r="N944" s="331" t="s">
        <v>4493</v>
      </c>
      <c r="O944" s="239" t="s">
        <v>4003</v>
      </c>
      <c r="P944" s="333" t="s">
        <v>4036</v>
      </c>
      <c r="Q944" s="334" t="s">
        <v>4494</v>
      </c>
      <c r="R944" s="333" t="s">
        <v>194</v>
      </c>
      <c r="S944" s="334"/>
    </row>
    <row r="945">
      <c r="A945" s="230">
        <v>945.0</v>
      </c>
      <c r="B945" s="230" t="s">
        <v>188</v>
      </c>
      <c r="C945" s="231"/>
      <c r="D945" s="232"/>
      <c r="E945" s="232">
        <f>IFERROR(__xludf.DUMMYFUNCTION("iferror(SPLIT(D945,""/""),split(""0/0"",""/""))"),0.0)</f>
        <v>0</v>
      </c>
      <c r="F945" s="232">
        <f>IFERROR(__xludf.DUMMYFUNCTION("""COMPUTED_VALUE"""),0.0)</f>
        <v>0</v>
      </c>
      <c r="G945" s="247" t="b">
        <v>0</v>
      </c>
      <c r="H945" s="242" t="str">
        <f t="shared" si="1"/>
        <v/>
      </c>
      <c r="I945" s="243" t="s">
        <v>4495</v>
      </c>
      <c r="J945" s="330" t="str">
        <f t="shared" si="2"/>
        <v>Follow an Ender Eye (Enter a stronghold)</v>
      </c>
      <c r="K945" s="331" t="s">
        <v>4496</v>
      </c>
      <c r="L945" s="332"/>
      <c r="M945" s="331" t="s">
        <v>4497</v>
      </c>
      <c r="N945" s="331" t="s">
        <v>4498</v>
      </c>
      <c r="O945" s="239" t="s">
        <v>922</v>
      </c>
      <c r="P945" s="333" t="s">
        <v>4036</v>
      </c>
      <c r="Q945" s="334" t="s">
        <v>4499</v>
      </c>
      <c r="R945" s="333" t="s">
        <v>194</v>
      </c>
      <c r="S945" s="334"/>
    </row>
    <row r="946">
      <c r="A946" s="230">
        <v>946.0</v>
      </c>
      <c r="B946" s="230" t="s">
        <v>188</v>
      </c>
      <c r="C946" s="231"/>
      <c r="D946" s="232"/>
      <c r="E946" s="232">
        <f>IFERROR(__xludf.DUMMYFUNCTION("iferror(SPLIT(D946,""/""),split(""0/0"",""/""))"),0.0)</f>
        <v>0</v>
      </c>
      <c r="F946" s="232">
        <f>IFERROR(__xludf.DUMMYFUNCTION("""COMPUTED_VALUE"""),0.0)</f>
        <v>0</v>
      </c>
      <c r="G946" s="247" t="b">
        <v>0</v>
      </c>
      <c r="H946" s="242" t="str">
        <f t="shared" si="1"/>
        <v/>
      </c>
      <c r="I946" s="246" t="s">
        <v>4500</v>
      </c>
      <c r="J946" s="330" t="str">
        <f t="shared" si="2"/>
        <v>Enter the End Portal (Enter an end portal)</v>
      </c>
      <c r="K946" s="331"/>
      <c r="L946" s="332"/>
      <c r="M946" s="331" t="s">
        <v>4501</v>
      </c>
      <c r="N946" s="331" t="s">
        <v>4502</v>
      </c>
      <c r="O946" s="239" t="s">
        <v>4503</v>
      </c>
      <c r="P946" s="333" t="s">
        <v>4036</v>
      </c>
      <c r="Q946" s="334" t="s">
        <v>4504</v>
      </c>
      <c r="R946" s="333" t="s">
        <v>194</v>
      </c>
      <c r="S946" s="334"/>
    </row>
    <row r="947">
      <c r="A947" s="230">
        <v>947.0</v>
      </c>
      <c r="B947" s="230" t="s">
        <v>188</v>
      </c>
      <c r="C947" s="231"/>
      <c r="D947" s="232"/>
      <c r="E947" s="232">
        <f>IFERROR(__xludf.DUMMYFUNCTION("iferror(SPLIT(D947,""/""),split(""0/0"",""/""))"),0.0)</f>
        <v>0</v>
      </c>
      <c r="F947" s="232">
        <f>IFERROR(__xludf.DUMMYFUNCTION("""COMPUTED_VALUE"""),0.0)</f>
        <v>0</v>
      </c>
      <c r="G947" s="247" t="b">
        <v>0</v>
      </c>
      <c r="H947" s="242" t="str">
        <f t="shared" si="1"/>
        <v/>
      </c>
      <c r="I947" s="235" t="s">
        <v>4505</v>
      </c>
      <c r="J947" s="336" t="str">
        <f t="shared" si="2"/>
        <v>Brewing potions with helpful and hindering effects (Brew any potion in the brewing stand)</v>
      </c>
      <c r="K947" s="337"/>
      <c r="L947" s="338"/>
      <c r="M947" s="337" t="s">
        <v>4506</v>
      </c>
      <c r="N947" s="337" t="s">
        <v>4507</v>
      </c>
      <c r="O947" s="239" t="s">
        <v>1996</v>
      </c>
      <c r="P947" s="339" t="s">
        <v>4505</v>
      </c>
      <c r="Q947" s="340" t="s">
        <v>4508</v>
      </c>
      <c r="R947" s="339" t="s">
        <v>194</v>
      </c>
      <c r="S947" s="340"/>
    </row>
    <row r="948">
      <c r="A948" s="230">
        <v>948.0</v>
      </c>
      <c r="B948" s="230" t="s">
        <v>257</v>
      </c>
      <c r="C948" s="231"/>
      <c r="D948" s="232"/>
      <c r="E948" s="232">
        <f>IFERROR(__xludf.DUMMYFUNCTION("iferror(SPLIT(D948,""/""),split(""0/0"",""/""))"),0.0)</f>
        <v>0</v>
      </c>
      <c r="F948" s="232">
        <f>IFERROR(__xludf.DUMMYFUNCTION("""COMPUTED_VALUE"""),0.0)</f>
        <v>0</v>
      </c>
      <c r="G948" s="233" t="b">
        <v>0</v>
      </c>
      <c r="H948" s="242" t="str">
        <f t="shared" si="1"/>
        <v/>
      </c>
      <c r="I948" s="243" t="s">
        <v>4509</v>
      </c>
      <c r="J948" s="336" t="str">
        <f t="shared" si="2"/>
        <v>Brew a Mundane and Thick Potion (Brew a mundane and thick potion in the brewing stand)</v>
      </c>
      <c r="K948" s="337"/>
      <c r="L948" s="338"/>
      <c r="M948" s="337" t="s">
        <v>4510</v>
      </c>
      <c r="N948" s="337" t="s">
        <v>4511</v>
      </c>
      <c r="O948" s="239" t="s">
        <v>1996</v>
      </c>
      <c r="P948" s="339" t="s">
        <v>4505</v>
      </c>
      <c r="Q948" s="340" t="s">
        <v>4512</v>
      </c>
      <c r="R948" s="339" t="s">
        <v>194</v>
      </c>
      <c r="S948" s="340" t="s">
        <v>4513</v>
      </c>
    </row>
    <row r="949">
      <c r="A949" s="230">
        <v>949.0</v>
      </c>
      <c r="B949" s="230" t="s">
        <v>188</v>
      </c>
      <c r="C949" s="231"/>
      <c r="D949" s="232"/>
      <c r="E949" s="232">
        <f>IFERROR(__xludf.DUMMYFUNCTION("iferror(SPLIT(D949,""/""),split(""0/0"",""/""))"),0.0)</f>
        <v>0</v>
      </c>
      <c r="F949" s="232">
        <f>IFERROR(__xludf.DUMMYFUNCTION("""COMPUTED_VALUE"""),0.0)</f>
        <v>0</v>
      </c>
      <c r="G949" s="247" t="b">
        <v>0</v>
      </c>
      <c r="H949" s="242" t="str">
        <f t="shared" si="1"/>
        <v/>
      </c>
      <c r="I949" s="243" t="s">
        <v>4514</v>
      </c>
      <c r="J949" s="336" t="str">
        <f t="shared" si="2"/>
        <v>Kill a mob with a splash potion</v>
      </c>
      <c r="K949" s="337" t="s">
        <v>2413</v>
      </c>
      <c r="L949" s="338"/>
      <c r="M949" s="337"/>
      <c r="N949" s="337" t="s">
        <v>4515</v>
      </c>
      <c r="O949" s="239" t="s">
        <v>2490</v>
      </c>
      <c r="P949" s="339" t="s">
        <v>4505</v>
      </c>
      <c r="Q949" s="340" t="s">
        <v>4516</v>
      </c>
      <c r="R949" s="339" t="s">
        <v>194</v>
      </c>
      <c r="S949" s="340"/>
    </row>
    <row r="950">
      <c r="A950" s="230">
        <v>950.0</v>
      </c>
      <c r="B950" s="230" t="s">
        <v>188</v>
      </c>
      <c r="C950" s="231"/>
      <c r="D950" s="232"/>
      <c r="E950" s="232">
        <f>IFERROR(__xludf.DUMMYFUNCTION("iferror(SPLIT(D950,""/""),split(""0/0"",""/""))"),0.0)</f>
        <v>0</v>
      </c>
      <c r="F950" s="232">
        <f>IFERROR(__xludf.DUMMYFUNCTION("""COMPUTED_VALUE"""),0.0)</f>
        <v>0</v>
      </c>
      <c r="G950" s="247" t="b">
        <v>0</v>
      </c>
      <c r="H950" s="242" t="str">
        <f t="shared" si="1"/>
        <v/>
      </c>
      <c r="I950" s="243" t="s">
        <v>4517</v>
      </c>
      <c r="J950" s="336" t="str">
        <f t="shared" si="2"/>
        <v>Brew a Speed Potion for cheating on athletics (Take a speed potion out of a brewing stand)</v>
      </c>
      <c r="K950" s="337" t="s">
        <v>4518</v>
      </c>
      <c r="L950" s="338"/>
      <c r="M950" s="337" t="s">
        <v>4519</v>
      </c>
      <c r="N950" s="337" t="s">
        <v>4520</v>
      </c>
      <c r="O950" s="239" t="s">
        <v>2482</v>
      </c>
      <c r="P950" s="339" t="s">
        <v>4505</v>
      </c>
      <c r="Q950" s="340" t="s">
        <v>4521</v>
      </c>
      <c r="R950" s="339" t="s">
        <v>194</v>
      </c>
      <c r="S950" s="340"/>
    </row>
    <row r="951">
      <c r="A951" s="230">
        <v>951.0</v>
      </c>
      <c r="B951" s="230" t="s">
        <v>188</v>
      </c>
      <c r="C951" s="231"/>
      <c r="D951" s="232"/>
      <c r="E951" s="232">
        <f>IFERROR(__xludf.DUMMYFUNCTION("iferror(SPLIT(D951,""/""),split(""0/0"",""/""))"),0.0)</f>
        <v>0</v>
      </c>
      <c r="F951" s="232">
        <f>IFERROR(__xludf.DUMMYFUNCTION("""COMPUTED_VALUE"""),0.0)</f>
        <v>0</v>
      </c>
      <c r="G951" s="233" t="b">
        <v>0</v>
      </c>
      <c r="H951" s="242" t="str">
        <f t="shared" si="1"/>
        <v/>
      </c>
      <c r="I951" s="243" t="s">
        <v>4522</v>
      </c>
      <c r="J951" s="336" t="str">
        <f t="shared" si="2"/>
        <v>Brew a Strength Potion for cheating on weightlifting (Take a strength potion out of a brewing stand)</v>
      </c>
      <c r="K951" s="337" t="s">
        <v>4523</v>
      </c>
      <c r="L951" s="338"/>
      <c r="M951" s="337" t="s">
        <v>4524</v>
      </c>
      <c r="N951" s="337" t="s">
        <v>4525</v>
      </c>
      <c r="O951" s="239" t="s">
        <v>2764</v>
      </c>
      <c r="P951" s="339" t="s">
        <v>4505</v>
      </c>
      <c r="Q951" s="340" t="s">
        <v>4526</v>
      </c>
      <c r="R951" s="339" t="s">
        <v>194</v>
      </c>
      <c r="S951" s="340"/>
    </row>
    <row r="952">
      <c r="A952" s="230">
        <v>952.0</v>
      </c>
      <c r="B952" s="230" t="s">
        <v>188</v>
      </c>
      <c r="C952" s="231"/>
      <c r="D952" s="232"/>
      <c r="E952" s="232">
        <f>IFERROR(__xludf.DUMMYFUNCTION("iferror(SPLIT(D952,""/""),split(""0/0"",""/""))"),0.0)</f>
        <v>0</v>
      </c>
      <c r="F952" s="232">
        <f>IFERROR(__xludf.DUMMYFUNCTION("""COMPUTED_VALUE"""),0.0)</f>
        <v>0</v>
      </c>
      <c r="G952" s="247" t="b">
        <v>0</v>
      </c>
      <c r="H952" s="242" t="str">
        <f t="shared" si="1"/>
        <v/>
      </c>
      <c r="I952" s="243" t="s">
        <v>4527</v>
      </c>
      <c r="J952" s="336" t="str">
        <f t="shared" si="2"/>
        <v>Brew up a potion of Weakness (Take a weakness potion out of a brewing stand)</v>
      </c>
      <c r="K952" s="337"/>
      <c r="L952" s="338"/>
      <c r="M952" s="337" t="s">
        <v>4528</v>
      </c>
      <c r="N952" s="337" t="s">
        <v>4529</v>
      </c>
      <c r="O952" s="239" t="s">
        <v>2401</v>
      </c>
      <c r="P952" s="339" t="s">
        <v>4505</v>
      </c>
      <c r="Q952" s="340" t="s">
        <v>4530</v>
      </c>
      <c r="R952" s="339" t="s">
        <v>194</v>
      </c>
      <c r="S952" s="340"/>
    </row>
    <row r="953">
      <c r="A953" s="230">
        <v>953.0</v>
      </c>
      <c r="B953" s="230" t="s">
        <v>188</v>
      </c>
      <c r="C953" s="231"/>
      <c r="D953" s="232"/>
      <c r="E953" s="232">
        <f>IFERROR(__xludf.DUMMYFUNCTION("iferror(SPLIT(D953,""/""),split(""0/0"",""/""))"),0.0)</f>
        <v>0</v>
      </c>
      <c r="F953" s="232">
        <f>IFERROR(__xludf.DUMMYFUNCTION("""COMPUTED_VALUE"""),0.0)</f>
        <v>0</v>
      </c>
      <c r="G953" s="247" t="b">
        <v>0</v>
      </c>
      <c r="H953" s="242" t="str">
        <f t="shared" si="1"/>
        <v/>
      </c>
      <c r="I953" s="246" t="s">
        <v>4531</v>
      </c>
      <c r="J953" s="336" t="str">
        <f t="shared" si="2"/>
        <v>Cure a zombie villager</v>
      </c>
      <c r="K953" s="337" t="s">
        <v>4532</v>
      </c>
      <c r="L953" s="338"/>
      <c r="M953" s="337"/>
      <c r="N953" s="337" t="s">
        <v>4533</v>
      </c>
      <c r="O953" s="239" t="s">
        <v>1347</v>
      </c>
      <c r="P953" s="339" t="s">
        <v>4505</v>
      </c>
      <c r="Q953" s="340" t="s">
        <v>4534</v>
      </c>
      <c r="R953" s="339" t="s">
        <v>194</v>
      </c>
      <c r="S953" s="340"/>
    </row>
    <row r="954">
      <c r="A954" s="230">
        <v>954.0</v>
      </c>
      <c r="B954" s="230" t="s">
        <v>188</v>
      </c>
      <c r="C954" s="231"/>
      <c r="D954" s="232"/>
      <c r="E954" s="232">
        <f>IFERROR(__xludf.DUMMYFUNCTION("iferror(SPLIT(D954,""/""),split(""0/0"",""/""))"),0.0)</f>
        <v>0</v>
      </c>
      <c r="F954" s="232">
        <f>IFERROR(__xludf.DUMMYFUNCTION("""COMPUTED_VALUE"""),0.0)</f>
        <v>0</v>
      </c>
      <c r="G954" s="247" t="b">
        <v>0</v>
      </c>
      <c r="H954" s="242" t="str">
        <f t="shared" si="1"/>
        <v/>
      </c>
      <c r="I954" s="249" t="s">
        <v>4535</v>
      </c>
      <c r="J954" s="336" t="str">
        <f t="shared" si="2"/>
        <v>Cure a zombie villager of every profession</v>
      </c>
      <c r="K954" s="337" t="s">
        <v>4536</v>
      </c>
      <c r="L954" s="338"/>
      <c r="M954" s="337"/>
      <c r="N954" s="337" t="s">
        <v>4537</v>
      </c>
      <c r="O954" s="239" t="s">
        <v>2283</v>
      </c>
      <c r="P954" s="339" t="s">
        <v>4505</v>
      </c>
      <c r="Q954" s="340" t="s">
        <v>4538</v>
      </c>
      <c r="R954" s="339" t="s">
        <v>194</v>
      </c>
      <c r="S954" s="340"/>
    </row>
    <row r="955">
      <c r="A955" s="230">
        <v>955.0</v>
      </c>
      <c r="B955" s="230" t="s">
        <v>206</v>
      </c>
      <c r="C955" s="231"/>
      <c r="D955" s="232"/>
      <c r="E955" s="232">
        <f>IFERROR(__xludf.DUMMYFUNCTION("iferror(SPLIT(D955,""/""),split(""0/0"",""/""))"),0.0)</f>
        <v>0</v>
      </c>
      <c r="F955" s="232">
        <f>IFERROR(__xludf.DUMMYFUNCTION("""COMPUTED_VALUE"""),0.0)</f>
        <v>0</v>
      </c>
      <c r="G955" s="247" t="b">
        <v>0</v>
      </c>
      <c r="H955" s="242" t="str">
        <f t="shared" si="1"/>
        <v/>
      </c>
      <c r="I955" s="243" t="s">
        <v>4539</v>
      </c>
      <c r="J955" s="336" t="str">
        <f t="shared" si="2"/>
        <v>Brew a healing potion (Take a healing potion out of a brewing stand)</v>
      </c>
      <c r="K955" s="337" t="s">
        <v>4540</v>
      </c>
      <c r="L955" s="338"/>
      <c r="M955" s="337" t="s">
        <v>4541</v>
      </c>
      <c r="N955" s="337" t="s">
        <v>4542</v>
      </c>
      <c r="O955" s="239" t="s">
        <v>4543</v>
      </c>
      <c r="P955" s="339" t="s">
        <v>4505</v>
      </c>
      <c r="Q955" s="340" t="s">
        <v>4544</v>
      </c>
      <c r="R955" s="339" t="s">
        <v>194</v>
      </c>
      <c r="S955" s="340"/>
    </row>
    <row r="956">
      <c r="A956" s="230">
        <v>956.0</v>
      </c>
      <c r="B956" s="230" t="s">
        <v>206</v>
      </c>
      <c r="C956" s="231"/>
      <c r="D956" s="232"/>
      <c r="E956" s="232">
        <f>IFERROR(__xludf.DUMMYFUNCTION("iferror(SPLIT(D956,""/""),split(""0/0"",""/""))"),0.0)</f>
        <v>0</v>
      </c>
      <c r="F956" s="232">
        <f>IFERROR(__xludf.DUMMYFUNCTION("""COMPUTED_VALUE"""),0.0)</f>
        <v>0</v>
      </c>
      <c r="G956" s="247" t="b">
        <v>0</v>
      </c>
      <c r="H956" s="242" t="str">
        <f t="shared" si="1"/>
        <v/>
      </c>
      <c r="I956" s="243" t="s">
        <v>4545</v>
      </c>
      <c r="J956" s="336" t="str">
        <f t="shared" si="2"/>
        <v>Brew and drink a regeneration potion</v>
      </c>
      <c r="K956" s="337" t="s">
        <v>4262</v>
      </c>
      <c r="L956" s="338"/>
      <c r="M956" s="337"/>
      <c r="N956" s="337" t="s">
        <v>4546</v>
      </c>
      <c r="O956" s="239" t="s">
        <v>2664</v>
      </c>
      <c r="P956" s="339" t="s">
        <v>4505</v>
      </c>
      <c r="Q956" s="340" t="s">
        <v>4547</v>
      </c>
      <c r="R956" s="339" t="s">
        <v>194</v>
      </c>
      <c r="S956" s="340"/>
    </row>
    <row r="957">
      <c r="A957" s="230">
        <v>957.0</v>
      </c>
      <c r="B957" s="230" t="s">
        <v>188</v>
      </c>
      <c r="C957" s="231"/>
      <c r="D957" s="232"/>
      <c r="E957" s="232">
        <f>IFERROR(__xludf.DUMMYFUNCTION("iferror(SPLIT(D957,""/""),split(""0/0"",""/""))"),0.0)</f>
        <v>0</v>
      </c>
      <c r="F957" s="232">
        <f>IFERROR(__xludf.DUMMYFUNCTION("""COMPUTED_VALUE"""),0.0)</f>
        <v>0</v>
      </c>
      <c r="G957" s="247" t="b">
        <v>0</v>
      </c>
      <c r="H957" s="242" t="str">
        <f t="shared" si="1"/>
        <v/>
      </c>
      <c r="I957" s="243" t="s">
        <v>4548</v>
      </c>
      <c r="J957" s="336" t="str">
        <f t="shared" si="2"/>
        <v>Brew and drink a night vision potion</v>
      </c>
      <c r="K957" s="337" t="s">
        <v>3107</v>
      </c>
      <c r="L957" s="338"/>
      <c r="M957" s="337"/>
      <c r="N957" s="337" t="s">
        <v>4549</v>
      </c>
      <c r="O957" s="239" t="s">
        <v>1547</v>
      </c>
      <c r="P957" s="339" t="s">
        <v>4505</v>
      </c>
      <c r="Q957" s="340" t="s">
        <v>4550</v>
      </c>
      <c r="R957" s="339" t="s">
        <v>194</v>
      </c>
      <c r="S957" s="340"/>
    </row>
    <row r="958">
      <c r="A958" s="230">
        <v>958.0</v>
      </c>
      <c r="B958" s="230" t="s">
        <v>188</v>
      </c>
      <c r="C958" s="231"/>
      <c r="D958" s="232"/>
      <c r="E958" s="232">
        <f>IFERROR(__xludf.DUMMYFUNCTION("iferror(SPLIT(D958,""/""),split(""0/0"",""/""))"),0.0)</f>
        <v>0</v>
      </c>
      <c r="F958" s="232">
        <f>IFERROR(__xludf.DUMMYFUNCTION("""COMPUTED_VALUE"""),0.0)</f>
        <v>0</v>
      </c>
      <c r="G958" s="247" t="b">
        <v>0</v>
      </c>
      <c r="H958" s="242" t="str">
        <f t="shared" si="1"/>
        <v/>
      </c>
      <c r="I958" s="243" t="s">
        <v>4551</v>
      </c>
      <c r="J958" s="336" t="str">
        <f t="shared" si="2"/>
        <v>Brew and drink an invisibility potion</v>
      </c>
      <c r="K958" s="337"/>
      <c r="L958" s="338"/>
      <c r="M958" s="337"/>
      <c r="N958" s="337" t="s">
        <v>4552</v>
      </c>
      <c r="O958" s="239" t="s">
        <v>265</v>
      </c>
      <c r="P958" s="339" t="s">
        <v>4505</v>
      </c>
      <c r="Q958" s="340" t="s">
        <v>4553</v>
      </c>
      <c r="R958" s="339" t="s">
        <v>194</v>
      </c>
      <c r="S958" s="340"/>
    </row>
    <row r="959">
      <c r="A959" s="230">
        <v>959.0</v>
      </c>
      <c r="B959" s="230" t="s">
        <v>257</v>
      </c>
      <c r="C959" s="231"/>
      <c r="D959" s="232"/>
      <c r="E959" s="232">
        <f>IFERROR(__xludf.DUMMYFUNCTION("iferror(SPLIT(D959,""/""),split(""0/0"",""/""))"),0.0)</f>
        <v>0</v>
      </c>
      <c r="F959" s="232">
        <f>IFERROR(__xludf.DUMMYFUNCTION("""COMPUTED_VALUE"""),0.0)</f>
        <v>0</v>
      </c>
      <c r="G959" s="233" t="b">
        <v>0</v>
      </c>
      <c r="H959" s="242" t="str">
        <f t="shared" si="1"/>
        <v/>
      </c>
      <c r="I959" s="243" t="s">
        <v>4554</v>
      </c>
      <c r="J959" s="336" t="str">
        <f t="shared" si="2"/>
        <v>Dispatch a Creeper at melee range while you are invisible (Kill a Creeper that is less than 5 blocks away while you are invisible)</v>
      </c>
      <c r="K959" s="337" t="s">
        <v>2418</v>
      </c>
      <c r="L959" s="338"/>
      <c r="M959" s="337" t="s">
        <v>4555</v>
      </c>
      <c r="N959" s="337" t="s">
        <v>4556</v>
      </c>
      <c r="O959" s="239" t="s">
        <v>1969</v>
      </c>
      <c r="P959" s="339" t="s">
        <v>4505</v>
      </c>
      <c r="Q959" s="340" t="s">
        <v>4557</v>
      </c>
      <c r="R959" s="339" t="s">
        <v>194</v>
      </c>
      <c r="S959" s="340" t="s">
        <v>4513</v>
      </c>
    </row>
    <row r="960">
      <c r="A960" s="230">
        <v>960.0</v>
      </c>
      <c r="B960" s="230" t="s">
        <v>188</v>
      </c>
      <c r="C960" s="231"/>
      <c r="D960" s="232"/>
      <c r="E960" s="232">
        <f>IFERROR(__xludf.DUMMYFUNCTION("iferror(SPLIT(D960,""/""),split(""0/0"",""/""))"),0.0)</f>
        <v>0</v>
      </c>
      <c r="F960" s="232">
        <f>IFERROR(__xludf.DUMMYFUNCTION("""COMPUTED_VALUE"""),0.0)</f>
        <v>0</v>
      </c>
      <c r="G960" s="233" t="b">
        <v>0</v>
      </c>
      <c r="H960" s="242" t="str">
        <f t="shared" si="1"/>
        <v/>
      </c>
      <c r="I960" s="243" t="s">
        <v>4558</v>
      </c>
      <c r="J960" s="336" t="str">
        <f t="shared" si="2"/>
        <v>Brew and drink a slow falling potion</v>
      </c>
      <c r="K960" s="337" t="s">
        <v>2518</v>
      </c>
      <c r="L960" s="338"/>
      <c r="M960" s="337"/>
      <c r="N960" s="337" t="s">
        <v>4559</v>
      </c>
      <c r="O960" s="239" t="s">
        <v>2515</v>
      </c>
      <c r="P960" s="339" t="s">
        <v>4505</v>
      </c>
      <c r="Q960" s="340" t="s">
        <v>4560</v>
      </c>
      <c r="R960" s="339" t="s">
        <v>194</v>
      </c>
      <c r="S960" s="340"/>
    </row>
    <row r="961">
      <c r="A961" s="230">
        <v>961.0</v>
      </c>
      <c r="B961" s="230" t="s">
        <v>257</v>
      </c>
      <c r="C961" s="231"/>
      <c r="D961" s="232"/>
      <c r="E961" s="232">
        <f>IFERROR(__xludf.DUMMYFUNCTION("iferror(SPLIT(D961,""/""),split(""0/0"",""/""))"),0.0)</f>
        <v>0</v>
      </c>
      <c r="F961" s="232">
        <f>IFERROR(__xludf.DUMMYFUNCTION("""COMPUTED_VALUE"""),0.0)</f>
        <v>0</v>
      </c>
      <c r="G961" s="247" t="b">
        <v>0</v>
      </c>
      <c r="H961" s="242" t="str">
        <f t="shared" si="1"/>
        <v/>
      </c>
      <c r="I961" s="246" t="s">
        <v>4561</v>
      </c>
      <c r="J961" s="336" t="str">
        <f t="shared" si="2"/>
        <v>Become nearly invincible to all damage using a Turtle Master Potion (Drink a Potion of the Turtle Master)</v>
      </c>
      <c r="K961" s="337" t="s">
        <v>4562</v>
      </c>
      <c r="L961" s="338"/>
      <c r="M961" s="337" t="s">
        <v>4563</v>
      </c>
      <c r="N961" s="337" t="s">
        <v>4564</v>
      </c>
      <c r="O961" s="239" t="s">
        <v>2229</v>
      </c>
      <c r="P961" s="339" t="s">
        <v>4505</v>
      </c>
      <c r="Q961" s="340" t="s">
        <v>4565</v>
      </c>
      <c r="R961" s="339" t="s">
        <v>194</v>
      </c>
      <c r="S961" s="340" t="s">
        <v>4513</v>
      </c>
    </row>
    <row r="962">
      <c r="A962" s="230">
        <v>962.0</v>
      </c>
      <c r="B962" s="230"/>
      <c r="C962" s="231"/>
      <c r="D962" s="232"/>
      <c r="E962" s="232">
        <f>IFERROR(__xludf.DUMMYFUNCTION("iferror(SPLIT(D962,""/""),split(""0/0"",""/""))"),0.0)</f>
        <v>0</v>
      </c>
      <c r="F962" s="232">
        <f>IFERROR(__xludf.DUMMYFUNCTION("""COMPUTED_VALUE"""),0.0)</f>
        <v>0</v>
      </c>
      <c r="G962" s="247" t="b">
        <v>0</v>
      </c>
      <c r="H962" s="242" t="str">
        <f t="shared" si="1"/>
        <v/>
      </c>
      <c r="I962" s="243" t="s">
        <v>4566</v>
      </c>
      <c r="J962" s="336" t="str">
        <f t="shared" si="2"/>
        <v>Use a Slime Block to brew a Potion of Oozing (Take an oozing potion out of a brewing stand)</v>
      </c>
      <c r="K962" s="337" t="s">
        <v>4567</v>
      </c>
      <c r="L962" s="338"/>
      <c r="M962" s="337" t="s">
        <v>4568</v>
      </c>
      <c r="N962" s="337" t="s">
        <v>4569</v>
      </c>
      <c r="O962" s="239" t="s">
        <v>2499</v>
      </c>
      <c r="P962" s="339" t="s">
        <v>4505</v>
      </c>
      <c r="Q962" s="340" t="s">
        <v>4570</v>
      </c>
      <c r="R962" s="339" t="s">
        <v>194</v>
      </c>
      <c r="S962" s="340"/>
    </row>
    <row r="963">
      <c r="A963" s="230">
        <v>963.0</v>
      </c>
      <c r="B963" s="230" t="s">
        <v>257</v>
      </c>
      <c r="C963" s="231"/>
      <c r="D963" s="232"/>
      <c r="E963" s="232">
        <f>IFERROR(__xludf.DUMMYFUNCTION("iferror(SPLIT(D963,""/""),split(""0/0"",""/""))"),0.0)</f>
        <v>0</v>
      </c>
      <c r="F963" s="232">
        <f>IFERROR(__xludf.DUMMYFUNCTION("""COMPUTED_VALUE"""),0.0)</f>
        <v>0</v>
      </c>
      <c r="G963" s="247" t="b">
        <v>0</v>
      </c>
      <c r="H963" s="242" t="str">
        <f t="shared" si="1"/>
        <v/>
      </c>
      <c r="I963" s="246" t="s">
        <v>4571</v>
      </c>
      <c r="J963" s="336" t="str">
        <f t="shared" si="2"/>
        <v>Kill a mob that has the Wind Charged, Weaving and Oozing effects</v>
      </c>
      <c r="K963" s="337"/>
      <c r="L963" s="338"/>
      <c r="M963" s="337"/>
      <c r="N963" s="337" t="s">
        <v>4572</v>
      </c>
      <c r="O963" s="239" t="s">
        <v>2490</v>
      </c>
      <c r="P963" s="339" t="s">
        <v>4505</v>
      </c>
      <c r="Q963" s="340" t="s">
        <v>4573</v>
      </c>
      <c r="R963" s="339" t="s">
        <v>194</v>
      </c>
      <c r="S963" s="340"/>
    </row>
    <row r="964">
      <c r="A964" s="230">
        <v>964.0</v>
      </c>
      <c r="B964" s="230" t="s">
        <v>188</v>
      </c>
      <c r="C964" s="231"/>
      <c r="D964" s="232"/>
      <c r="E964" s="232">
        <f>IFERROR(__xludf.DUMMYFUNCTION("iferror(SPLIT(D964,""/""),split(""0/0"",""/""))"),0.0)</f>
        <v>0</v>
      </c>
      <c r="F964" s="232">
        <f>IFERROR(__xludf.DUMMYFUNCTION("""COMPUTED_VALUE"""),0.0)</f>
        <v>0</v>
      </c>
      <c r="G964" s="247" t="b">
        <v>0</v>
      </c>
      <c r="H964" s="242" t="str">
        <f t="shared" si="1"/>
        <v/>
      </c>
      <c r="I964" s="243" t="s">
        <v>4574</v>
      </c>
      <c r="J964" s="336" t="str">
        <f t="shared" si="2"/>
        <v>Collect dragon's breath in a glass bottle (Obtain dragon's breath)</v>
      </c>
      <c r="K964" s="337" t="s">
        <v>4575</v>
      </c>
      <c r="L964" s="338"/>
      <c r="M964" s="337" t="s">
        <v>4576</v>
      </c>
      <c r="N964" s="337" t="s">
        <v>4577</v>
      </c>
      <c r="O964" s="239" t="s">
        <v>3703</v>
      </c>
      <c r="P964" s="339" t="s">
        <v>4505</v>
      </c>
      <c r="Q964" s="340" t="s">
        <v>4578</v>
      </c>
      <c r="R964" s="339" t="s">
        <v>194</v>
      </c>
      <c r="S964" s="340"/>
    </row>
    <row r="965">
      <c r="A965" s="230">
        <v>965.0</v>
      </c>
      <c r="B965" s="230" t="s">
        <v>188</v>
      </c>
      <c r="C965" s="231"/>
      <c r="D965" s="232"/>
      <c r="E965" s="232">
        <f>IFERROR(__xludf.DUMMYFUNCTION("iferror(SPLIT(D965,""/""),split(""0/0"",""/""))"),0.0)</f>
        <v>0</v>
      </c>
      <c r="F965" s="232">
        <f>IFERROR(__xludf.DUMMYFUNCTION("""COMPUTED_VALUE"""),0.0)</f>
        <v>0</v>
      </c>
      <c r="G965" s="247" t="b">
        <v>0</v>
      </c>
      <c r="H965" s="242" t="str">
        <f t="shared" si="1"/>
        <v/>
      </c>
      <c r="I965" s="243" t="s">
        <v>4579</v>
      </c>
      <c r="J965" s="336" t="str">
        <f t="shared" si="2"/>
        <v>Use dragon's breath to brew up lingering potions (Obtain a lingering potion)</v>
      </c>
      <c r="K965" s="337" t="s">
        <v>4580</v>
      </c>
      <c r="L965" s="338"/>
      <c r="M965" s="337" t="s">
        <v>4581</v>
      </c>
      <c r="N965" s="337" t="s">
        <v>4582</v>
      </c>
      <c r="O965" s="239" t="s">
        <v>4583</v>
      </c>
      <c r="P965" s="339" t="s">
        <v>4505</v>
      </c>
      <c r="Q965" s="340" t="s">
        <v>4584</v>
      </c>
      <c r="R965" s="339" t="s">
        <v>194</v>
      </c>
      <c r="S965" s="340"/>
    </row>
    <row r="966">
      <c r="A966" s="230">
        <v>966.0</v>
      </c>
      <c r="B966" s="230" t="s">
        <v>188</v>
      </c>
      <c r="C966" s="231"/>
      <c r="D966" s="232"/>
      <c r="E966" s="232">
        <f>IFERROR(__xludf.DUMMYFUNCTION("iferror(SPLIT(D966,""/""),split(""0/0"",""/""))"),0.0)</f>
        <v>0</v>
      </c>
      <c r="F966" s="232">
        <f>IFERROR(__xludf.DUMMYFUNCTION("""COMPUTED_VALUE"""),0.0)</f>
        <v>0</v>
      </c>
      <c r="G966" s="247" t="b">
        <v>0</v>
      </c>
      <c r="H966" s="242" t="str">
        <f t="shared" si="1"/>
        <v/>
      </c>
      <c r="I966" s="246" t="s">
        <v>4585</v>
      </c>
      <c r="J966" s="336" t="str">
        <f t="shared" si="2"/>
        <v>Kill a mob using a lingering potion</v>
      </c>
      <c r="K966" s="337" t="s">
        <v>4575</v>
      </c>
      <c r="L966" s="338"/>
      <c r="M966" s="337"/>
      <c r="N966" s="337" t="s">
        <v>4586</v>
      </c>
      <c r="O966" s="239" t="s">
        <v>4583</v>
      </c>
      <c r="P966" s="339" t="s">
        <v>4505</v>
      </c>
      <c r="Q966" s="340" t="s">
        <v>4587</v>
      </c>
      <c r="R966" s="339" t="s">
        <v>194</v>
      </c>
      <c r="S966" s="340"/>
    </row>
    <row r="967">
      <c r="A967" s="230">
        <v>967.0</v>
      </c>
      <c r="B967" s="230" t="s">
        <v>206</v>
      </c>
      <c r="C967" s="231"/>
      <c r="D967" s="232"/>
      <c r="E967" s="232">
        <f>IFERROR(__xludf.DUMMYFUNCTION("iferror(SPLIT(D967,""/""),split(""0/0"",""/""))"),0.0)</f>
        <v>0</v>
      </c>
      <c r="F967" s="232">
        <f>IFERROR(__xludf.DUMMYFUNCTION("""COMPUTED_VALUE"""),0.0)</f>
        <v>0</v>
      </c>
      <c r="G967" s="247" t="b">
        <v>0</v>
      </c>
      <c r="H967" s="242" t="str">
        <f t="shared" si="1"/>
        <v/>
      </c>
      <c r="I967" s="243" t="s">
        <v>4588</v>
      </c>
      <c r="J967" s="336" t="str">
        <f t="shared" si="2"/>
        <v>Craft some Tipped Arrows using arrows and a Lingering Potion (They must be crafted - not just obtained)</v>
      </c>
      <c r="K967" s="337" t="s">
        <v>4575</v>
      </c>
      <c r="L967" s="338"/>
      <c r="M967" s="337" t="s">
        <v>4589</v>
      </c>
      <c r="N967" s="337" t="s">
        <v>4590</v>
      </c>
      <c r="O967" s="239" t="s">
        <v>2359</v>
      </c>
      <c r="P967" s="339" t="s">
        <v>4505</v>
      </c>
      <c r="Q967" s="340" t="s">
        <v>4591</v>
      </c>
      <c r="R967" s="339" t="s">
        <v>194</v>
      </c>
      <c r="S967" s="340"/>
    </row>
    <row r="968">
      <c r="A968" s="230">
        <v>968.0</v>
      </c>
      <c r="B968" s="230" t="s">
        <v>257</v>
      </c>
      <c r="C968" s="231"/>
      <c r="D968" s="232"/>
      <c r="E968" s="232">
        <f>IFERROR(__xludf.DUMMYFUNCTION("iferror(SPLIT(D968,""/""),split(""0/0"",""/""))"),0.0)</f>
        <v>0</v>
      </c>
      <c r="F968" s="232">
        <f>IFERROR(__xludf.DUMMYFUNCTION("""COMPUTED_VALUE"""),0.0)</f>
        <v>0</v>
      </c>
      <c r="G968" s="247" t="b">
        <v>0</v>
      </c>
      <c r="H968" s="242" t="str">
        <f t="shared" si="1"/>
        <v/>
      </c>
      <c r="I968" s="249" t="s">
        <v>4592</v>
      </c>
      <c r="J968" s="336" t="str">
        <f t="shared" si="2"/>
        <v>Craft every type of tipped arrow (See requirement notes below)</v>
      </c>
      <c r="K968" s="337" t="s">
        <v>4593</v>
      </c>
      <c r="L968" s="338"/>
      <c r="M968" s="341" t="s">
        <v>238</v>
      </c>
      <c r="N968" s="337" t="s">
        <v>4594</v>
      </c>
      <c r="O968" s="239" t="s">
        <v>2359</v>
      </c>
      <c r="P968" s="339" t="s">
        <v>4505</v>
      </c>
      <c r="Q968" s="340" t="s">
        <v>4595</v>
      </c>
      <c r="R968" s="339" t="s">
        <v>194</v>
      </c>
      <c r="S968" s="340" t="s">
        <v>4513</v>
      </c>
    </row>
    <row r="969">
      <c r="A969" s="230">
        <v>969.0</v>
      </c>
      <c r="B969" s="230" t="s">
        <v>206</v>
      </c>
      <c r="C969" s="231"/>
      <c r="D969" s="232"/>
      <c r="E969" s="232">
        <f>IFERROR(__xludf.DUMMYFUNCTION("iferror(SPLIT(D969,""/""),split(""0/0"",""/""))"),0.0)</f>
        <v>0</v>
      </c>
      <c r="F969" s="232">
        <f>IFERROR(__xludf.DUMMYFUNCTION("""COMPUTED_VALUE"""),0.0)</f>
        <v>0</v>
      </c>
      <c r="G969" s="247" t="b">
        <v>0</v>
      </c>
      <c r="H969" s="242" t="str">
        <f t="shared" si="1"/>
        <v/>
      </c>
      <c r="I969" s="243" t="s">
        <v>4596</v>
      </c>
      <c r="J969" s="336" t="str">
        <f t="shared" si="2"/>
        <v>Swim in lava while having the Fire Resistance effect (Be in lava while having the Fire Resistance effect)</v>
      </c>
      <c r="K969" s="337" t="s">
        <v>4597</v>
      </c>
      <c r="L969" s="338"/>
      <c r="M969" s="337" t="s">
        <v>4598</v>
      </c>
      <c r="N969" s="337" t="s">
        <v>4599</v>
      </c>
      <c r="O969" s="239" t="s">
        <v>4235</v>
      </c>
      <c r="P969" s="339" t="s">
        <v>4505</v>
      </c>
      <c r="Q969" s="340" t="s">
        <v>4600</v>
      </c>
      <c r="R969" s="339" t="s">
        <v>194</v>
      </c>
      <c r="S969" s="340"/>
    </row>
    <row r="970">
      <c r="A970" s="230">
        <v>970.0</v>
      </c>
      <c r="B970" s="230" t="s">
        <v>188</v>
      </c>
      <c r="C970" s="231"/>
      <c r="D970" s="232"/>
      <c r="E970" s="232">
        <f>IFERROR(__xludf.DUMMYFUNCTION("iferror(SPLIT(D970,""/""),split(""0/0"",""/""))"),0.0)</f>
        <v>0</v>
      </c>
      <c r="F970" s="232">
        <f>IFERROR(__xludf.DUMMYFUNCTION("""COMPUTED_VALUE"""),0.0)</f>
        <v>0</v>
      </c>
      <c r="G970" s="247" t="b">
        <v>0</v>
      </c>
      <c r="H970" s="242" t="str">
        <f t="shared" si="1"/>
        <v/>
      </c>
      <c r="I970" s="243" t="s">
        <v>4601</v>
      </c>
      <c r="J970" s="336" t="str">
        <f t="shared" si="2"/>
        <v>Swim in water while having the Water Breathing effect (Be in water while having the Water Breathing effect)</v>
      </c>
      <c r="K970" s="337"/>
      <c r="L970" s="338"/>
      <c r="M970" s="337" t="s">
        <v>4602</v>
      </c>
      <c r="N970" s="337" t="s">
        <v>4603</v>
      </c>
      <c r="O970" s="239" t="s">
        <v>2205</v>
      </c>
      <c r="P970" s="339" t="s">
        <v>4505</v>
      </c>
      <c r="Q970" s="340" t="s">
        <v>4604</v>
      </c>
      <c r="R970" s="339" t="s">
        <v>194</v>
      </c>
      <c r="S970" s="340"/>
    </row>
    <row r="971">
      <c r="A971" s="230">
        <v>971.0</v>
      </c>
      <c r="B971" s="230" t="s">
        <v>188</v>
      </c>
      <c r="C971" s="231"/>
      <c r="D971" s="232"/>
      <c r="E971" s="232">
        <f>IFERROR(__xludf.DUMMYFUNCTION("iferror(SPLIT(D971,""/""),split(""0/0"",""/""))"),0.0)</f>
        <v>0</v>
      </c>
      <c r="F971" s="232">
        <f>IFERROR(__xludf.DUMMYFUNCTION("""COMPUTED_VALUE"""),0.0)</f>
        <v>0</v>
      </c>
      <c r="G971" s="247" t="b">
        <v>0</v>
      </c>
      <c r="H971" s="242" t="str">
        <f t="shared" si="1"/>
        <v/>
      </c>
      <c r="I971" s="243" t="s">
        <v>4605</v>
      </c>
      <c r="J971" s="336" t="str">
        <f t="shared" si="2"/>
        <v>Get jump boost from a beacon or potion (Get the jump boost effect)</v>
      </c>
      <c r="K971" s="337" t="s">
        <v>4606</v>
      </c>
      <c r="L971" s="338"/>
      <c r="M971" s="337" t="s">
        <v>4607</v>
      </c>
      <c r="N971" s="337" t="s">
        <v>4608</v>
      </c>
      <c r="O971" s="239" t="s">
        <v>1647</v>
      </c>
      <c r="P971" s="339" t="s">
        <v>4505</v>
      </c>
      <c r="Q971" s="340" t="s">
        <v>4609</v>
      </c>
      <c r="R971" s="339" t="s">
        <v>194</v>
      </c>
      <c r="S971" s="340"/>
    </row>
    <row r="972">
      <c r="A972" s="230">
        <v>972.0</v>
      </c>
      <c r="B972" s="230" t="s">
        <v>188</v>
      </c>
      <c r="C972" s="231"/>
      <c r="D972" s="232"/>
      <c r="E972" s="232">
        <f>IFERROR(__xludf.DUMMYFUNCTION("iferror(SPLIT(D972,""/""),split(""0/0"",""/""))"),0.0)</f>
        <v>0</v>
      </c>
      <c r="F972" s="232">
        <f>IFERROR(__xludf.DUMMYFUNCTION("""COMPUTED_VALUE"""),0.0)</f>
        <v>0</v>
      </c>
      <c r="G972" s="247" t="b">
        <v>0</v>
      </c>
      <c r="H972" s="242" t="str">
        <f t="shared" si="1"/>
        <v/>
      </c>
      <c r="I972" s="249" t="s">
        <v>4610</v>
      </c>
      <c r="J972" s="336" t="str">
        <f t="shared" si="2"/>
        <v>Have every potion effect applied at the same time (See requirement notes below)</v>
      </c>
      <c r="K972" s="337"/>
      <c r="L972" s="338"/>
      <c r="M972" s="341" t="s">
        <v>238</v>
      </c>
      <c r="N972" s="337" t="s">
        <v>4611</v>
      </c>
      <c r="O972" s="239" t="s">
        <v>1695</v>
      </c>
      <c r="P972" s="339" t="s">
        <v>4505</v>
      </c>
      <c r="Q972" s="340" t="s">
        <v>4612</v>
      </c>
      <c r="R972" s="339" t="s">
        <v>194</v>
      </c>
      <c r="S972" s="340"/>
    </row>
    <row r="973">
      <c r="A973" s="230">
        <v>973.0</v>
      </c>
      <c r="B973" s="230" t="s">
        <v>188</v>
      </c>
      <c r="C973" s="231"/>
      <c r="D973" s="232"/>
      <c r="E973" s="232">
        <f>IFERROR(__xludf.DUMMYFUNCTION("iferror(SPLIT(D973,""/""),split(""0/0"",""/""))"),0.0)</f>
        <v>0</v>
      </c>
      <c r="F973" s="232">
        <f>IFERROR(__xludf.DUMMYFUNCTION("""COMPUTED_VALUE"""),0.0)</f>
        <v>0</v>
      </c>
      <c r="G973" s="247" t="b">
        <v>0</v>
      </c>
      <c r="H973" s="242" t="str">
        <f t="shared" si="1"/>
        <v/>
      </c>
      <c r="I973" s="249" t="s">
        <v>4613</v>
      </c>
      <c r="J973" s="336" t="str">
        <f t="shared" si="2"/>
        <v>Get all the effects possible during your life (not all at the same time) (See requirement notes below)</v>
      </c>
      <c r="K973" s="337"/>
      <c r="L973" s="338"/>
      <c r="M973" s="341" t="s">
        <v>238</v>
      </c>
      <c r="N973" s="337" t="s">
        <v>4614</v>
      </c>
      <c r="O973" s="239" t="s">
        <v>4615</v>
      </c>
      <c r="P973" s="339" t="s">
        <v>4505</v>
      </c>
      <c r="Q973" s="340" t="s">
        <v>4616</v>
      </c>
      <c r="R973" s="339" t="s">
        <v>194</v>
      </c>
      <c r="S973" s="340"/>
    </row>
    <row r="974">
      <c r="A974" s="230">
        <v>974.0</v>
      </c>
      <c r="B974" s="230" t="s">
        <v>257</v>
      </c>
      <c r="C974" s="231"/>
      <c r="D974" s="232"/>
      <c r="E974" s="232">
        <f>IFERROR(__xludf.DUMMYFUNCTION("iferror(SPLIT(D974,""/""),split(""0/0"",""/""))"),0.0)</f>
        <v>0</v>
      </c>
      <c r="F974" s="232">
        <f>IFERROR(__xludf.DUMMYFUNCTION("""COMPUTED_VALUE"""),0.0)</f>
        <v>0</v>
      </c>
      <c r="G974" s="247" t="b">
        <v>0</v>
      </c>
      <c r="H974" s="242" t="str">
        <f t="shared" si="1"/>
        <v/>
      </c>
      <c r="I974" s="249" t="s">
        <v>4617</v>
      </c>
      <c r="J974" s="336" t="str">
        <f t="shared" si="2"/>
        <v>Get attacked by a mob with every potion effect (See requirement notes below)</v>
      </c>
      <c r="K974" s="337"/>
      <c r="L974" s="338"/>
      <c r="M974" s="341" t="s">
        <v>238</v>
      </c>
      <c r="N974" s="337" t="s">
        <v>4618</v>
      </c>
      <c r="O974" s="239" t="s">
        <v>3470</v>
      </c>
      <c r="P974" s="339" t="s">
        <v>4505</v>
      </c>
      <c r="Q974" s="340" t="s">
        <v>4619</v>
      </c>
      <c r="R974" s="339" t="s">
        <v>194</v>
      </c>
      <c r="S974" s="340" t="s">
        <v>4513</v>
      </c>
    </row>
    <row r="975">
      <c r="A975" s="230">
        <v>975.0</v>
      </c>
      <c r="B975" s="230" t="s">
        <v>257</v>
      </c>
      <c r="C975" s="231"/>
      <c r="D975" s="232"/>
      <c r="E975" s="232">
        <f>IFERROR(__xludf.DUMMYFUNCTION("iferror(SPLIT(D975,""/""),split(""0/0"",""/""))"),0.0)</f>
        <v>0</v>
      </c>
      <c r="F975" s="232">
        <f>IFERROR(__xludf.DUMMYFUNCTION("""COMPUTED_VALUE"""),0.0)</f>
        <v>0</v>
      </c>
      <c r="G975" s="247" t="b">
        <v>0</v>
      </c>
      <c r="H975" s="242" t="str">
        <f t="shared" si="1"/>
        <v/>
      </c>
      <c r="I975" s="249" t="s">
        <v>4620</v>
      </c>
      <c r="J975" s="336" t="str">
        <f t="shared" si="2"/>
        <v>Ignite a Creeper of each possible effect using Flint and Steel (See requirement notes below)</v>
      </c>
      <c r="K975" s="337"/>
      <c r="L975" s="338"/>
      <c r="M975" s="341" t="s">
        <v>238</v>
      </c>
      <c r="N975" s="337" t="s">
        <v>4621</v>
      </c>
      <c r="O975" s="239" t="s">
        <v>277</v>
      </c>
      <c r="P975" s="339" t="s">
        <v>4505</v>
      </c>
      <c r="Q975" s="340" t="s">
        <v>4622</v>
      </c>
      <c r="R975" s="339" t="s">
        <v>194</v>
      </c>
      <c r="S975" s="340" t="s">
        <v>4513</v>
      </c>
    </row>
    <row r="976">
      <c r="A976" s="230">
        <v>976.0</v>
      </c>
      <c r="B976" s="230" t="s">
        <v>188</v>
      </c>
      <c r="C976" s="231"/>
      <c r="D976" s="232"/>
      <c r="E976" s="232">
        <f>IFERROR(__xludf.DUMMYFUNCTION("iferror(SPLIT(D976,""/""),split(""0/0"",""/""))"),0.0)</f>
        <v>0</v>
      </c>
      <c r="F976" s="232">
        <f>IFERROR(__xludf.DUMMYFUNCTION("""COMPUTED_VALUE"""),0.0)</f>
        <v>0</v>
      </c>
      <c r="G976" s="247" t="b">
        <v>0</v>
      </c>
      <c r="H976" s="242" t="str">
        <f t="shared" si="1"/>
        <v/>
      </c>
      <c r="I976" s="235" t="s">
        <v>4623</v>
      </c>
      <c r="J976" s="308" t="str">
        <f t="shared" si="2"/>
        <v>Or the beginning? (Be in the End dimension)</v>
      </c>
      <c r="K976" s="309"/>
      <c r="L976" s="310"/>
      <c r="M976" s="309" t="s">
        <v>4624</v>
      </c>
      <c r="N976" s="309" t="s">
        <v>4625</v>
      </c>
      <c r="O976" s="239" t="s">
        <v>4403</v>
      </c>
      <c r="P976" s="311" t="s">
        <v>4626</v>
      </c>
      <c r="Q976" s="312" t="s">
        <v>4627</v>
      </c>
      <c r="R976" s="311" t="s">
        <v>194</v>
      </c>
      <c r="S976" s="312"/>
    </row>
    <row r="977">
      <c r="A977" s="230">
        <v>977.0</v>
      </c>
      <c r="B977" s="230" t="s">
        <v>188</v>
      </c>
      <c r="C977" s="231"/>
      <c r="D977" s="232"/>
      <c r="E977" s="232">
        <f>IFERROR(__xludf.DUMMYFUNCTION("iferror(SPLIT(D977,""/""),split(""0/0"",""/""))"),0.0)</f>
        <v>0</v>
      </c>
      <c r="F977" s="232">
        <f>IFERROR(__xludf.DUMMYFUNCTION("""COMPUTED_VALUE"""),0.0)</f>
        <v>0</v>
      </c>
      <c r="G977" s="247" t="b">
        <v>0</v>
      </c>
      <c r="H977" s="242" t="str">
        <f t="shared" si="1"/>
        <v/>
      </c>
      <c r="I977" s="243" t="s">
        <v>4628</v>
      </c>
      <c r="J977" s="308" t="str">
        <f t="shared" si="2"/>
        <v>Attempt to block the dragon's attacks (Block an attack from the Ender Dragon with your shield)</v>
      </c>
      <c r="K977" s="309"/>
      <c r="L977" s="310"/>
      <c r="M977" s="309" t="s">
        <v>4629</v>
      </c>
      <c r="N977" s="309" t="s">
        <v>4630</v>
      </c>
      <c r="O977" s="239" t="s">
        <v>2298</v>
      </c>
      <c r="P977" s="311" t="s">
        <v>4626</v>
      </c>
      <c r="Q977" s="312" t="s">
        <v>4631</v>
      </c>
      <c r="R977" s="311" t="s">
        <v>194</v>
      </c>
      <c r="S977" s="312"/>
    </row>
    <row r="978">
      <c r="A978" s="230">
        <v>978.0</v>
      </c>
      <c r="B978" s="230" t="s">
        <v>188</v>
      </c>
      <c r="C978" s="231"/>
      <c r="D978" s="232"/>
      <c r="E978" s="232">
        <f>IFERROR(__xludf.DUMMYFUNCTION("iferror(SPLIT(D978,""/""),split(""0/0"",""/""))"),0.0)</f>
        <v>0</v>
      </c>
      <c r="F978" s="232">
        <f>IFERROR(__xludf.DUMMYFUNCTION("""COMPUTED_VALUE"""),0.0)</f>
        <v>0</v>
      </c>
      <c r="G978" s="247" t="b">
        <v>0</v>
      </c>
      <c r="H978" s="242" t="str">
        <f t="shared" si="1"/>
        <v/>
      </c>
      <c r="I978" s="243" t="s">
        <v>4632</v>
      </c>
      <c r="J978" s="308" t="str">
        <f t="shared" si="2"/>
        <v>Look at the Ender Dragon through a Spyglass</v>
      </c>
      <c r="K978" s="309"/>
      <c r="L978" s="310"/>
      <c r="M978" s="309"/>
      <c r="N978" s="309" t="s">
        <v>4633</v>
      </c>
      <c r="O978" s="239" t="s">
        <v>645</v>
      </c>
      <c r="P978" s="311" t="s">
        <v>4626</v>
      </c>
      <c r="Q978" s="312" t="s">
        <v>4634</v>
      </c>
      <c r="R978" s="311" t="s">
        <v>194</v>
      </c>
      <c r="S978" s="312"/>
    </row>
    <row r="979">
      <c r="A979" s="230">
        <v>979.0</v>
      </c>
      <c r="B979" s="230" t="s">
        <v>188</v>
      </c>
      <c r="C979" s="231"/>
      <c r="D979" s="232"/>
      <c r="E979" s="232">
        <f>IFERROR(__xludf.DUMMYFUNCTION("iferror(SPLIT(D979,""/""),split(""0/0"",""/""))"),0.0)</f>
        <v>0</v>
      </c>
      <c r="F979" s="232">
        <f>IFERROR(__xludf.DUMMYFUNCTION("""COMPUTED_VALUE"""),0.0)</f>
        <v>0</v>
      </c>
      <c r="G979" s="247" t="b">
        <v>0</v>
      </c>
      <c r="H979" s="242" t="str">
        <f t="shared" si="1"/>
        <v/>
      </c>
      <c r="I979" s="246" t="s">
        <v>4635</v>
      </c>
      <c r="J979" s="308" t="str">
        <f t="shared" si="2"/>
        <v>Good luck (Land the killing blow on the Ender Dragon)</v>
      </c>
      <c r="K979" s="309"/>
      <c r="L979" s="310"/>
      <c r="M979" s="309" t="s">
        <v>4636</v>
      </c>
      <c r="N979" s="309" t="s">
        <v>4637</v>
      </c>
      <c r="O979" s="239" t="s">
        <v>4638</v>
      </c>
      <c r="P979" s="311" t="s">
        <v>4626</v>
      </c>
      <c r="Q979" s="312" t="s">
        <v>4639</v>
      </c>
      <c r="R979" s="311" t="s">
        <v>194</v>
      </c>
      <c r="S979" s="312"/>
    </row>
    <row r="980">
      <c r="A980" s="230">
        <v>980.0</v>
      </c>
      <c r="B980" s="230" t="s">
        <v>283</v>
      </c>
      <c r="C980" s="231"/>
      <c r="D980" s="232"/>
      <c r="E980" s="232">
        <f>IFERROR(__xludf.DUMMYFUNCTION("iferror(SPLIT(D980,""/""),split(""0/0"",""/""))"),0.0)</f>
        <v>0</v>
      </c>
      <c r="F980" s="232">
        <f>IFERROR(__xludf.DUMMYFUNCTION("""COMPUTED_VALUE"""),0.0)</f>
        <v>0</v>
      </c>
      <c r="G980" s="247" t="b">
        <v>0</v>
      </c>
      <c r="H980" s="242" t="str">
        <f t="shared" si="1"/>
        <v/>
      </c>
      <c r="I980" s="243" t="s">
        <v>4640</v>
      </c>
      <c r="J980" s="308" t="str">
        <f t="shared" si="2"/>
        <v>Get killed by an Enderman in the End</v>
      </c>
      <c r="K980" s="309"/>
      <c r="L980" s="310"/>
      <c r="M980" s="309"/>
      <c r="N980" s="309" t="s">
        <v>4641</v>
      </c>
      <c r="O980" s="239" t="s">
        <v>2283</v>
      </c>
      <c r="P980" s="311" t="s">
        <v>4626</v>
      </c>
      <c r="Q980" s="312" t="s">
        <v>4642</v>
      </c>
      <c r="R980" s="311" t="s">
        <v>194</v>
      </c>
      <c r="S980" s="312" t="s">
        <v>1276</v>
      </c>
    </row>
    <row r="981">
      <c r="A981" s="230">
        <v>981.0</v>
      </c>
      <c r="B981" s="230" t="s">
        <v>188</v>
      </c>
      <c r="C981" s="231"/>
      <c r="D981" s="232"/>
      <c r="E981" s="232">
        <f>IFERROR(__xludf.DUMMYFUNCTION("iferror(SPLIT(D981,""/""),split(""0/0"",""/""))"),0.0)</f>
        <v>0</v>
      </c>
      <c r="F981" s="232">
        <f>IFERROR(__xludf.DUMMYFUNCTION("""COMPUTED_VALUE"""),0.0)</f>
        <v>0</v>
      </c>
      <c r="G981" s="247" t="b">
        <v>0</v>
      </c>
      <c r="H981" s="242" t="str">
        <f t="shared" si="1"/>
        <v/>
      </c>
      <c r="I981" s="243" t="s">
        <v>4643</v>
      </c>
      <c r="J981" s="308" t="str">
        <f t="shared" si="2"/>
        <v>Fall into the void (Be under y=0 in the End dimension)</v>
      </c>
      <c r="K981" s="309"/>
      <c r="L981" s="310"/>
      <c r="M981" s="309" t="s">
        <v>4644</v>
      </c>
      <c r="N981" s="309" t="s">
        <v>4645</v>
      </c>
      <c r="O981" s="239" t="s">
        <v>245</v>
      </c>
      <c r="P981" s="311" t="s">
        <v>4626</v>
      </c>
      <c r="Q981" s="312" t="s">
        <v>4646</v>
      </c>
      <c r="R981" s="311" t="s">
        <v>194</v>
      </c>
      <c r="S981" s="312"/>
    </row>
    <row r="982">
      <c r="A982" s="230">
        <v>982.0</v>
      </c>
      <c r="B982" s="230" t="s">
        <v>257</v>
      </c>
      <c r="C982" s="231"/>
      <c r="D982" s="232"/>
      <c r="E982" s="232">
        <f>IFERROR(__xludf.DUMMYFUNCTION("iferror(SPLIT(D982,""/""),split(""0/0"",""/""))"),0.0)</f>
        <v>0</v>
      </c>
      <c r="F982" s="232">
        <f>IFERROR(__xludf.DUMMYFUNCTION("""COMPUTED_VALUE"""),0.0)</f>
        <v>0</v>
      </c>
      <c r="G982" s="247" t="b">
        <v>0</v>
      </c>
      <c r="H982" s="242" t="str">
        <f t="shared" si="1"/>
        <v/>
      </c>
      <c r="I982" s="249" t="s">
        <v>4647</v>
      </c>
      <c r="J982" s="308" t="str">
        <f t="shared" si="2"/>
        <v>Survive void damage (Fly under y=-64 for about a second then get up above y=0 without dying. Only works in the End)</v>
      </c>
      <c r="K982" s="309" t="s">
        <v>4648</v>
      </c>
      <c r="L982" s="310"/>
      <c r="M982" s="309" t="s">
        <v>4649</v>
      </c>
      <c r="N982" s="309" t="s">
        <v>4650</v>
      </c>
      <c r="O982" s="239" t="s">
        <v>922</v>
      </c>
      <c r="P982" s="311" t="s">
        <v>4626</v>
      </c>
      <c r="Q982" s="312" t="s">
        <v>4651</v>
      </c>
      <c r="R982" s="311" t="s">
        <v>194</v>
      </c>
      <c r="S982" s="311" t="s">
        <v>3943</v>
      </c>
    </row>
    <row r="983">
      <c r="A983" s="230">
        <v>983.0</v>
      </c>
      <c r="B983" s="230" t="s">
        <v>188</v>
      </c>
      <c r="C983" s="231"/>
      <c r="D983" s="232"/>
      <c r="E983" s="232">
        <f>IFERROR(__xludf.DUMMYFUNCTION("iferror(SPLIT(D983,""/""),split(""0/0"",""/""))"),0.0)</f>
        <v>0</v>
      </c>
      <c r="F983" s="232">
        <f>IFERROR(__xludf.DUMMYFUNCTION("""COMPUTED_VALUE"""),0.0)</f>
        <v>0</v>
      </c>
      <c r="G983" s="247" t="b">
        <v>0</v>
      </c>
      <c r="H983" s="242" t="str">
        <f t="shared" si="1"/>
        <v/>
      </c>
      <c r="I983" s="249" t="s">
        <v>4652</v>
      </c>
      <c r="J983" s="308" t="str">
        <f t="shared" si="2"/>
        <v>Bring a cow from the overworld to the End and then kill it (Kill a Cow in the End)</v>
      </c>
      <c r="K983" s="309"/>
      <c r="L983" s="310"/>
      <c r="M983" s="309" t="s">
        <v>4653</v>
      </c>
      <c r="N983" s="309" t="s">
        <v>4654</v>
      </c>
      <c r="O983" s="239" t="s">
        <v>1584</v>
      </c>
      <c r="P983" s="311" t="s">
        <v>4626</v>
      </c>
      <c r="Q983" s="312" t="s">
        <v>4655</v>
      </c>
      <c r="R983" s="311" t="s">
        <v>194</v>
      </c>
      <c r="S983" s="312"/>
    </row>
    <row r="984">
      <c r="A984" s="230">
        <v>984.0</v>
      </c>
      <c r="B984" s="230" t="s">
        <v>283</v>
      </c>
      <c r="C984" s="231"/>
      <c r="D984" s="232"/>
      <c r="E984" s="232">
        <f>IFERROR(__xludf.DUMMYFUNCTION("iferror(SPLIT(D984,""/""),split(""0/0"",""/""))"),0.0)</f>
        <v>0</v>
      </c>
      <c r="F984" s="232">
        <f>IFERROR(__xludf.DUMMYFUNCTION("""COMPUTED_VALUE"""),0.0)</f>
        <v>0</v>
      </c>
      <c r="G984" s="247" t="b">
        <v>0</v>
      </c>
      <c r="H984" s="242" t="str">
        <f t="shared" si="1"/>
        <v/>
      </c>
      <c r="I984" s="249" t="s">
        <v>4656</v>
      </c>
      <c r="J984" s="308" t="str">
        <f t="shared" si="2"/>
        <v>Lower a Frog into the void using a Slow Falling potion, then kill it so it becomes one with the void (Kill a Frog that has the Slow Falling effect and is below y=0 in the End)</v>
      </c>
      <c r="K984" s="309"/>
      <c r="L984" s="310"/>
      <c r="M984" s="309" t="s">
        <v>4657</v>
      </c>
      <c r="N984" s="309" t="s">
        <v>4658</v>
      </c>
      <c r="O984" s="239" t="s">
        <v>4659</v>
      </c>
      <c r="P984" s="311" t="s">
        <v>4626</v>
      </c>
      <c r="Q984" s="312" t="s">
        <v>4660</v>
      </c>
      <c r="R984" s="311" t="s">
        <v>194</v>
      </c>
      <c r="S984" s="312" t="s">
        <v>267</v>
      </c>
    </row>
    <row r="985">
      <c r="A985" s="230">
        <v>985.0</v>
      </c>
      <c r="B985" s="230" t="s">
        <v>188</v>
      </c>
      <c r="C985" s="231"/>
      <c r="D985" s="232"/>
      <c r="E985" s="232">
        <f>IFERROR(__xludf.DUMMYFUNCTION("iferror(SPLIT(D985,""/""),split(""0/0"",""/""))"),0.0)</f>
        <v>0</v>
      </c>
      <c r="F985" s="232">
        <f>IFERROR(__xludf.DUMMYFUNCTION("""COMPUTED_VALUE"""),0.0)</f>
        <v>0</v>
      </c>
      <c r="G985" s="247" t="b">
        <v>0</v>
      </c>
      <c r="H985" s="242" t="str">
        <f t="shared" si="1"/>
        <v/>
      </c>
      <c r="I985" s="246" t="s">
        <v>4661</v>
      </c>
      <c r="J985" s="308" t="str">
        <f t="shared" si="2"/>
        <v>Hold the Dragon Egg (Obtain the Dragon Egg)</v>
      </c>
      <c r="K985" s="309"/>
      <c r="L985" s="310"/>
      <c r="M985" s="309" t="s">
        <v>4662</v>
      </c>
      <c r="N985" s="309" t="s">
        <v>4663</v>
      </c>
      <c r="O985" s="239" t="s">
        <v>4664</v>
      </c>
      <c r="P985" s="311" t="s">
        <v>4626</v>
      </c>
      <c r="Q985" s="312" t="s">
        <v>4665</v>
      </c>
      <c r="R985" s="311" t="s">
        <v>194</v>
      </c>
      <c r="S985" s="312"/>
    </row>
    <row r="986">
      <c r="A986" s="230">
        <v>986.0</v>
      </c>
      <c r="B986" s="230" t="s">
        <v>188</v>
      </c>
      <c r="C986" s="231"/>
      <c r="D986" s="232"/>
      <c r="E986" s="232">
        <f>IFERROR(__xludf.DUMMYFUNCTION("iferror(SPLIT(D986,""/""),split(""0/0"",""/""))"),0.0)</f>
        <v>0</v>
      </c>
      <c r="F986" s="232">
        <f>IFERROR(__xludf.DUMMYFUNCTION("""COMPUTED_VALUE"""),0.0)</f>
        <v>0</v>
      </c>
      <c r="G986" s="247" t="b">
        <v>0</v>
      </c>
      <c r="H986" s="242" t="str">
        <f t="shared" si="1"/>
        <v/>
      </c>
      <c r="I986" s="243" t="s">
        <v>4666</v>
      </c>
      <c r="J986" s="308" t="str">
        <f t="shared" si="2"/>
        <v>Craft your first ender crystal (Obtain an End Crystal)</v>
      </c>
      <c r="K986" s="309" t="s">
        <v>4667</v>
      </c>
      <c r="L986" s="310"/>
      <c r="M986" s="309" t="s">
        <v>4668</v>
      </c>
      <c r="N986" s="309" t="s">
        <v>4669</v>
      </c>
      <c r="O986" s="239" t="s">
        <v>4670</v>
      </c>
      <c r="P986" s="311" t="s">
        <v>4626</v>
      </c>
      <c r="Q986" s="312" t="s">
        <v>4671</v>
      </c>
      <c r="R986" s="311" t="s">
        <v>194</v>
      </c>
      <c r="S986" s="312"/>
    </row>
    <row r="987">
      <c r="A987" s="230">
        <v>987.0</v>
      </c>
      <c r="B987" s="230" t="s">
        <v>188</v>
      </c>
      <c r="C987" s="231"/>
      <c r="D987" s="232"/>
      <c r="E987" s="232">
        <f>IFERROR(__xludf.DUMMYFUNCTION("iferror(SPLIT(D987,""/""),split(""0/0"",""/""))"),0.0)</f>
        <v>0</v>
      </c>
      <c r="F987" s="232">
        <f>IFERROR(__xludf.DUMMYFUNCTION("""COMPUTED_VALUE"""),0.0)</f>
        <v>0</v>
      </c>
      <c r="G987" s="247" t="b">
        <v>0</v>
      </c>
      <c r="H987" s="242" t="str">
        <f t="shared" si="1"/>
        <v/>
      </c>
      <c r="I987" s="246" t="s">
        <v>4672</v>
      </c>
      <c r="J987" s="308" t="str">
        <f t="shared" si="2"/>
        <v>Respawn the Ender Dragon</v>
      </c>
      <c r="K987" s="309" t="s">
        <v>4667</v>
      </c>
      <c r="L987" s="310"/>
      <c r="M987" s="309"/>
      <c r="N987" s="309" t="s">
        <v>4673</v>
      </c>
      <c r="O987" s="239" t="s">
        <v>4670</v>
      </c>
      <c r="P987" s="311" t="s">
        <v>4626</v>
      </c>
      <c r="Q987" s="312" t="s">
        <v>4674</v>
      </c>
      <c r="R987" s="311" t="s">
        <v>194</v>
      </c>
      <c r="S987" s="312"/>
    </row>
    <row r="988">
      <c r="A988" s="230">
        <v>988.0</v>
      </c>
      <c r="B988" s="230" t="s">
        <v>188</v>
      </c>
      <c r="C988" s="231"/>
      <c r="D988" s="232"/>
      <c r="E988" s="232">
        <f>IFERROR(__xludf.DUMMYFUNCTION("iferror(SPLIT(D988,""/""),split(""0/0"",""/""))"),0.0)</f>
        <v>0</v>
      </c>
      <c r="F988" s="232">
        <f>IFERROR(__xludf.DUMMYFUNCTION("""COMPUTED_VALUE"""),0.0)</f>
        <v>0</v>
      </c>
      <c r="G988" s="247" t="b">
        <v>0</v>
      </c>
      <c r="H988" s="242" t="str">
        <f t="shared" si="1"/>
        <v/>
      </c>
      <c r="I988" s="246" t="s">
        <v>4675</v>
      </c>
      <c r="J988" s="308" t="str">
        <f t="shared" si="2"/>
        <v>Craft 64 ender crystals</v>
      </c>
      <c r="K988" s="309"/>
      <c r="L988" s="310"/>
      <c r="M988" s="309"/>
      <c r="N988" s="309" t="s">
        <v>4676</v>
      </c>
      <c r="O988" s="239" t="s">
        <v>2873</v>
      </c>
      <c r="P988" s="311" t="s">
        <v>4626</v>
      </c>
      <c r="Q988" s="312" t="s">
        <v>4677</v>
      </c>
      <c r="R988" s="311" t="s">
        <v>194</v>
      </c>
      <c r="S988" s="312"/>
    </row>
    <row r="989">
      <c r="A989" s="230">
        <v>989.0</v>
      </c>
      <c r="B989" s="230" t="s">
        <v>257</v>
      </c>
      <c r="C989" s="231"/>
      <c r="D989" s="232"/>
      <c r="E989" s="232">
        <f>IFERROR(__xludf.DUMMYFUNCTION("iferror(SPLIT(D989,""/""),split(""0/0"",""/""))"),0.0)</f>
        <v>0</v>
      </c>
      <c r="F989" s="232">
        <f>IFERROR(__xludf.DUMMYFUNCTION("""COMPUTED_VALUE"""),0.0)</f>
        <v>0</v>
      </c>
      <c r="G989" s="247" t="b">
        <v>0</v>
      </c>
      <c r="H989" s="242" t="str">
        <f t="shared" si="1"/>
        <v/>
      </c>
      <c r="I989" s="249" t="s">
        <v>4678</v>
      </c>
      <c r="J989" s="308" t="str">
        <f t="shared" si="2"/>
        <v>Defeat the Ender Dragon 20 times (Land the killing blow on the Ender Dragon 20 times)</v>
      </c>
      <c r="K989" s="309" t="s">
        <v>4679</v>
      </c>
      <c r="L989" s="310"/>
      <c r="M989" s="309" t="s">
        <v>4680</v>
      </c>
      <c r="N989" s="309" t="s">
        <v>4681</v>
      </c>
      <c r="O989" s="239" t="s">
        <v>4638</v>
      </c>
      <c r="P989" s="311" t="s">
        <v>4626</v>
      </c>
      <c r="Q989" s="312" t="s">
        <v>4682</v>
      </c>
      <c r="R989" s="311" t="s">
        <v>194</v>
      </c>
      <c r="S989" s="312" t="s">
        <v>4683</v>
      </c>
    </row>
    <row r="990">
      <c r="A990" s="230">
        <v>990.0</v>
      </c>
      <c r="B990" s="230" t="s">
        <v>188</v>
      </c>
      <c r="C990" s="231"/>
      <c r="D990" s="232"/>
      <c r="E990" s="232">
        <f>IFERROR(__xludf.DUMMYFUNCTION("iferror(SPLIT(D990,""/""),split(""0/0"",""/""))"),0.0)</f>
        <v>0</v>
      </c>
      <c r="F990" s="232">
        <f>IFERROR(__xludf.DUMMYFUNCTION("""COMPUTED_VALUE"""),0.0)</f>
        <v>0</v>
      </c>
      <c r="G990" s="247" t="b">
        <v>0</v>
      </c>
      <c r="H990" s="242" t="str">
        <f t="shared" si="1"/>
        <v/>
      </c>
      <c r="I990" s="246" t="s">
        <v>4684</v>
      </c>
      <c r="J990" s="308" t="str">
        <f t="shared" si="2"/>
        <v>Say goodbye to the Wither (Kill the Wither in the End)</v>
      </c>
      <c r="K990" s="309" t="s">
        <v>4440</v>
      </c>
      <c r="L990" s="310"/>
      <c r="M990" s="309" t="s">
        <v>4685</v>
      </c>
      <c r="N990" s="309" t="s">
        <v>4686</v>
      </c>
      <c r="O990" s="239" t="s">
        <v>2283</v>
      </c>
      <c r="P990" s="311" t="s">
        <v>4626</v>
      </c>
      <c r="Q990" s="312" t="s">
        <v>4687</v>
      </c>
      <c r="R990" s="311" t="s">
        <v>194</v>
      </c>
      <c r="S990" s="312"/>
    </row>
    <row r="991">
      <c r="A991" s="230">
        <v>991.0</v>
      </c>
      <c r="B991" s="230" t="s">
        <v>188</v>
      </c>
      <c r="C991" s="231"/>
      <c r="D991" s="232"/>
      <c r="E991" s="232">
        <f>IFERROR(__xludf.DUMMYFUNCTION("iferror(SPLIT(D991,""/""),split(""0/0"",""/""))"),0.0)</f>
        <v>0</v>
      </c>
      <c r="F991" s="232">
        <f>IFERROR(__xludf.DUMMYFUNCTION("""COMPUTED_VALUE"""),0.0)</f>
        <v>0</v>
      </c>
      <c r="G991" s="247" t="b">
        <v>0</v>
      </c>
      <c r="H991" s="242" t="str">
        <f t="shared" si="1"/>
        <v/>
      </c>
      <c r="I991" s="243" t="s">
        <v>4688</v>
      </c>
      <c r="J991" s="308" t="str">
        <f t="shared" si="2"/>
        <v>Escape the island (Enter an End Gateway OR be beyond 750 or -750 in the x or z direction in the End)</v>
      </c>
      <c r="K991" s="309" t="s">
        <v>2467</v>
      </c>
      <c r="L991" s="310"/>
      <c r="M991" s="309" t="s">
        <v>4689</v>
      </c>
      <c r="N991" s="309" t="s">
        <v>4690</v>
      </c>
      <c r="O991" s="239" t="s">
        <v>2449</v>
      </c>
      <c r="P991" s="311" t="s">
        <v>4626</v>
      </c>
      <c r="Q991" s="312" t="s">
        <v>4691</v>
      </c>
      <c r="R991" s="311" t="s">
        <v>194</v>
      </c>
      <c r="S991" s="312"/>
    </row>
    <row r="992">
      <c r="A992" s="230">
        <v>992.0</v>
      </c>
      <c r="B992" s="230" t="s">
        <v>188</v>
      </c>
      <c r="C992" s="231"/>
      <c r="D992" s="232"/>
      <c r="E992" s="232">
        <f>IFERROR(__xludf.DUMMYFUNCTION("iferror(SPLIT(D992,""/""),split(""0/0"",""/""))"),0.0)</f>
        <v>0</v>
      </c>
      <c r="F992" s="232">
        <f>IFERROR(__xludf.DUMMYFUNCTION("""COMPUTED_VALUE"""),0.0)</f>
        <v>0</v>
      </c>
      <c r="G992" s="247" t="b">
        <v>0</v>
      </c>
      <c r="H992" s="242" t="str">
        <f t="shared" si="1"/>
        <v/>
      </c>
      <c r="I992" s="243" t="s">
        <v>4692</v>
      </c>
      <c r="J992" s="308" t="str">
        <f t="shared" si="2"/>
        <v>Craft end bricks from end stone (Obtain End Stone Bricks)</v>
      </c>
      <c r="K992" s="309"/>
      <c r="L992" s="310"/>
      <c r="M992" s="309" t="s">
        <v>4693</v>
      </c>
      <c r="N992" s="309" t="s">
        <v>4694</v>
      </c>
      <c r="O992" s="239" t="s">
        <v>4695</v>
      </c>
      <c r="P992" s="311" t="s">
        <v>4626</v>
      </c>
      <c r="Q992" s="312" t="s">
        <v>4696</v>
      </c>
      <c r="R992" s="311" t="s">
        <v>194</v>
      </c>
      <c r="S992" s="312"/>
    </row>
    <row r="993">
      <c r="A993" s="230">
        <v>993.0</v>
      </c>
      <c r="B993" s="230" t="s">
        <v>188</v>
      </c>
      <c r="C993" s="231"/>
      <c r="D993" s="232"/>
      <c r="E993" s="232">
        <f>IFERROR(__xludf.DUMMYFUNCTION("iferror(SPLIT(D993,""/""),split(""0/0"",""/""))"),0.0)</f>
        <v>0</v>
      </c>
      <c r="F993" s="232">
        <f>IFERROR(__xludf.DUMMYFUNCTION("""COMPUTED_VALUE"""),0.0)</f>
        <v>0</v>
      </c>
      <c r="G993" s="247" t="b">
        <v>0</v>
      </c>
      <c r="H993" s="242" t="str">
        <f t="shared" si="1"/>
        <v/>
      </c>
      <c r="I993" s="243" t="s">
        <v>4697</v>
      </c>
      <c r="J993" s="308" t="str">
        <f t="shared" si="2"/>
        <v>Attack a chorus tree until it collapses (Obtain Chorus Fruit)</v>
      </c>
      <c r="K993" s="309" t="s">
        <v>4698</v>
      </c>
      <c r="L993" s="310"/>
      <c r="M993" s="309" t="s">
        <v>4699</v>
      </c>
      <c r="N993" s="309" t="s">
        <v>4700</v>
      </c>
      <c r="O993" s="239" t="s">
        <v>4701</v>
      </c>
      <c r="P993" s="311" t="s">
        <v>4626</v>
      </c>
      <c r="Q993" s="312" t="s">
        <v>4702</v>
      </c>
      <c r="R993" s="311" t="s">
        <v>194</v>
      </c>
      <c r="S993" s="312"/>
    </row>
    <row r="994">
      <c r="A994" s="230">
        <v>994.0</v>
      </c>
      <c r="B994" s="230" t="s">
        <v>283</v>
      </c>
      <c r="C994" s="231"/>
      <c r="D994" s="232"/>
      <c r="E994" s="232">
        <f>IFERROR(__xludf.DUMMYFUNCTION("iferror(SPLIT(D994,""/""),split(""0/0"",""/""))"),0.0)</f>
        <v>0</v>
      </c>
      <c r="F994" s="232">
        <f>IFERROR(__xludf.DUMMYFUNCTION("""COMPUTED_VALUE"""),0.0)</f>
        <v>0</v>
      </c>
      <c r="G994" s="247" t="b">
        <v>0</v>
      </c>
      <c r="H994" s="242" t="str">
        <f t="shared" si="1"/>
        <v/>
      </c>
      <c r="I994" s="243" t="s">
        <v>4703</v>
      </c>
      <c r="J994" s="308" t="str">
        <f t="shared" si="2"/>
        <v>Plant a chorus flower in the Overworld for study (Place a chorus flower in the Overworld)</v>
      </c>
      <c r="K994" s="309" t="s">
        <v>4704</v>
      </c>
      <c r="L994" s="310"/>
      <c r="M994" s="309" t="s">
        <v>4705</v>
      </c>
      <c r="N994" s="309" t="s">
        <v>4706</v>
      </c>
      <c r="O994" s="239" t="s">
        <v>4707</v>
      </c>
      <c r="P994" s="311" t="s">
        <v>4626</v>
      </c>
      <c r="Q994" s="312" t="s">
        <v>4708</v>
      </c>
      <c r="R994" s="311" t="s">
        <v>194</v>
      </c>
      <c r="S994" s="312" t="s">
        <v>290</v>
      </c>
    </row>
    <row r="995">
      <c r="A995" s="230">
        <v>995.0</v>
      </c>
      <c r="B995" s="230" t="s">
        <v>188</v>
      </c>
      <c r="C995" s="231"/>
      <c r="D995" s="232"/>
      <c r="E995" s="232">
        <f>IFERROR(__xludf.DUMMYFUNCTION("iferror(SPLIT(D995,""/""),split(""0/0"",""/""))"),0.0)</f>
        <v>0</v>
      </c>
      <c r="F995" s="232">
        <f>IFERROR(__xludf.DUMMYFUNCTION("""COMPUTED_VALUE"""),0.0)</f>
        <v>0</v>
      </c>
      <c r="G995" s="233" t="b">
        <v>0</v>
      </c>
      <c r="H995" s="242" t="str">
        <f t="shared" si="1"/>
        <v/>
      </c>
      <c r="I995" s="251" t="s">
        <v>4709</v>
      </c>
      <c r="J995" s="308" t="str">
        <f t="shared" si="2"/>
        <v>Craft or collect purpur blocks, stairs, pillars and slabs</v>
      </c>
      <c r="K995" s="309"/>
      <c r="L995" s="310"/>
      <c r="M995" s="309"/>
      <c r="N995" s="309" t="s">
        <v>4710</v>
      </c>
      <c r="O995" s="239" t="s">
        <v>4711</v>
      </c>
      <c r="P995" s="311" t="s">
        <v>4626</v>
      </c>
      <c r="Q995" s="312" t="s">
        <v>4712</v>
      </c>
      <c r="R995" s="311" t="s">
        <v>194</v>
      </c>
      <c r="S995" s="312"/>
    </row>
    <row r="996">
      <c r="A996" s="230">
        <v>996.0</v>
      </c>
      <c r="B996" s="230" t="s">
        <v>257</v>
      </c>
      <c r="C996" s="231"/>
      <c r="D996" s="232"/>
      <c r="E996" s="232">
        <f>IFERROR(__xludf.DUMMYFUNCTION("iferror(SPLIT(D996,""/""),split(""0/0"",""/""))"),0.0)</f>
        <v>0</v>
      </c>
      <c r="F996" s="232">
        <f>IFERROR(__xludf.DUMMYFUNCTION("""COMPUTED_VALUE"""),0.0)</f>
        <v>0</v>
      </c>
      <c r="G996" s="233" t="b">
        <v>0</v>
      </c>
      <c r="H996" s="242" t="str">
        <f t="shared" si="1"/>
        <v/>
      </c>
      <c r="I996" s="294" t="s">
        <v>4713</v>
      </c>
      <c r="J996" s="308" t="str">
        <f t="shared" si="2"/>
        <v>Eat a stack of Chorus Fruit in one go (Eat 64 chorus fruit with less than five seconds in-between each fruit and no other food eaten)</v>
      </c>
      <c r="K996" s="309" t="s">
        <v>3608</v>
      </c>
      <c r="L996" s="310"/>
      <c r="M996" s="309" t="s">
        <v>4714</v>
      </c>
      <c r="N996" s="309" t="s">
        <v>4715</v>
      </c>
      <c r="O996" s="239" t="s">
        <v>4716</v>
      </c>
      <c r="P996" s="311" t="s">
        <v>4626</v>
      </c>
      <c r="Q996" s="312" t="s">
        <v>4717</v>
      </c>
      <c r="R996" s="311" t="s">
        <v>194</v>
      </c>
      <c r="S996" s="311" t="s">
        <v>3943</v>
      </c>
    </row>
    <row r="997">
      <c r="A997" s="230">
        <v>997.0</v>
      </c>
      <c r="B997" s="230" t="s">
        <v>257</v>
      </c>
      <c r="C997" s="231"/>
      <c r="D997" s="232"/>
      <c r="E997" s="232">
        <f>IFERROR(__xludf.DUMMYFUNCTION("iferror(SPLIT(D997,""/""),split(""0/0"",""/""))"),0.0)</f>
        <v>0</v>
      </c>
      <c r="F997" s="232">
        <f>IFERROR(__xludf.DUMMYFUNCTION("""COMPUTED_VALUE"""),0.0)</f>
        <v>0</v>
      </c>
      <c r="G997" s="233" t="b">
        <v>0</v>
      </c>
      <c r="H997" s="242" t="str">
        <f t="shared" si="1"/>
        <v/>
      </c>
      <c r="I997" s="243" t="s">
        <v>4718</v>
      </c>
      <c r="J997" s="308" t="str">
        <f t="shared" si="2"/>
        <v>Colonise the End with potato crops (Place potatoes in the End)</v>
      </c>
      <c r="K997" s="309" t="s">
        <v>4719</v>
      </c>
      <c r="L997" s="310"/>
      <c r="M997" s="309" t="s">
        <v>4720</v>
      </c>
      <c r="N997" s="309" t="s">
        <v>4721</v>
      </c>
      <c r="O997" s="239" t="s">
        <v>1538</v>
      </c>
      <c r="P997" s="311" t="s">
        <v>4626</v>
      </c>
      <c r="Q997" s="312" t="s">
        <v>4722</v>
      </c>
      <c r="R997" s="311" t="s">
        <v>194</v>
      </c>
      <c r="S997" s="312" t="s">
        <v>262</v>
      </c>
    </row>
    <row r="998">
      <c r="A998" s="230">
        <v>998.0</v>
      </c>
      <c r="B998" s="230" t="s">
        <v>188</v>
      </c>
      <c r="C998" s="231"/>
      <c r="D998" s="232"/>
      <c r="E998" s="232">
        <f>IFERROR(__xludf.DUMMYFUNCTION("iferror(SPLIT(D998,""/""),split(""0/0"",""/""))"),0.0)</f>
        <v>0</v>
      </c>
      <c r="F998" s="232">
        <f>IFERROR(__xludf.DUMMYFUNCTION("""COMPUTED_VALUE"""),0.0)</f>
        <v>0</v>
      </c>
      <c r="G998" s="247" t="b">
        <v>0</v>
      </c>
      <c r="H998" s="242" t="str">
        <f t="shared" si="1"/>
        <v/>
      </c>
      <c r="I998" s="246" t="s">
        <v>4723</v>
      </c>
      <c r="J998" s="308" t="str">
        <f t="shared" si="2"/>
        <v>Travel far into the End dimension (Be beyond 10,000 or -10,000 in the x or z direction in the End)</v>
      </c>
      <c r="K998" s="309"/>
      <c r="L998" s="310"/>
      <c r="M998" s="309" t="s">
        <v>4724</v>
      </c>
      <c r="N998" s="309" t="s">
        <v>4725</v>
      </c>
      <c r="O998" s="239" t="s">
        <v>4707</v>
      </c>
      <c r="P998" s="311" t="s">
        <v>4626</v>
      </c>
      <c r="Q998" s="312" t="s">
        <v>4726</v>
      </c>
      <c r="R998" s="311" t="s">
        <v>194</v>
      </c>
      <c r="S998" s="312"/>
    </row>
    <row r="999">
      <c r="A999" s="230">
        <v>999.0</v>
      </c>
      <c r="B999" s="230" t="s">
        <v>257</v>
      </c>
      <c r="C999" s="231"/>
      <c r="D999" s="232"/>
      <c r="E999" s="232">
        <f>IFERROR(__xludf.DUMMYFUNCTION("iferror(SPLIT(D999,""/""),split(""0/0"",""/""))"),0.0)</f>
        <v>0</v>
      </c>
      <c r="F999" s="232">
        <f>IFERROR(__xludf.DUMMYFUNCTION("""COMPUTED_VALUE"""),0.0)</f>
        <v>0</v>
      </c>
      <c r="G999" s="247" t="b">
        <v>0</v>
      </c>
      <c r="H999" s="242" t="str">
        <f t="shared" si="1"/>
        <v/>
      </c>
      <c r="I999" s="249" t="s">
        <v>4727</v>
      </c>
      <c r="J999" s="308" t="str">
        <f t="shared" si="2"/>
        <v>Travel so far into the End dimension you might as well be on another planet (Be beyond 100,000 or -100,000 in the x or z direction in the End)</v>
      </c>
      <c r="K999" s="309"/>
      <c r="L999" s="310"/>
      <c r="M999" s="309" t="s">
        <v>4728</v>
      </c>
      <c r="N999" s="309" t="s">
        <v>4729</v>
      </c>
      <c r="O999" s="239" t="s">
        <v>4730</v>
      </c>
      <c r="P999" s="311" t="s">
        <v>4626</v>
      </c>
      <c r="Q999" s="312" t="s">
        <v>4731</v>
      </c>
      <c r="R999" s="311" t="s">
        <v>194</v>
      </c>
      <c r="S999" s="311" t="s">
        <v>3943</v>
      </c>
    </row>
    <row r="1000">
      <c r="A1000" s="230">
        <v>1000.0</v>
      </c>
      <c r="B1000" s="230" t="s">
        <v>188</v>
      </c>
      <c r="C1000" s="231"/>
      <c r="D1000" s="232"/>
      <c r="E1000" s="232">
        <f>IFERROR(__xludf.DUMMYFUNCTION("iferror(SPLIT(D1000,""/""),split(""0/0"",""/""))"),0.0)</f>
        <v>0</v>
      </c>
      <c r="F1000" s="232">
        <f>IFERROR(__xludf.DUMMYFUNCTION("""COMPUTED_VALUE"""),0.0)</f>
        <v>0</v>
      </c>
      <c r="G1000" s="247" t="b">
        <v>0</v>
      </c>
      <c r="H1000" s="242" t="str">
        <f t="shared" si="1"/>
        <v/>
      </c>
      <c r="I1000" s="246" t="s">
        <v>4732</v>
      </c>
      <c r="J1000" s="308" t="str">
        <f t="shared" si="2"/>
        <v>Explore every End biome (Enter The End, Small End Islands, End Midlands, End Highlands and End Barrens)</v>
      </c>
      <c r="K1000" s="309"/>
      <c r="L1000" s="310"/>
      <c r="M1000" s="309" t="s">
        <v>4733</v>
      </c>
      <c r="N1000" s="309" t="s">
        <v>4734</v>
      </c>
      <c r="O1000" s="239" t="s">
        <v>1740</v>
      </c>
      <c r="P1000" s="311" t="s">
        <v>4626</v>
      </c>
      <c r="Q1000" s="312" t="s">
        <v>4735</v>
      </c>
      <c r="R1000" s="311" t="s">
        <v>194</v>
      </c>
      <c r="S1000" s="312"/>
    </row>
    <row r="1001">
      <c r="A1001" s="230">
        <v>1001.0</v>
      </c>
      <c r="B1001" s="230" t="s">
        <v>257</v>
      </c>
      <c r="C1001" s="231"/>
      <c r="D1001" s="232"/>
      <c r="E1001" s="232">
        <f>IFERROR(__xludf.DUMMYFUNCTION("iferror(SPLIT(D1001,""/""),split(""0/0"",""/""))"),0.0)</f>
        <v>0</v>
      </c>
      <c r="F1001" s="232">
        <f>IFERROR(__xludf.DUMMYFUNCTION("""COMPUTED_VALUE"""),0.0)</f>
        <v>0</v>
      </c>
      <c r="G1001" s="233" t="b">
        <v>0</v>
      </c>
      <c r="H1001" s="242" t="str">
        <f t="shared" si="1"/>
        <v/>
      </c>
      <c r="I1001" s="246" t="s">
        <v>4736</v>
      </c>
      <c r="J1001" s="308" t="str">
        <f t="shared" si="2"/>
        <v>Travel directly from the End to the Nether (Enter the End's exit portal but arrive in the Nether by having your spawn set to a Respawn Anchor)</v>
      </c>
      <c r="K1001" s="309"/>
      <c r="L1001" s="310"/>
      <c r="M1001" s="309" t="s">
        <v>4737</v>
      </c>
      <c r="N1001" s="309" t="s">
        <v>4738</v>
      </c>
      <c r="O1001" s="239" t="s">
        <v>4739</v>
      </c>
      <c r="P1001" s="311" t="s">
        <v>4626</v>
      </c>
      <c r="Q1001" s="312" t="s">
        <v>4740</v>
      </c>
      <c r="R1001" s="311" t="s">
        <v>194</v>
      </c>
      <c r="S1001" s="312" t="s">
        <v>262</v>
      </c>
    </row>
    <row r="1002">
      <c r="A1002" s="230">
        <v>1002.0</v>
      </c>
      <c r="B1002" s="230"/>
      <c r="C1002" s="231"/>
      <c r="D1002" s="232"/>
      <c r="E1002" s="232">
        <f>IFERROR(__xludf.DUMMYFUNCTION("iferror(SPLIT(D1002,""/""),split(""0/0"",""/""))"),0.0)</f>
        <v>0</v>
      </c>
      <c r="F1002" s="232">
        <f>IFERROR(__xludf.DUMMYFUNCTION("""COMPUTED_VALUE"""),0.0)</f>
        <v>0</v>
      </c>
      <c r="G1002" s="247" t="b">
        <v>0</v>
      </c>
      <c r="H1002" s="242" t="str">
        <f t="shared" si="1"/>
        <v/>
      </c>
      <c r="I1002" s="249" t="s">
        <v>4741</v>
      </c>
      <c r="J1002" s="308" t="str">
        <f t="shared" si="2"/>
        <v>Get hit by an arrow that has visited every dimension during its lifetime</v>
      </c>
      <c r="K1002" s="309"/>
      <c r="L1002" s="310"/>
      <c r="M1002" s="309"/>
      <c r="N1002" s="309" t="s">
        <v>4742</v>
      </c>
      <c r="O1002" s="239" t="s">
        <v>2359</v>
      </c>
      <c r="P1002" s="311" t="s">
        <v>4626</v>
      </c>
      <c r="Q1002" s="312" t="s">
        <v>4743</v>
      </c>
      <c r="R1002" s="311" t="s">
        <v>194</v>
      </c>
      <c r="S1002" s="312"/>
    </row>
    <row r="1003">
      <c r="A1003" s="230">
        <v>1003.0</v>
      </c>
      <c r="B1003" s="230" t="s">
        <v>188</v>
      </c>
      <c r="C1003" s="231"/>
      <c r="D1003" s="232"/>
      <c r="E1003" s="232">
        <f>IFERROR(__xludf.DUMMYFUNCTION("iferror(SPLIT(D1003,""/""),split(""0/0"",""/""))"),0.0)</f>
        <v>0</v>
      </c>
      <c r="F1003" s="232">
        <f>IFERROR(__xludf.DUMMYFUNCTION("""COMPUTED_VALUE"""),0.0)</f>
        <v>0</v>
      </c>
      <c r="G1003" s="247" t="b">
        <v>0</v>
      </c>
      <c r="H1003" s="242" t="str">
        <f t="shared" si="1"/>
        <v/>
      </c>
      <c r="I1003" s="243" t="s">
        <v>4744</v>
      </c>
      <c r="J1003" s="308" t="str">
        <f t="shared" si="2"/>
        <v>Go on in, what could happen? (Enter an End City)</v>
      </c>
      <c r="K1003" s="309" t="s">
        <v>4745</v>
      </c>
      <c r="L1003" s="310"/>
      <c r="M1003" s="309" t="s">
        <v>4746</v>
      </c>
      <c r="N1003" s="309" t="s">
        <v>4747</v>
      </c>
      <c r="O1003" s="239" t="s">
        <v>4748</v>
      </c>
      <c r="P1003" s="311" t="s">
        <v>4626</v>
      </c>
      <c r="Q1003" s="312" t="s">
        <v>4749</v>
      </c>
      <c r="R1003" s="311" t="s">
        <v>194</v>
      </c>
      <c r="S1003" s="312"/>
    </row>
    <row r="1004">
      <c r="A1004" s="230">
        <v>1004.0</v>
      </c>
      <c r="B1004" s="230" t="s">
        <v>188</v>
      </c>
      <c r="C1004" s="231"/>
      <c r="D1004" s="232"/>
      <c r="E1004" s="232">
        <f>IFERROR(__xludf.DUMMYFUNCTION("iferror(SPLIT(D1004,""/""),split(""0/0"",""/""))"),0.0)</f>
        <v>0</v>
      </c>
      <c r="F1004" s="232">
        <f>IFERROR(__xludf.DUMMYFUNCTION("""COMPUTED_VALUE"""),0.0)</f>
        <v>0</v>
      </c>
      <c r="G1004" s="247" t="b">
        <v>0</v>
      </c>
      <c r="H1004" s="242" t="str">
        <f t="shared" si="1"/>
        <v/>
      </c>
      <c r="I1004" s="243" t="s">
        <v>4750</v>
      </c>
      <c r="J1004" s="308" t="str">
        <f t="shared" si="2"/>
        <v>Kill a shulker</v>
      </c>
      <c r="K1004" s="309"/>
      <c r="L1004" s="310"/>
      <c r="M1004" s="309"/>
      <c r="N1004" s="309" t="s">
        <v>4751</v>
      </c>
      <c r="O1004" s="239" t="s">
        <v>4752</v>
      </c>
      <c r="P1004" s="311" t="s">
        <v>4626</v>
      </c>
      <c r="Q1004" s="312" t="s">
        <v>4753</v>
      </c>
      <c r="R1004" s="311" t="s">
        <v>194</v>
      </c>
      <c r="S1004" s="312"/>
    </row>
    <row r="1005">
      <c r="A1005" s="230">
        <v>1005.0</v>
      </c>
      <c r="B1005" s="230" t="s">
        <v>188</v>
      </c>
      <c r="C1005" s="231"/>
      <c r="D1005" s="232"/>
      <c r="E1005" s="232">
        <f>IFERROR(__xludf.DUMMYFUNCTION("iferror(SPLIT(D1005,""/""),split(""0/0"",""/""))"),0.0)</f>
        <v>0</v>
      </c>
      <c r="F1005" s="232">
        <f>IFERROR(__xludf.DUMMYFUNCTION("""COMPUTED_VALUE"""),0.0)</f>
        <v>0</v>
      </c>
      <c r="G1005" s="247" t="b">
        <v>0</v>
      </c>
      <c r="H1005" s="242" t="str">
        <f t="shared" si="1"/>
        <v/>
      </c>
      <c r="I1005" s="243" t="s">
        <v>4754</v>
      </c>
      <c r="J1005" s="308" t="str">
        <f t="shared" si="2"/>
        <v>Use shulker shells to craft a shulker box (Obtain a shulker box of any color)</v>
      </c>
      <c r="K1005" s="309" t="s">
        <v>4755</v>
      </c>
      <c r="L1005" s="310"/>
      <c r="M1005" s="309" t="s">
        <v>4756</v>
      </c>
      <c r="N1005" s="309" t="s">
        <v>4757</v>
      </c>
      <c r="O1005" s="239" t="s">
        <v>4758</v>
      </c>
      <c r="P1005" s="311" t="s">
        <v>4626</v>
      </c>
      <c r="Q1005" s="312" t="s">
        <v>4759</v>
      </c>
      <c r="R1005" s="311" t="s">
        <v>194</v>
      </c>
      <c r="S1005" s="312"/>
    </row>
    <row r="1006">
      <c r="A1006" s="230">
        <v>1006.0</v>
      </c>
      <c r="B1006" s="230" t="s">
        <v>257</v>
      </c>
      <c r="C1006" s="231"/>
      <c r="D1006" s="232"/>
      <c r="E1006" s="232">
        <f>IFERROR(__xludf.DUMMYFUNCTION("iferror(SPLIT(D1006,""/""),split(""0/0"",""/""))"),0.0)</f>
        <v>0</v>
      </c>
      <c r="F1006" s="232">
        <f>IFERROR(__xludf.DUMMYFUNCTION("""COMPUTED_VALUE"""),0.0)</f>
        <v>0</v>
      </c>
      <c r="G1006" s="247" t="b">
        <v>0</v>
      </c>
      <c r="H1006" s="242" t="str">
        <f t="shared" si="1"/>
        <v/>
      </c>
      <c r="I1006" s="243" t="s">
        <v>4760</v>
      </c>
      <c r="J1006" s="308" t="str">
        <f t="shared" si="2"/>
        <v>Name a Shulker Box 'Blocks' for storing your blocks (Obtain a shulker box of any color that is named "Blocks")</v>
      </c>
      <c r="K1006" s="309" t="s">
        <v>4755</v>
      </c>
      <c r="L1006" s="310"/>
      <c r="M1006" s="309" t="s">
        <v>4761</v>
      </c>
      <c r="N1006" s="309" t="s">
        <v>4762</v>
      </c>
      <c r="O1006" s="239" t="s">
        <v>3763</v>
      </c>
      <c r="P1006" s="311" t="s">
        <v>4626</v>
      </c>
      <c r="Q1006" s="312" t="s">
        <v>4763</v>
      </c>
      <c r="R1006" s="311" t="s">
        <v>194</v>
      </c>
      <c r="S1006" s="311" t="s">
        <v>3943</v>
      </c>
    </row>
    <row r="1007">
      <c r="A1007" s="230">
        <v>1007.0</v>
      </c>
      <c r="B1007" s="230" t="s">
        <v>188</v>
      </c>
      <c r="C1007" s="231"/>
      <c r="D1007" s="232"/>
      <c r="E1007" s="232">
        <f>IFERROR(__xludf.DUMMYFUNCTION("iferror(SPLIT(D1007,""/""),split(""0/0"",""/""))"),0.0)</f>
        <v>0</v>
      </c>
      <c r="F1007" s="232">
        <f>IFERROR(__xludf.DUMMYFUNCTION("""COMPUTED_VALUE"""),0.0)</f>
        <v>0</v>
      </c>
      <c r="G1007" s="247" t="b">
        <v>0</v>
      </c>
      <c r="H1007" s="242" t="str">
        <f t="shared" si="1"/>
        <v/>
      </c>
      <c r="I1007" s="246" t="s">
        <v>4764</v>
      </c>
      <c r="J1007" s="308" t="str">
        <f t="shared" si="2"/>
        <v>Craft all 16 shulker box types</v>
      </c>
      <c r="K1007" s="309" t="s">
        <v>4765</v>
      </c>
      <c r="L1007" s="310"/>
      <c r="M1007" s="309"/>
      <c r="N1007" s="309" t="s">
        <v>4766</v>
      </c>
      <c r="O1007" s="239" t="s">
        <v>4767</v>
      </c>
      <c r="P1007" s="311" t="s">
        <v>4626</v>
      </c>
      <c r="Q1007" s="312" t="s">
        <v>4768</v>
      </c>
      <c r="R1007" s="311" t="s">
        <v>194</v>
      </c>
      <c r="S1007" s="312"/>
    </row>
    <row r="1008">
      <c r="A1008" s="230">
        <v>1008.0</v>
      </c>
      <c r="B1008" s="230" t="s">
        <v>188</v>
      </c>
      <c r="C1008" s="231"/>
      <c r="D1008" s="232"/>
      <c r="E1008" s="232">
        <f>IFERROR(__xludf.DUMMYFUNCTION("iferror(SPLIT(D1008,""/""),split(""0/0"",""/""))"),0.0)</f>
        <v>0</v>
      </c>
      <c r="F1008" s="232">
        <f>IFERROR(__xludf.DUMMYFUNCTION("""COMPUTED_VALUE"""),0.0)</f>
        <v>0</v>
      </c>
      <c r="G1008" s="247" t="b">
        <v>0</v>
      </c>
      <c r="H1008" s="242" t="str">
        <f t="shared" si="1"/>
        <v/>
      </c>
      <c r="I1008" s="243" t="s">
        <v>4769</v>
      </c>
      <c r="J1008" s="308" t="str">
        <f t="shared" si="2"/>
        <v>Block a Shulker's bullet with your shield</v>
      </c>
      <c r="K1008" s="309" t="s">
        <v>4770</v>
      </c>
      <c r="L1008" s="310"/>
      <c r="M1008" s="309"/>
      <c r="N1008" s="309" t="s">
        <v>4771</v>
      </c>
      <c r="O1008" s="239" t="s">
        <v>2298</v>
      </c>
      <c r="P1008" s="311" t="s">
        <v>4626</v>
      </c>
      <c r="Q1008" s="312" t="s">
        <v>4772</v>
      </c>
      <c r="R1008" s="311" t="s">
        <v>194</v>
      </c>
      <c r="S1008" s="311" t="s">
        <v>3943</v>
      </c>
    </row>
    <row r="1009">
      <c r="A1009" s="230">
        <v>1009.0</v>
      </c>
      <c r="B1009" s="230" t="s">
        <v>188</v>
      </c>
      <c r="C1009" s="231"/>
      <c r="D1009" s="232"/>
      <c r="E1009" s="232">
        <f>IFERROR(__xludf.DUMMYFUNCTION("iferror(SPLIT(D1009,""/""),split(""0/0"",""/""))"),0.0)</f>
        <v>0</v>
      </c>
      <c r="F1009" s="232">
        <f>IFERROR(__xludf.DUMMYFUNCTION("""COMPUTED_VALUE"""),0.0)</f>
        <v>0</v>
      </c>
      <c r="G1009" s="247" t="b">
        <v>0</v>
      </c>
      <c r="H1009" s="242" t="str">
        <f t="shared" si="1"/>
        <v/>
      </c>
      <c r="I1009" s="246" t="s">
        <v>4773</v>
      </c>
      <c r="J1009" s="308" t="str">
        <f t="shared" si="2"/>
        <v>Collect a stack of shulker shells</v>
      </c>
      <c r="K1009" s="309" t="s">
        <v>4765</v>
      </c>
      <c r="L1009" s="310"/>
      <c r="M1009" s="309"/>
      <c r="N1009" s="309" t="s">
        <v>4774</v>
      </c>
      <c r="O1009" s="239" t="s">
        <v>4775</v>
      </c>
      <c r="P1009" s="311" t="s">
        <v>4626</v>
      </c>
      <c r="Q1009" s="312" t="s">
        <v>4776</v>
      </c>
      <c r="R1009" s="311" t="s">
        <v>194</v>
      </c>
      <c r="S1009" s="311" t="s">
        <v>3943</v>
      </c>
    </row>
    <row r="1010">
      <c r="A1010" s="230">
        <v>1010.0</v>
      </c>
      <c r="B1010" s="230" t="s">
        <v>188</v>
      </c>
      <c r="C1010" s="231"/>
      <c r="D1010" s="232"/>
      <c r="E1010" s="232">
        <f>IFERROR(__xludf.DUMMYFUNCTION("iferror(SPLIT(D1010,""/""),split(""0/0"",""/""))"),0.0)</f>
        <v>0</v>
      </c>
      <c r="F1010" s="232">
        <f>IFERROR(__xludf.DUMMYFUNCTION("""COMPUTED_VALUE"""),0.0)</f>
        <v>0</v>
      </c>
      <c r="G1010" s="247" t="b">
        <v>0</v>
      </c>
      <c r="H1010" s="242" t="str">
        <f t="shared" si="1"/>
        <v/>
      </c>
      <c r="I1010" s="249" t="s">
        <v>4777</v>
      </c>
      <c r="J1010" s="308" t="str">
        <f t="shared" si="2"/>
        <v>Levitate up a distance of 50 metres</v>
      </c>
      <c r="K1010" s="309"/>
      <c r="L1010" s="310"/>
      <c r="M1010" s="309"/>
      <c r="N1010" s="309" t="s">
        <v>4778</v>
      </c>
      <c r="O1010" s="239" t="s">
        <v>4779</v>
      </c>
      <c r="P1010" s="311" t="s">
        <v>4626</v>
      </c>
      <c r="Q1010" s="312" t="s">
        <v>4780</v>
      </c>
      <c r="R1010" s="311" t="s">
        <v>194</v>
      </c>
      <c r="S1010" s="312"/>
    </row>
    <row r="1011">
      <c r="A1011" s="230">
        <v>1011.0</v>
      </c>
      <c r="B1011" s="230" t="s">
        <v>257</v>
      </c>
      <c r="C1011" s="231"/>
      <c r="D1011" s="232"/>
      <c r="E1011" s="232">
        <f>IFERROR(__xludf.DUMMYFUNCTION("iferror(SPLIT(D1011,""/""),split(""0/0"",""/""))"),0.0)</f>
        <v>0</v>
      </c>
      <c r="F1011" s="232">
        <f>IFERROR(__xludf.DUMMYFUNCTION("""COMPUTED_VALUE"""),0.0)</f>
        <v>0</v>
      </c>
      <c r="G1011" s="247" t="b">
        <v>0</v>
      </c>
      <c r="H1011" s="242" t="str">
        <f t="shared" si="1"/>
        <v/>
      </c>
      <c r="I1011" s="249" t="s">
        <v>4781</v>
      </c>
      <c r="J1011" s="308" t="str">
        <f t="shared" si="2"/>
        <v>Kill a Skeleton or Stray while both you and it have levitation</v>
      </c>
      <c r="K1011" s="309" t="s">
        <v>4782</v>
      </c>
      <c r="L1011" s="310"/>
      <c r="M1011" s="309"/>
      <c r="N1011" s="309" t="s">
        <v>4783</v>
      </c>
      <c r="O1011" s="239" t="s">
        <v>1946</v>
      </c>
      <c r="P1011" s="311" t="s">
        <v>4626</v>
      </c>
      <c r="Q1011" s="312" t="s">
        <v>4784</v>
      </c>
      <c r="R1011" s="311" t="s">
        <v>194</v>
      </c>
      <c r="S1011" s="311" t="s">
        <v>1948</v>
      </c>
    </row>
    <row r="1012">
      <c r="A1012" s="230">
        <v>1012.0</v>
      </c>
      <c r="B1012" s="230" t="s">
        <v>188</v>
      </c>
      <c r="C1012" s="231"/>
      <c r="D1012" s="232"/>
      <c r="E1012" s="232">
        <f>IFERROR(__xludf.DUMMYFUNCTION("iferror(SPLIT(D1012,""/""),split(""0/0"",""/""))"),0.0)</f>
        <v>0</v>
      </c>
      <c r="F1012" s="232">
        <f>IFERROR(__xludf.DUMMYFUNCTION("""COMPUTED_VALUE"""),0.0)</f>
        <v>0</v>
      </c>
      <c r="G1012" s="247" t="b">
        <v>0</v>
      </c>
      <c r="H1012" s="242" t="str">
        <f t="shared" si="1"/>
        <v/>
      </c>
      <c r="I1012" s="249" t="s">
        <v>4785</v>
      </c>
      <c r="J1012" s="308" t="str">
        <f t="shared" si="2"/>
        <v>Bring a Shulker into the Overworld and let it give you anti-gravity (Get levitation in the Overworld)</v>
      </c>
      <c r="K1012" s="309" t="s">
        <v>4786</v>
      </c>
      <c r="L1012" s="310"/>
      <c r="M1012" s="309" t="s">
        <v>4787</v>
      </c>
      <c r="N1012" s="309" t="s">
        <v>4788</v>
      </c>
      <c r="O1012" s="239" t="s">
        <v>4789</v>
      </c>
      <c r="P1012" s="311" t="s">
        <v>4626</v>
      </c>
      <c r="Q1012" s="312" t="s">
        <v>4790</v>
      </c>
      <c r="R1012" s="311" t="s">
        <v>194</v>
      </c>
      <c r="S1012" s="312"/>
    </row>
    <row r="1013">
      <c r="A1013" s="230">
        <v>1013.0</v>
      </c>
      <c r="B1013" s="230" t="s">
        <v>188</v>
      </c>
      <c r="C1013" s="231"/>
      <c r="D1013" s="232"/>
      <c r="E1013" s="232">
        <f>IFERROR(__xludf.DUMMYFUNCTION("iferror(SPLIT(D1013,""/""),split(""0/0"",""/""))"),0.0)</f>
        <v>0</v>
      </c>
      <c r="F1013" s="232">
        <f>IFERROR(__xludf.DUMMYFUNCTION("""COMPUTED_VALUE"""),0.0)</f>
        <v>0</v>
      </c>
      <c r="G1013" s="247" t="b">
        <v>0</v>
      </c>
      <c r="H1013" s="242" t="str">
        <f t="shared" si="1"/>
        <v/>
      </c>
      <c r="I1013" s="243" t="s">
        <v>4791</v>
      </c>
      <c r="J1013" s="308" t="str">
        <f t="shared" si="2"/>
        <v>Collect a dragon's head from the bow of an end ship (Obtain a Dragon Head)</v>
      </c>
      <c r="K1013" s="309"/>
      <c r="L1013" s="310"/>
      <c r="M1013" s="309" t="s">
        <v>4792</v>
      </c>
      <c r="N1013" s="309" t="s">
        <v>4793</v>
      </c>
      <c r="O1013" s="239" t="s">
        <v>4638</v>
      </c>
      <c r="P1013" s="311" t="s">
        <v>4626</v>
      </c>
      <c r="Q1013" s="312" t="s">
        <v>4794</v>
      </c>
      <c r="R1013" s="311" t="s">
        <v>194</v>
      </c>
      <c r="S1013" s="312"/>
    </row>
    <row r="1014">
      <c r="A1014" s="230">
        <v>1014.0</v>
      </c>
      <c r="B1014" s="230" t="s">
        <v>188</v>
      </c>
      <c r="C1014" s="231"/>
      <c r="D1014" s="232"/>
      <c r="E1014" s="232">
        <f>IFERROR(__xludf.DUMMYFUNCTION("iferror(SPLIT(D1014,""/""),split(""0/0"",""/""))"),0.0)</f>
        <v>0</v>
      </c>
      <c r="F1014" s="232">
        <f>IFERROR(__xludf.DUMMYFUNCTION("""COMPUTED_VALUE"""),0.0)</f>
        <v>0</v>
      </c>
      <c r="G1014" s="247" t="b">
        <v>0</v>
      </c>
      <c r="H1014" s="242" t="str">
        <f t="shared" si="1"/>
        <v/>
      </c>
      <c r="I1014" s="246" t="s">
        <v>4795</v>
      </c>
      <c r="J1014" s="308" t="str">
        <f t="shared" si="2"/>
        <v>Kill the Ender Dragon while wearing a Dragon Head (Upon the Ender Dragon's summon be wearing a Dragon Head for the whole fight, and deal the killing blow)</v>
      </c>
      <c r="K1014" s="309" t="s">
        <v>4796</v>
      </c>
      <c r="L1014" s="310"/>
      <c r="M1014" s="309" t="s">
        <v>4797</v>
      </c>
      <c r="N1014" s="309" t="s">
        <v>4798</v>
      </c>
      <c r="O1014" s="239" t="s">
        <v>3703</v>
      </c>
      <c r="P1014" s="311" t="s">
        <v>4626</v>
      </c>
      <c r="Q1014" s="312" t="s">
        <v>4799</v>
      </c>
      <c r="R1014" s="311" t="s">
        <v>194</v>
      </c>
      <c r="S1014" s="312"/>
    </row>
    <row r="1015">
      <c r="A1015" s="230">
        <v>1015.0</v>
      </c>
      <c r="B1015" s="230" t="s">
        <v>188</v>
      </c>
      <c r="C1015" s="231"/>
      <c r="D1015" s="232"/>
      <c r="E1015" s="232">
        <f>IFERROR(__xludf.DUMMYFUNCTION("iferror(SPLIT(D1015,""/""),split(""0/0"",""/""))"),0.0)</f>
        <v>0</v>
      </c>
      <c r="F1015" s="232">
        <f>IFERROR(__xludf.DUMMYFUNCTION("""COMPUTED_VALUE"""),0.0)</f>
        <v>0</v>
      </c>
      <c r="G1015" s="247" t="b">
        <v>0</v>
      </c>
      <c r="H1015" s="242" t="str">
        <f t="shared" si="1"/>
        <v/>
      </c>
      <c r="I1015" s="246" t="s">
        <v>4800</v>
      </c>
      <c r="J1015" s="308" t="str">
        <f t="shared" si="2"/>
        <v>Find an Elytra</v>
      </c>
      <c r="K1015" s="309"/>
      <c r="L1015" s="310"/>
      <c r="M1015" s="309"/>
      <c r="N1015" s="309" t="s">
        <v>4801</v>
      </c>
      <c r="O1015" s="239" t="s">
        <v>3947</v>
      </c>
      <c r="P1015" s="311" t="s">
        <v>4626</v>
      </c>
      <c r="Q1015" s="312" t="s">
        <v>4802</v>
      </c>
      <c r="R1015" s="311" t="s">
        <v>194</v>
      </c>
      <c r="S1015" s="312"/>
    </row>
    <row r="1016">
      <c r="A1016" s="230">
        <v>1016.0</v>
      </c>
      <c r="B1016" s="230" t="s">
        <v>188</v>
      </c>
      <c r="C1016" s="231"/>
      <c r="D1016" s="232"/>
      <c r="E1016" s="232">
        <f>IFERROR(__xludf.DUMMYFUNCTION("iferror(SPLIT(D1016,""/""),split(""0/0"",""/""))"),0.0)</f>
        <v>0</v>
      </c>
      <c r="F1016" s="232">
        <f>IFERROR(__xludf.DUMMYFUNCTION("""COMPUTED_VALUE"""),0.0)</f>
        <v>0</v>
      </c>
      <c r="G1016" s="247" t="b">
        <v>0</v>
      </c>
      <c r="H1016" s="242" t="str">
        <f t="shared" si="1"/>
        <v/>
      </c>
      <c r="I1016" s="249" t="s">
        <v>4803</v>
      </c>
      <c r="J1016" s="308" t="str">
        <f t="shared" si="2"/>
        <v>Exhaust your elytra (Use up an elytra)</v>
      </c>
      <c r="K1016" s="309" t="s">
        <v>4804</v>
      </c>
      <c r="L1016" s="310"/>
      <c r="M1016" s="309" t="s">
        <v>4805</v>
      </c>
      <c r="N1016" s="309" t="s">
        <v>4806</v>
      </c>
      <c r="O1016" s="239" t="s">
        <v>3947</v>
      </c>
      <c r="P1016" s="311" t="s">
        <v>4626</v>
      </c>
      <c r="Q1016" s="312" t="s">
        <v>4807</v>
      </c>
      <c r="R1016" s="311" t="s">
        <v>194</v>
      </c>
      <c r="S1016" s="312"/>
    </row>
    <row r="1017">
      <c r="A1017" s="230">
        <v>1017.0</v>
      </c>
      <c r="B1017" s="230" t="s">
        <v>257</v>
      </c>
      <c r="C1017" s="231"/>
      <c r="D1017" s="232"/>
      <c r="E1017" s="232">
        <f>IFERROR(__xludf.DUMMYFUNCTION("iferror(SPLIT(D1017,""/""),split(""0/0"",""/""))"),0.0)</f>
        <v>0</v>
      </c>
      <c r="F1017" s="232">
        <f>IFERROR(__xludf.DUMMYFUNCTION("""COMPUTED_VALUE"""),0.0)</f>
        <v>0</v>
      </c>
      <c r="G1017" s="233" t="b">
        <v>0</v>
      </c>
      <c r="H1017" s="242" t="str">
        <f t="shared" si="1"/>
        <v/>
      </c>
      <c r="I1017" s="249" t="s">
        <v>4808</v>
      </c>
      <c r="J1017" s="308" t="str">
        <f t="shared" si="2"/>
        <v>Fill your inventory with full stacks of firework rockets (All inventory slots, including your hotbar and offhand, must be filled, hence requiring 37 stacks of rockets)</v>
      </c>
      <c r="K1017" s="309" t="s">
        <v>4809</v>
      </c>
      <c r="L1017" s="310"/>
      <c r="M1017" s="309" t="s">
        <v>4810</v>
      </c>
      <c r="N1017" s="309" t="s">
        <v>4811</v>
      </c>
      <c r="O1017" s="239" t="s">
        <v>2653</v>
      </c>
      <c r="P1017" s="311" t="s">
        <v>4626</v>
      </c>
      <c r="Q1017" s="312" t="s">
        <v>4812</v>
      </c>
      <c r="R1017" s="311" t="s">
        <v>194</v>
      </c>
      <c r="S1017" s="312" t="s">
        <v>262</v>
      </c>
    </row>
    <row r="1018">
      <c r="A1018" s="230">
        <v>1018.0</v>
      </c>
      <c r="B1018" s="230" t="s">
        <v>188</v>
      </c>
      <c r="C1018" s="231"/>
      <c r="D1018" s="232"/>
      <c r="E1018" s="232">
        <f>IFERROR(__xludf.DUMMYFUNCTION("iferror(SPLIT(D1018,""/""),split(""0/0"",""/""))"),0.0)</f>
        <v>0</v>
      </c>
      <c r="F1018" s="232">
        <f>IFERROR(__xludf.DUMMYFUNCTION("""COMPUTED_VALUE"""),0.0)</f>
        <v>0</v>
      </c>
      <c r="G1018" s="247" t="b">
        <v>0</v>
      </c>
      <c r="H1018" s="242" t="str">
        <f t="shared" si="1"/>
        <v/>
      </c>
      <c r="I1018" s="246" t="s">
        <v>4813</v>
      </c>
      <c r="J1018" s="308" t="str">
        <f t="shared" si="2"/>
        <v>Climb up to the world height limit (Be above y=325)</v>
      </c>
      <c r="K1018" s="309" t="s">
        <v>342</v>
      </c>
      <c r="L1018" s="310"/>
      <c r="M1018" s="309" t="s">
        <v>4814</v>
      </c>
      <c r="N1018" s="309" t="s">
        <v>4815</v>
      </c>
      <c r="O1018" s="239" t="s">
        <v>1746</v>
      </c>
      <c r="P1018" s="311" t="s">
        <v>4626</v>
      </c>
      <c r="Q1018" s="312" t="s">
        <v>4816</v>
      </c>
      <c r="R1018" s="311" t="s">
        <v>194</v>
      </c>
      <c r="S1018" s="312"/>
    </row>
    <row r="1019">
      <c r="A1019" s="230">
        <v>1019.0</v>
      </c>
      <c r="B1019" s="230" t="s">
        <v>188</v>
      </c>
      <c r="C1019" s="231"/>
      <c r="D1019" s="232"/>
      <c r="E1019" s="232">
        <f>IFERROR(__xludf.DUMMYFUNCTION("iferror(SPLIT(D1019,""/""),split(""0/0"",""/""))"),0.0)</f>
        <v>0</v>
      </c>
      <c r="F1019" s="232">
        <f>IFERROR(__xludf.DUMMYFUNCTION("""COMPUTED_VALUE"""),0.0)</f>
        <v>0</v>
      </c>
      <c r="G1019" s="247" t="b">
        <v>0</v>
      </c>
      <c r="H1019" s="242" t="str">
        <f t="shared" si="1"/>
        <v/>
      </c>
      <c r="I1019" s="249" t="s">
        <v>4817</v>
      </c>
      <c r="J1019" s="308" t="str">
        <f t="shared" si="2"/>
        <v>Fly up to a ridiculous height (Be above y=1000)</v>
      </c>
      <c r="K1019" s="309" t="s">
        <v>4818</v>
      </c>
      <c r="L1019" s="310"/>
      <c r="M1019" s="309" t="s">
        <v>4819</v>
      </c>
      <c r="N1019" s="309" t="s">
        <v>4820</v>
      </c>
      <c r="O1019" s="239" t="s">
        <v>2648</v>
      </c>
      <c r="P1019" s="311" t="s">
        <v>4626</v>
      </c>
      <c r="Q1019" s="312" t="s">
        <v>4821</v>
      </c>
      <c r="R1019" s="311" t="s">
        <v>194</v>
      </c>
      <c r="S1019" s="311" t="s">
        <v>3943</v>
      </c>
    </row>
    <row r="1020">
      <c r="A1020" s="230">
        <v>1020.0</v>
      </c>
      <c r="B1020" s="230" t="s">
        <v>257</v>
      </c>
      <c r="C1020" s="231"/>
      <c r="D1020" s="232"/>
      <c r="E1020" s="232">
        <f>IFERROR(__xludf.DUMMYFUNCTION("iferror(SPLIT(D1020,""/""),split(""0/0"",""/""))"),0.0)</f>
        <v>0</v>
      </c>
      <c r="F1020" s="232">
        <f>IFERROR(__xludf.DUMMYFUNCTION("""COMPUTED_VALUE"""),0.0)</f>
        <v>0</v>
      </c>
      <c r="G1020" s="247" t="b">
        <v>0</v>
      </c>
      <c r="H1020" s="242" t="str">
        <f t="shared" si="1"/>
        <v/>
      </c>
      <c r="I1020" s="249" t="s">
        <v>4822</v>
      </c>
      <c r="J1020" s="308" t="str">
        <f t="shared" si="2"/>
        <v>Kill 12 mobs while airborne using Elytra. Stopping flight or touching liquid will reset your progress</v>
      </c>
      <c r="K1020" s="309" t="s">
        <v>3940</v>
      </c>
      <c r="L1020" s="310"/>
      <c r="M1020" s="309"/>
      <c r="N1020" s="309" t="s">
        <v>4823</v>
      </c>
      <c r="O1020" s="239" t="s">
        <v>2359</v>
      </c>
      <c r="P1020" s="311" t="s">
        <v>4626</v>
      </c>
      <c r="Q1020" s="312" t="s">
        <v>4824</v>
      </c>
      <c r="R1020" s="311" t="s">
        <v>194</v>
      </c>
      <c r="S1020" s="311" t="s">
        <v>1948</v>
      </c>
    </row>
    <row r="1021">
      <c r="A1021" s="230">
        <v>1021.0</v>
      </c>
      <c r="B1021" s="230" t="s">
        <v>188</v>
      </c>
      <c r="C1021" s="231"/>
      <c r="D1021" s="232"/>
      <c r="E1021" s="232">
        <f>IFERROR(__xludf.DUMMYFUNCTION("iferror(SPLIT(D1021,""/""),split(""0/0"",""/""))"),0.0)</f>
        <v>0</v>
      </c>
      <c r="F1021" s="232">
        <f>IFERROR(__xludf.DUMMYFUNCTION("""COMPUTED_VALUE"""),0.0)</f>
        <v>0</v>
      </c>
      <c r="G1021" s="247" t="b">
        <v>0</v>
      </c>
      <c r="H1021" s="242" t="str">
        <f t="shared" si="1"/>
        <v/>
      </c>
      <c r="I1021" s="235" t="s">
        <v>4825</v>
      </c>
      <c r="J1021" s="342" t="str">
        <f t="shared" si="2"/>
        <v>Good luck completing... any of these ;) (Land the killing blow on the Ender Dragon OR leave the End through the exit portal OR obtain the "Remote Getaway" OR "Sky's the Limit" advancements)</v>
      </c>
      <c r="K1021" s="343"/>
      <c r="L1021" s="344"/>
      <c r="M1021" s="343" t="s">
        <v>4826</v>
      </c>
      <c r="N1021" s="343" t="s">
        <v>4827</v>
      </c>
      <c r="O1021" s="239" t="s">
        <v>922</v>
      </c>
      <c r="P1021" s="345" t="s">
        <v>4825</v>
      </c>
      <c r="Q1021" s="346" t="s">
        <v>4828</v>
      </c>
      <c r="R1021" s="345" t="s">
        <v>194</v>
      </c>
      <c r="S1021" s="346"/>
    </row>
    <row r="1022">
      <c r="A1022" s="230">
        <v>1022.0</v>
      </c>
      <c r="B1022" s="230" t="s">
        <v>188</v>
      </c>
      <c r="C1022" s="231"/>
      <c r="D1022" s="232"/>
      <c r="E1022" s="232">
        <f>IFERROR(__xludf.DUMMYFUNCTION("iferror(SPLIT(D1022,""/""),split(""0/0"",""/""))"),0.0)</f>
        <v>0</v>
      </c>
      <c r="F1022" s="232">
        <f>IFERROR(__xludf.DUMMYFUNCTION("""COMPUTED_VALUE"""),0.0)</f>
        <v>0</v>
      </c>
      <c r="G1022" s="247" t="b">
        <v>0</v>
      </c>
      <c r="H1022" s="242" t="str">
        <f t="shared" si="1"/>
        <v/>
      </c>
      <c r="I1022" s="347" t="s">
        <v>4829</v>
      </c>
      <c r="J1022" s="342" t="str">
        <f t="shared" si="2"/>
        <v>Obtain all the blocks! (Obtain the blocks listed on this page: https://minecraft.wiki/w/Block#List_of_blocks)</v>
      </c>
      <c r="K1022" s="343"/>
      <c r="L1022" s="344"/>
      <c r="M1022" s="348" t="s">
        <v>4830</v>
      </c>
      <c r="N1022" s="343" t="s">
        <v>4831</v>
      </c>
      <c r="O1022" s="239" t="s">
        <v>4832</v>
      </c>
      <c r="P1022" s="345" t="s">
        <v>4825</v>
      </c>
      <c r="Q1022" s="346" t="s">
        <v>4833</v>
      </c>
      <c r="R1022" s="345" t="s">
        <v>194</v>
      </c>
      <c r="S1022" s="346"/>
    </row>
    <row r="1023">
      <c r="A1023" s="230">
        <v>1023.0</v>
      </c>
      <c r="B1023" s="230" t="s">
        <v>188</v>
      </c>
      <c r="C1023" s="231"/>
      <c r="D1023" s="232"/>
      <c r="E1023" s="232">
        <f>IFERROR(__xludf.DUMMYFUNCTION("iferror(SPLIT(D1023,""/""),split(""0/0"",""/""))"),0.0)</f>
        <v>0</v>
      </c>
      <c r="F1023" s="232">
        <f>IFERROR(__xludf.DUMMYFUNCTION("""COMPUTED_VALUE"""),0.0)</f>
        <v>0</v>
      </c>
      <c r="G1023" s="247" t="b">
        <v>0</v>
      </c>
      <c r="H1023" s="242" t="str">
        <f t="shared" si="1"/>
        <v/>
      </c>
      <c r="I1023" s="347" t="s">
        <v>4834</v>
      </c>
      <c r="J1023" s="342" t="str">
        <f t="shared" si="2"/>
        <v>Obtain all the items! (Obtain the items listed on this page: https://minecraft.wiki/w/Item#List_of_items)</v>
      </c>
      <c r="K1023" s="343"/>
      <c r="L1023" s="344"/>
      <c r="M1023" s="348" t="s">
        <v>4835</v>
      </c>
      <c r="N1023" s="343" t="s">
        <v>4836</v>
      </c>
      <c r="O1023" s="239" t="s">
        <v>4329</v>
      </c>
      <c r="P1023" s="345" t="s">
        <v>4825</v>
      </c>
      <c r="Q1023" s="346" t="s">
        <v>4837</v>
      </c>
      <c r="R1023" s="345" t="s">
        <v>194</v>
      </c>
      <c r="S1023" s="346"/>
    </row>
    <row r="1024">
      <c r="A1024" s="230">
        <v>1024.0</v>
      </c>
      <c r="B1024" s="230" t="s">
        <v>257</v>
      </c>
      <c r="C1024" s="231"/>
      <c r="D1024" s="232"/>
      <c r="E1024" s="232">
        <f>IFERROR(__xludf.DUMMYFUNCTION("iferror(SPLIT(D1024,""/""),split(""0/0"",""/""))"),0.0)</f>
        <v>0</v>
      </c>
      <c r="F1024" s="232">
        <f>IFERROR(__xludf.DUMMYFUNCTION("""COMPUTED_VALUE"""),0.0)</f>
        <v>0</v>
      </c>
      <c r="G1024" s="247" t="b">
        <v>0</v>
      </c>
      <c r="H1024" s="242" t="str">
        <f t="shared" si="1"/>
        <v/>
      </c>
      <c r="I1024" s="347" t="s">
        <v>4838</v>
      </c>
      <c r="J1024" s="342" t="str">
        <f t="shared" si="2"/>
        <v>Obtain a stack of all the blocks! (Obtain the maximum possible stack size for each block from "All the Blocks". See requirement notes below for some exceptions)</v>
      </c>
      <c r="K1024" s="343"/>
      <c r="L1024" s="344"/>
      <c r="M1024" s="349" t="s">
        <v>4839</v>
      </c>
      <c r="N1024" s="343" t="s">
        <v>4840</v>
      </c>
      <c r="O1024" s="239" t="s">
        <v>1242</v>
      </c>
      <c r="P1024" s="345" t="s">
        <v>4825</v>
      </c>
      <c r="Q1024" s="346" t="s">
        <v>4841</v>
      </c>
      <c r="R1024" s="345" t="s">
        <v>194</v>
      </c>
      <c r="S1024" s="346" t="s">
        <v>290</v>
      </c>
    </row>
    <row r="1025">
      <c r="A1025" s="230">
        <v>1025.0</v>
      </c>
      <c r="B1025" s="230" t="s">
        <v>257</v>
      </c>
      <c r="C1025" s="231"/>
      <c r="D1025" s="232"/>
      <c r="E1025" s="232">
        <f>IFERROR(__xludf.DUMMYFUNCTION("iferror(SPLIT(D1025,""/""),split(""0/0"",""/""))"),0.0)</f>
        <v>0</v>
      </c>
      <c r="F1025" s="232">
        <f>IFERROR(__xludf.DUMMYFUNCTION("""COMPUTED_VALUE"""),0.0)</f>
        <v>0</v>
      </c>
      <c r="G1025" s="247" t="b">
        <v>0</v>
      </c>
      <c r="H1025" s="242" t="str">
        <f t="shared" si="1"/>
        <v/>
      </c>
      <c r="I1025" s="347" t="s">
        <v>4842</v>
      </c>
      <c r="J1025" s="342" t="str">
        <f t="shared" si="2"/>
        <v>Obtain a stack of all the items! (Obtain the maximum possible stack size for each item from "All the Items". See requirement notes below for some exceptions)</v>
      </c>
      <c r="K1025" s="343"/>
      <c r="L1025" s="344"/>
      <c r="M1025" s="349" t="s">
        <v>4843</v>
      </c>
      <c r="N1025" s="343" t="s">
        <v>4844</v>
      </c>
      <c r="O1025" s="239" t="s">
        <v>4716</v>
      </c>
      <c r="P1025" s="345" t="s">
        <v>4825</v>
      </c>
      <c r="Q1025" s="346" t="s">
        <v>4845</v>
      </c>
      <c r="R1025" s="345" t="s">
        <v>194</v>
      </c>
      <c r="S1025" s="346" t="s">
        <v>290</v>
      </c>
    </row>
    <row r="1026">
      <c r="A1026" s="230">
        <v>1026.0</v>
      </c>
      <c r="B1026" s="230" t="s">
        <v>257</v>
      </c>
      <c r="C1026" s="231"/>
      <c r="D1026" s="232"/>
      <c r="E1026" s="232">
        <f>IFERROR(__xludf.DUMMYFUNCTION("iferror(SPLIT(D1026,""/""),split(""0/0"",""/""))"),0.0)</f>
        <v>0</v>
      </c>
      <c r="F1026" s="232">
        <f>IFERROR(__xludf.DUMMYFUNCTION("""COMPUTED_VALUE"""),0.0)</f>
        <v>0</v>
      </c>
      <c r="G1026" s="233" t="b">
        <v>0</v>
      </c>
      <c r="H1026" s="242" t="str">
        <f t="shared" si="1"/>
        <v/>
      </c>
      <c r="I1026" s="347" t="s">
        <v>4846</v>
      </c>
      <c r="J1026" s="342" t="str">
        <f t="shared" si="2"/>
        <v>Look at every mob using a Spyglass, each from at least 25 blocks away (See requirement notes below)</v>
      </c>
      <c r="K1026" s="343"/>
      <c r="L1026" s="344"/>
      <c r="M1026" s="350" t="s">
        <v>238</v>
      </c>
      <c r="N1026" s="343" t="s">
        <v>4847</v>
      </c>
      <c r="O1026" s="239" t="s">
        <v>645</v>
      </c>
      <c r="P1026" s="345" t="s">
        <v>4825</v>
      </c>
      <c r="Q1026" s="346" t="s">
        <v>4848</v>
      </c>
      <c r="R1026" s="345" t="s">
        <v>194</v>
      </c>
      <c r="S1026" s="346" t="s">
        <v>267</v>
      </c>
    </row>
    <row r="1027">
      <c r="A1027" s="230">
        <v>1027.0</v>
      </c>
      <c r="B1027" s="230" t="s">
        <v>257</v>
      </c>
      <c r="C1027" s="231"/>
      <c r="D1027" s="232"/>
      <c r="E1027" s="232">
        <f>IFERROR(__xludf.DUMMYFUNCTION("iferror(SPLIT(D1027,""/""),split(""0/0"",""/""))"),0.0)</f>
        <v>0</v>
      </c>
      <c r="F1027" s="232">
        <f>IFERROR(__xludf.DUMMYFUNCTION("""COMPUTED_VALUE"""),0.0)</f>
        <v>0</v>
      </c>
      <c r="G1027" s="247" t="b">
        <v>0</v>
      </c>
      <c r="H1027" s="242" t="str">
        <f t="shared" si="1"/>
        <v/>
      </c>
      <c r="I1027" s="347" t="s">
        <v>55</v>
      </c>
      <c r="J1027" s="342" t="str">
        <f t="shared" si="2"/>
        <v>Send every mob to the Nether... and kill them all there (See requirement notes below)</v>
      </c>
      <c r="K1027" s="343"/>
      <c r="L1027" s="344"/>
      <c r="M1027" s="350" t="s">
        <v>238</v>
      </c>
      <c r="N1027" s="343" t="s">
        <v>4849</v>
      </c>
      <c r="O1027" s="239" t="s">
        <v>2541</v>
      </c>
      <c r="P1027" s="345" t="s">
        <v>4825</v>
      </c>
      <c r="Q1027" s="346" t="s">
        <v>4850</v>
      </c>
      <c r="R1027" s="345" t="s">
        <v>194</v>
      </c>
      <c r="S1027" s="346" t="s">
        <v>267</v>
      </c>
    </row>
    <row r="1028">
      <c r="A1028" s="230">
        <v>1028.0</v>
      </c>
      <c r="B1028" s="230" t="s">
        <v>257</v>
      </c>
      <c r="C1028" s="231"/>
      <c r="D1028" s="232"/>
      <c r="E1028" s="232">
        <f>IFERROR(__xludf.DUMMYFUNCTION("iferror(SPLIT(D1028,""/""),split(""0/0"",""/""))"),0.0)</f>
        <v>0</v>
      </c>
      <c r="F1028" s="232">
        <f>IFERROR(__xludf.DUMMYFUNCTION("""COMPUTED_VALUE"""),0.0)</f>
        <v>0</v>
      </c>
      <c r="G1028" s="247" t="b">
        <v>0</v>
      </c>
      <c r="H1028" s="242" t="str">
        <f t="shared" si="1"/>
        <v/>
      </c>
      <c r="I1028" s="347" t="s">
        <v>59</v>
      </c>
      <c r="J1028" s="342" t="str">
        <f t="shared" si="2"/>
        <v>Send every mob to the End... and kill them all there (See requirement notes below)</v>
      </c>
      <c r="K1028" s="343"/>
      <c r="L1028" s="344"/>
      <c r="M1028" s="350" t="s">
        <v>238</v>
      </c>
      <c r="N1028" s="343" t="s">
        <v>4851</v>
      </c>
      <c r="O1028" s="239" t="s">
        <v>4503</v>
      </c>
      <c r="P1028" s="345" t="s">
        <v>4825</v>
      </c>
      <c r="Q1028" s="346" t="s">
        <v>4852</v>
      </c>
      <c r="R1028" s="345" t="s">
        <v>194</v>
      </c>
      <c r="S1028" s="346" t="s">
        <v>267</v>
      </c>
    </row>
    <row r="1029">
      <c r="A1029" s="230">
        <v>1029.0</v>
      </c>
      <c r="B1029" s="230" t="s">
        <v>257</v>
      </c>
      <c r="C1029" s="231"/>
      <c r="D1029" s="232"/>
      <c r="E1029" s="232">
        <f>IFERROR(__xludf.DUMMYFUNCTION("iferror(SPLIT(D1029,""/""),split(""0/0"",""/""))"),0.0)</f>
        <v>0</v>
      </c>
      <c r="F1029" s="232">
        <f>IFERROR(__xludf.DUMMYFUNCTION("""COMPUTED_VALUE"""),0.0)</f>
        <v>0</v>
      </c>
      <c r="G1029" s="233" t="b">
        <v>0</v>
      </c>
      <c r="H1029" s="242" t="str">
        <f t="shared" si="1"/>
        <v/>
      </c>
      <c r="I1029" s="347" t="s">
        <v>63</v>
      </c>
      <c r="J1029" s="342" t="str">
        <f t="shared" si="2"/>
        <v>Kill every mob in the game with splash potions (See requirement notes below)</v>
      </c>
      <c r="K1029" s="343"/>
      <c r="L1029" s="344"/>
      <c r="M1029" s="350" t="s">
        <v>238</v>
      </c>
      <c r="N1029" s="343" t="s">
        <v>4853</v>
      </c>
      <c r="O1029" s="239" t="s">
        <v>2490</v>
      </c>
      <c r="P1029" s="345" t="s">
        <v>4825</v>
      </c>
      <c r="Q1029" s="346" t="s">
        <v>4854</v>
      </c>
      <c r="R1029" s="345" t="s">
        <v>194</v>
      </c>
      <c r="S1029" s="346" t="s">
        <v>267</v>
      </c>
    </row>
    <row r="1030">
      <c r="A1030" s="230">
        <v>1030.0</v>
      </c>
      <c r="B1030" s="230" t="s">
        <v>257</v>
      </c>
      <c r="C1030" s="231"/>
      <c r="D1030" s="232"/>
      <c r="E1030" s="232">
        <f>IFERROR(__xludf.DUMMYFUNCTION("iferror(SPLIT(D1030,""/""),split(""0/0"",""/""))"),0.0)</f>
        <v>0</v>
      </c>
      <c r="F1030" s="232">
        <f>IFERROR(__xludf.DUMMYFUNCTION("""COMPUTED_VALUE"""),0.0)</f>
        <v>0</v>
      </c>
      <c r="G1030" s="247" t="b">
        <v>0</v>
      </c>
      <c r="H1030" s="242" t="str">
        <f t="shared" si="1"/>
        <v/>
      </c>
      <c r="I1030" s="347" t="s">
        <v>67</v>
      </c>
      <c r="J1030" s="342" t="str">
        <f t="shared" si="2"/>
        <v>Kill every mob in the game with lingering potions (See requirement notes below)</v>
      </c>
      <c r="K1030" s="343"/>
      <c r="L1030" s="344"/>
      <c r="M1030" s="350" t="s">
        <v>238</v>
      </c>
      <c r="N1030" s="343" t="s">
        <v>4855</v>
      </c>
      <c r="O1030" s="239" t="s">
        <v>4583</v>
      </c>
      <c r="P1030" s="345" t="s">
        <v>4825</v>
      </c>
      <c r="Q1030" s="346" t="s">
        <v>4856</v>
      </c>
      <c r="R1030" s="345" t="s">
        <v>194</v>
      </c>
      <c r="S1030" s="346" t="s">
        <v>267</v>
      </c>
    </row>
    <row r="1031">
      <c r="A1031" s="230">
        <v>1031.0</v>
      </c>
      <c r="B1031" s="230" t="s">
        <v>257</v>
      </c>
      <c r="C1031" s="231"/>
      <c r="D1031" s="232"/>
      <c r="E1031" s="232">
        <f>IFERROR(__xludf.DUMMYFUNCTION("iferror(SPLIT(D1031,""/""),split(""0/0"",""/""))"),0.0)</f>
        <v>0</v>
      </c>
      <c r="F1031" s="232">
        <f>IFERROR(__xludf.DUMMYFUNCTION("""COMPUTED_VALUE"""),0.0)</f>
        <v>0</v>
      </c>
      <c r="G1031" s="247" t="b">
        <v>0</v>
      </c>
      <c r="H1031" s="242" t="str">
        <f t="shared" si="1"/>
        <v/>
      </c>
      <c r="I1031" s="347" t="s">
        <v>54</v>
      </c>
      <c r="J1031" s="342" t="str">
        <f t="shared" si="2"/>
        <v>Strike every mob that can transform with lightning at once (Strike a Pig, Mooshroom, Villager and Creeper at the same time with the lightning bolt from a Channeling Trident)</v>
      </c>
      <c r="K1031" s="343"/>
      <c r="L1031" s="344"/>
      <c r="M1031" s="343" t="s">
        <v>4857</v>
      </c>
      <c r="N1031" s="343" t="s">
        <v>4858</v>
      </c>
      <c r="O1031" s="239" t="s">
        <v>1716</v>
      </c>
      <c r="P1031" s="345" t="s">
        <v>4825</v>
      </c>
      <c r="Q1031" s="346" t="s">
        <v>4859</v>
      </c>
      <c r="R1031" s="345" t="s">
        <v>194</v>
      </c>
      <c r="S1031" s="345" t="s">
        <v>28</v>
      </c>
    </row>
    <row r="1032">
      <c r="A1032" s="230">
        <v>1032.0</v>
      </c>
      <c r="B1032" s="230" t="s">
        <v>188</v>
      </c>
      <c r="C1032" s="231"/>
      <c r="D1032" s="232"/>
      <c r="E1032" s="232">
        <f>IFERROR(__xludf.DUMMYFUNCTION("iferror(SPLIT(D1032,""/""),split(""0/0"",""/""))"),0.0)</f>
        <v>0</v>
      </c>
      <c r="F1032" s="232">
        <f>IFERROR(__xludf.DUMMYFUNCTION("""COMPUTED_VALUE"""),0.0)</f>
        <v>0</v>
      </c>
      <c r="G1032" s="247" t="b">
        <v>0</v>
      </c>
      <c r="H1032" s="242" t="str">
        <f t="shared" si="1"/>
        <v/>
      </c>
      <c r="I1032" s="347" t="s">
        <v>4860</v>
      </c>
      <c r="J1032" s="342" t="str">
        <f t="shared" si="2"/>
        <v>Obtain a stack of Zombie Heads</v>
      </c>
      <c r="K1032" s="343"/>
      <c r="L1032" s="344"/>
      <c r="M1032" s="343"/>
      <c r="N1032" s="343" t="s">
        <v>4861</v>
      </c>
      <c r="O1032" s="239" t="s">
        <v>2243</v>
      </c>
      <c r="P1032" s="345" t="s">
        <v>4825</v>
      </c>
      <c r="Q1032" s="346" t="s">
        <v>4862</v>
      </c>
      <c r="R1032" s="345" t="s">
        <v>194</v>
      </c>
      <c r="S1032" s="346"/>
    </row>
    <row r="1033">
      <c r="A1033" s="230">
        <v>1033.0</v>
      </c>
      <c r="B1033" s="230" t="s">
        <v>188</v>
      </c>
      <c r="C1033" s="231"/>
      <c r="D1033" s="232"/>
      <c r="E1033" s="232">
        <f>IFERROR(__xludf.DUMMYFUNCTION("iferror(SPLIT(D1033,""/""),split(""0/0"",""/""))"),0.0)</f>
        <v>0</v>
      </c>
      <c r="F1033" s="232">
        <f>IFERROR(__xludf.DUMMYFUNCTION("""COMPUTED_VALUE"""),0.0)</f>
        <v>0</v>
      </c>
      <c r="G1033" s="247" t="b">
        <v>0</v>
      </c>
      <c r="H1033" s="242" t="str">
        <f t="shared" si="1"/>
        <v/>
      </c>
      <c r="I1033" s="347" t="s">
        <v>4863</v>
      </c>
      <c r="J1033" s="342" t="str">
        <f t="shared" si="2"/>
        <v>Obtain a stack of Skeleton Skulls</v>
      </c>
      <c r="K1033" s="343"/>
      <c r="L1033" s="344"/>
      <c r="M1033" s="343"/>
      <c r="N1033" s="343" t="s">
        <v>4864</v>
      </c>
      <c r="O1033" s="239" t="s">
        <v>2373</v>
      </c>
      <c r="P1033" s="345" t="s">
        <v>4825</v>
      </c>
      <c r="Q1033" s="346" t="s">
        <v>4865</v>
      </c>
      <c r="R1033" s="345" t="s">
        <v>194</v>
      </c>
      <c r="S1033" s="346"/>
    </row>
    <row r="1034">
      <c r="A1034" s="230">
        <v>1034.0</v>
      </c>
      <c r="B1034" s="230" t="s">
        <v>188</v>
      </c>
      <c r="C1034" s="231"/>
      <c r="D1034" s="232"/>
      <c r="E1034" s="232">
        <f>IFERROR(__xludf.DUMMYFUNCTION("iferror(SPLIT(D1034,""/""),split(""0/0"",""/""))"),0.0)</f>
        <v>0</v>
      </c>
      <c r="F1034" s="232">
        <f>IFERROR(__xludf.DUMMYFUNCTION("""COMPUTED_VALUE"""),0.0)</f>
        <v>0</v>
      </c>
      <c r="G1034" s="247" t="b">
        <v>0</v>
      </c>
      <c r="H1034" s="242" t="str">
        <f t="shared" si="1"/>
        <v/>
      </c>
      <c r="I1034" s="347" t="s">
        <v>4866</v>
      </c>
      <c r="J1034" s="342" t="str">
        <f t="shared" si="2"/>
        <v>Obtain a stack of Creeper Heads</v>
      </c>
      <c r="K1034" s="343"/>
      <c r="L1034" s="344"/>
      <c r="M1034" s="343"/>
      <c r="N1034" s="343" t="s">
        <v>4867</v>
      </c>
      <c r="O1034" s="239" t="s">
        <v>2438</v>
      </c>
      <c r="P1034" s="345" t="s">
        <v>4825</v>
      </c>
      <c r="Q1034" s="346" t="s">
        <v>4868</v>
      </c>
      <c r="R1034" s="345" t="s">
        <v>194</v>
      </c>
      <c r="S1034" s="346"/>
    </row>
    <row r="1035">
      <c r="A1035" s="230">
        <v>1035.0</v>
      </c>
      <c r="B1035" s="230" t="s">
        <v>188</v>
      </c>
      <c r="C1035" s="231"/>
      <c r="D1035" s="232"/>
      <c r="E1035" s="232">
        <f>IFERROR(__xludf.DUMMYFUNCTION("iferror(SPLIT(D1035,""/""),split(""0/0"",""/""))"),0.0)</f>
        <v>0</v>
      </c>
      <c r="F1035" s="232">
        <f>IFERROR(__xludf.DUMMYFUNCTION("""COMPUTED_VALUE"""),0.0)</f>
        <v>0</v>
      </c>
      <c r="G1035" s="247" t="b">
        <v>0</v>
      </c>
      <c r="H1035" s="242" t="str">
        <f t="shared" si="1"/>
        <v/>
      </c>
      <c r="I1035" s="347" t="s">
        <v>4869</v>
      </c>
      <c r="J1035" s="342" t="str">
        <f t="shared" si="2"/>
        <v>Obtain a stack of Piglin Heads</v>
      </c>
      <c r="K1035" s="343"/>
      <c r="L1035" s="344"/>
      <c r="M1035" s="343"/>
      <c r="N1035" s="343" t="s">
        <v>4870</v>
      </c>
      <c r="O1035" s="239" t="s">
        <v>3542</v>
      </c>
      <c r="P1035" s="345" t="s">
        <v>4825</v>
      </c>
      <c r="Q1035" s="346" t="s">
        <v>4871</v>
      </c>
      <c r="R1035" s="345" t="s">
        <v>194</v>
      </c>
      <c r="S1035" s="346"/>
    </row>
    <row r="1036">
      <c r="A1036" s="230">
        <v>1036.0</v>
      </c>
      <c r="B1036" s="230" t="s">
        <v>188</v>
      </c>
      <c r="C1036" s="231"/>
      <c r="D1036" s="232"/>
      <c r="E1036" s="232">
        <f>IFERROR(__xludf.DUMMYFUNCTION("iferror(SPLIT(D1036,""/""),split(""0/0"",""/""))"),0.0)</f>
        <v>0</v>
      </c>
      <c r="F1036" s="232">
        <f>IFERROR(__xludf.DUMMYFUNCTION("""COMPUTED_VALUE"""),0.0)</f>
        <v>0</v>
      </c>
      <c r="G1036" s="247" t="b">
        <v>0</v>
      </c>
      <c r="H1036" s="242" t="str">
        <f t="shared" si="1"/>
        <v/>
      </c>
      <c r="I1036" s="347" t="s">
        <v>4872</v>
      </c>
      <c r="J1036" s="342" t="str">
        <f t="shared" si="2"/>
        <v>Obtain a stack of Ender Dragon Heads</v>
      </c>
      <c r="K1036" s="343"/>
      <c r="L1036" s="344"/>
      <c r="M1036" s="343"/>
      <c r="N1036" s="343" t="s">
        <v>4873</v>
      </c>
      <c r="O1036" s="239" t="s">
        <v>4638</v>
      </c>
      <c r="P1036" s="345" t="s">
        <v>4825</v>
      </c>
      <c r="Q1036" s="346" t="s">
        <v>4874</v>
      </c>
      <c r="R1036" s="345" t="s">
        <v>194</v>
      </c>
      <c r="S1036" s="346"/>
    </row>
    <row r="1037">
      <c r="A1037" s="230">
        <v>1037.0</v>
      </c>
      <c r="B1037" s="230" t="s">
        <v>188</v>
      </c>
      <c r="C1037" s="231"/>
      <c r="D1037" s="232"/>
      <c r="E1037" s="232">
        <f>IFERROR(__xludf.DUMMYFUNCTION("iferror(SPLIT(D1037,""/""),split(""0/0"",""/""))"),0.0)</f>
        <v>0</v>
      </c>
      <c r="F1037" s="232">
        <f>IFERROR(__xludf.DUMMYFUNCTION("""COMPUTED_VALUE"""),0.0)</f>
        <v>0</v>
      </c>
      <c r="G1037" s="247" t="b">
        <v>0</v>
      </c>
      <c r="H1037" s="242" t="str">
        <f t="shared" si="1"/>
        <v/>
      </c>
      <c r="I1037" s="347" t="s">
        <v>4875</v>
      </c>
      <c r="J1037" s="342" t="str">
        <f t="shared" si="2"/>
        <v>Collect 64 Nether Stars</v>
      </c>
      <c r="K1037" s="343"/>
      <c r="L1037" s="344"/>
      <c r="M1037" s="343"/>
      <c r="N1037" s="343" t="s">
        <v>4876</v>
      </c>
      <c r="O1037" s="239" t="s">
        <v>3213</v>
      </c>
      <c r="P1037" s="345" t="s">
        <v>4825</v>
      </c>
      <c r="Q1037" s="346" t="s">
        <v>4877</v>
      </c>
      <c r="R1037" s="345" t="s">
        <v>194</v>
      </c>
      <c r="S1037" s="346"/>
    </row>
    <row r="1038">
      <c r="A1038" s="230">
        <v>1038.0</v>
      </c>
      <c r="B1038" s="230" t="s">
        <v>188</v>
      </c>
      <c r="C1038" s="231"/>
      <c r="D1038" s="232"/>
      <c r="E1038" s="232">
        <f>IFERROR(__xludf.DUMMYFUNCTION("iferror(SPLIT(D1038,""/""),split(""0/0"",""/""))"),0.0)</f>
        <v>0</v>
      </c>
      <c r="F1038" s="232">
        <f>IFERROR(__xludf.DUMMYFUNCTION("""COMPUTED_VALUE"""),0.0)</f>
        <v>0</v>
      </c>
      <c r="G1038" s="247" t="b">
        <v>0</v>
      </c>
      <c r="H1038" s="242" t="str">
        <f t="shared" si="1"/>
        <v/>
      </c>
      <c r="I1038" s="347" t="s">
        <v>4878</v>
      </c>
      <c r="J1038" s="342" t="str">
        <f t="shared" si="2"/>
        <v>Obtain a stack of Beacons</v>
      </c>
      <c r="K1038" s="343"/>
      <c r="L1038" s="344"/>
      <c r="M1038" s="343"/>
      <c r="N1038" s="343" t="s">
        <v>4879</v>
      </c>
      <c r="O1038" s="239" t="s">
        <v>4451</v>
      </c>
      <c r="P1038" s="345" t="s">
        <v>4825</v>
      </c>
      <c r="Q1038" s="346" t="s">
        <v>4880</v>
      </c>
      <c r="R1038" s="345" t="s">
        <v>194</v>
      </c>
      <c r="S1038" s="346"/>
    </row>
    <row r="1039">
      <c r="A1039" s="230">
        <v>1039.0</v>
      </c>
      <c r="B1039" s="230" t="s">
        <v>188</v>
      </c>
      <c r="C1039" s="231"/>
      <c r="D1039" s="232"/>
      <c r="E1039" s="232">
        <f>IFERROR(__xludf.DUMMYFUNCTION("iferror(SPLIT(D1039,""/""),split(""0/0"",""/""))"),0.0)</f>
        <v>0</v>
      </c>
      <c r="F1039" s="232">
        <f>IFERROR(__xludf.DUMMYFUNCTION("""COMPUTED_VALUE"""),0.0)</f>
        <v>0</v>
      </c>
      <c r="G1039" s="247" t="b">
        <v>0</v>
      </c>
      <c r="H1039" s="242" t="str">
        <f t="shared" si="1"/>
        <v/>
      </c>
      <c r="I1039" s="347" t="s">
        <v>4881</v>
      </c>
      <c r="J1039" s="342" t="str">
        <f t="shared" si="2"/>
        <v>Collect 64 Hearts of the Sea</v>
      </c>
      <c r="K1039" s="343"/>
      <c r="L1039" s="344"/>
      <c r="M1039" s="343"/>
      <c r="N1039" s="343" t="s">
        <v>4882</v>
      </c>
      <c r="O1039" s="239" t="s">
        <v>4883</v>
      </c>
      <c r="P1039" s="345" t="s">
        <v>4825</v>
      </c>
      <c r="Q1039" s="346" t="s">
        <v>4884</v>
      </c>
      <c r="R1039" s="345" t="s">
        <v>194</v>
      </c>
      <c r="S1039" s="346"/>
    </row>
    <row r="1040">
      <c r="A1040" s="230">
        <v>1040.0</v>
      </c>
      <c r="B1040" s="230" t="s">
        <v>188</v>
      </c>
      <c r="C1040" s="231"/>
      <c r="D1040" s="232"/>
      <c r="E1040" s="232">
        <f>IFERROR(__xludf.DUMMYFUNCTION("iferror(SPLIT(D1040,""/""),split(""0/0"",""/""))"),0.0)</f>
        <v>0</v>
      </c>
      <c r="F1040" s="232">
        <f>IFERROR(__xludf.DUMMYFUNCTION("""COMPUTED_VALUE"""),0.0)</f>
        <v>0</v>
      </c>
      <c r="G1040" s="247" t="b">
        <v>0</v>
      </c>
      <c r="H1040" s="242" t="str">
        <f t="shared" si="1"/>
        <v/>
      </c>
      <c r="I1040" s="347" t="s">
        <v>4885</v>
      </c>
      <c r="J1040" s="342" t="str">
        <f t="shared" si="2"/>
        <v>Obtain a stack of Conduits</v>
      </c>
      <c r="K1040" s="343"/>
      <c r="L1040" s="344"/>
      <c r="M1040" s="343"/>
      <c r="N1040" s="343" t="s">
        <v>4886</v>
      </c>
      <c r="O1040" s="239" t="s">
        <v>4887</v>
      </c>
      <c r="P1040" s="345" t="s">
        <v>4825</v>
      </c>
      <c r="Q1040" s="346" t="s">
        <v>4888</v>
      </c>
      <c r="R1040" s="345" t="s">
        <v>194</v>
      </c>
      <c r="S1040" s="346"/>
    </row>
    <row r="1041">
      <c r="A1041" s="230">
        <v>1041.0</v>
      </c>
      <c r="B1041" s="230" t="s">
        <v>188</v>
      </c>
      <c r="C1041" s="231"/>
      <c r="D1041" s="232"/>
      <c r="E1041" s="232">
        <f>IFERROR(__xludf.DUMMYFUNCTION("iferror(SPLIT(D1041,""/""),split(""0/0"",""/""))"),0.0)</f>
        <v>0</v>
      </c>
      <c r="F1041" s="232">
        <f>IFERROR(__xludf.DUMMYFUNCTION("""COMPUTED_VALUE"""),0.0)</f>
        <v>0</v>
      </c>
      <c r="G1041" s="247" t="b">
        <v>0</v>
      </c>
      <c r="H1041" s="242" t="str">
        <f t="shared" si="1"/>
        <v/>
      </c>
      <c r="I1041" s="347" t="s">
        <v>4889</v>
      </c>
      <c r="J1041" s="342" t="str">
        <f t="shared" si="2"/>
        <v>Construct a village in the End and defend it from a raid (You have to both start a raid in the End and finish a raid in the End to gain this advancement)</v>
      </c>
      <c r="K1041" s="343"/>
      <c r="L1041" s="344"/>
      <c r="M1041" s="343" t="s">
        <v>4890</v>
      </c>
      <c r="N1041" s="343" t="s">
        <v>4891</v>
      </c>
      <c r="O1041" s="239" t="s">
        <v>4403</v>
      </c>
      <c r="P1041" s="345" t="s">
        <v>4825</v>
      </c>
      <c r="Q1041" s="346" t="s">
        <v>4892</v>
      </c>
      <c r="R1041" s="345" t="s">
        <v>194</v>
      </c>
      <c r="S1041" s="346"/>
    </row>
    <row r="1042">
      <c r="A1042" s="230">
        <v>1042.0</v>
      </c>
      <c r="B1042" s="230" t="s">
        <v>257</v>
      </c>
      <c r="C1042" s="231"/>
      <c r="D1042" s="232"/>
      <c r="E1042" s="232">
        <f>IFERROR(__xludf.DUMMYFUNCTION("iferror(SPLIT(D1042,""/""),split(""0/0"",""/""))"),0.0)</f>
        <v>0</v>
      </c>
      <c r="F1042" s="232">
        <f>IFERROR(__xludf.DUMMYFUNCTION("""COMPUTED_VALUE"""),0.0)</f>
        <v>0</v>
      </c>
      <c r="G1042" s="247" t="b">
        <v>0</v>
      </c>
      <c r="H1042" s="242" t="str">
        <f t="shared" si="1"/>
        <v/>
      </c>
      <c r="I1042" s="347" t="s">
        <v>4893</v>
      </c>
      <c r="J1042" s="342" t="str">
        <f t="shared" si="2"/>
        <v>Defeat the Ender Dragon while wearing a dragon head... without touching the ground (Once the Ender Dragon becomes attackable you must not be touching the ground AND be wearing a Dragon Head for the whole fight, and deal the killing blow. It also resets if you ride any vehicle OR touch water or lava)</v>
      </c>
      <c r="K1042" s="343"/>
      <c r="L1042" s="344"/>
      <c r="M1042" s="343" t="s">
        <v>4894</v>
      </c>
      <c r="N1042" s="343" t="s">
        <v>4895</v>
      </c>
      <c r="O1042" s="239" t="s">
        <v>4638</v>
      </c>
      <c r="P1042" s="345" t="s">
        <v>4825</v>
      </c>
      <c r="Q1042" s="346" t="s">
        <v>4896</v>
      </c>
      <c r="R1042" s="345" t="s">
        <v>194</v>
      </c>
      <c r="S1042" s="346" t="s">
        <v>4683</v>
      </c>
    </row>
    <row r="1043">
      <c r="A1043" s="230">
        <v>1043.0</v>
      </c>
      <c r="B1043" s="230" t="s">
        <v>257</v>
      </c>
      <c r="C1043" s="231"/>
      <c r="D1043" s="232"/>
      <c r="E1043" s="232">
        <f>IFERROR(__xludf.DUMMYFUNCTION("iferror(SPLIT(D1043,""/""),split(""0/0"",""/""))"),0.0)</f>
        <v>0</v>
      </c>
      <c r="F1043" s="232">
        <f>IFERROR(__xludf.DUMMYFUNCTION("""COMPUTED_VALUE"""),0.0)</f>
        <v>0</v>
      </c>
      <c r="G1043" s="247" t="b">
        <v>0</v>
      </c>
      <c r="H1043" s="242" t="str">
        <f t="shared" si="1"/>
        <v/>
      </c>
      <c r="I1043" s="347" t="s">
        <v>4897</v>
      </c>
      <c r="J1043" s="342" t="str">
        <f t="shared" si="2"/>
        <v>Defeat the Wither while wearing a Dragon head... without touching the ground (Once the Wither becomes attackable you must not be touching the ground AND be wearing a Dragon Head for the whole fight, and deal the killing blow. It also resets if you ride any vehicle OR touch water, lava or a climbable block such as ladders)</v>
      </c>
      <c r="K1043" s="343"/>
      <c r="L1043" s="344"/>
      <c r="M1043" s="343" t="s">
        <v>4898</v>
      </c>
      <c r="N1043" s="343" t="s">
        <v>4899</v>
      </c>
      <c r="O1043" s="239" t="s">
        <v>2283</v>
      </c>
      <c r="P1043" s="345" t="s">
        <v>4825</v>
      </c>
      <c r="Q1043" s="346" t="s">
        <v>4900</v>
      </c>
      <c r="R1043" s="345" t="s">
        <v>194</v>
      </c>
      <c r="S1043" s="346" t="s">
        <v>4683</v>
      </c>
    </row>
    <row r="1044">
      <c r="A1044" s="230">
        <v>1044.0</v>
      </c>
      <c r="B1044" s="230" t="s">
        <v>257</v>
      </c>
      <c r="C1044" s="231"/>
      <c r="D1044" s="232"/>
      <c r="E1044" s="232">
        <f>IFERROR(__xludf.DUMMYFUNCTION("iferror(SPLIT(D1044,""/""),split(""0/0"",""/""))"),0.0)</f>
        <v>0</v>
      </c>
      <c r="F1044" s="232">
        <f>IFERROR(__xludf.DUMMYFUNCTION("""COMPUTED_VALUE"""),0.0)</f>
        <v>0</v>
      </c>
      <c r="G1044" s="233" t="b">
        <v>0</v>
      </c>
      <c r="H1044" s="242" t="str">
        <f t="shared" si="1"/>
        <v/>
      </c>
      <c r="I1044" s="347" t="s">
        <v>44</v>
      </c>
      <c r="J1044" s="342" t="str">
        <f t="shared" si="2"/>
        <v>Summon the Ender Dragon, the Wither, and a Raid within thirty seconds of each other, then defeat all of them without taking damage</v>
      </c>
      <c r="K1044" s="343"/>
      <c r="L1044" s="344"/>
      <c r="M1044" s="343"/>
      <c r="N1044" s="343" t="s">
        <v>4901</v>
      </c>
      <c r="O1044" s="239" t="s">
        <v>4902</v>
      </c>
      <c r="P1044" s="345" t="s">
        <v>4825</v>
      </c>
      <c r="Q1044" s="346" t="s">
        <v>4903</v>
      </c>
      <c r="R1044" s="345" t="s">
        <v>194</v>
      </c>
      <c r="S1044" s="345" t="s">
        <v>3053</v>
      </c>
    </row>
    <row r="1045">
      <c r="A1045" s="230">
        <v>1045.0</v>
      </c>
      <c r="B1045" s="230" t="s">
        <v>257</v>
      </c>
      <c r="C1045" s="231"/>
      <c r="D1045" s="232"/>
      <c r="E1045" s="232">
        <f>IFERROR(__xludf.DUMMYFUNCTION("iferror(SPLIT(D1045,""/""),split(""0/0"",""/""))"),0.0)</f>
        <v>0</v>
      </c>
      <c r="F1045" s="232">
        <f>IFERROR(__xludf.DUMMYFUNCTION("""COMPUTED_VALUE"""),0.0)</f>
        <v>0</v>
      </c>
      <c r="G1045" s="247" t="b">
        <v>0</v>
      </c>
      <c r="H1045" s="242" t="str">
        <f t="shared" si="1"/>
        <v/>
      </c>
      <c r="I1045" s="347" t="s">
        <v>4904</v>
      </c>
      <c r="J1045" s="351" t="str">
        <f t="shared" si="2"/>
        <v>See below for description and walkthrough (as it is very long)</v>
      </c>
      <c r="K1045" s="343"/>
      <c r="L1045" s="344"/>
      <c r="M1045" s="343"/>
      <c r="N1045" s="350" t="s">
        <v>4905</v>
      </c>
      <c r="O1045" s="239" t="s">
        <v>2812</v>
      </c>
      <c r="P1045" s="345" t="s">
        <v>4825</v>
      </c>
      <c r="Q1045" s="346" t="s">
        <v>4906</v>
      </c>
      <c r="R1045" s="345" t="s">
        <v>194</v>
      </c>
      <c r="S1045" s="346" t="s">
        <v>4907</v>
      </c>
    </row>
    <row r="1046">
      <c r="A1046" s="230">
        <v>1046.0</v>
      </c>
      <c r="B1046" s="230" t="s">
        <v>257</v>
      </c>
      <c r="C1046" s="231"/>
      <c r="D1046" s="232"/>
      <c r="E1046" s="232">
        <f>IFERROR(__xludf.DUMMYFUNCTION("iferror(SPLIT(D1046,""/""),split(""0/0"",""/""))"),0.0)</f>
        <v>0</v>
      </c>
      <c r="F1046" s="232">
        <f>IFERROR(__xludf.DUMMYFUNCTION("""COMPUTED_VALUE"""),0.0)</f>
        <v>0</v>
      </c>
      <c r="G1046" s="247" t="b">
        <v>0</v>
      </c>
      <c r="H1046" s="242" t="str">
        <f t="shared" si="1"/>
        <v/>
      </c>
      <c r="I1046" s="347" t="s">
        <v>40</v>
      </c>
      <c r="J1046" s="342" t="str">
        <f t="shared" si="2"/>
        <v>Open up every type of loot chest (See requirement notes below)</v>
      </c>
      <c r="K1046" s="343" t="s">
        <v>4908</v>
      </c>
      <c r="L1046" s="344"/>
      <c r="M1046" s="350" t="s">
        <v>238</v>
      </c>
      <c r="N1046" s="343" t="s">
        <v>4909</v>
      </c>
      <c r="O1046" s="239" t="s">
        <v>832</v>
      </c>
      <c r="P1046" s="345" t="s">
        <v>4825</v>
      </c>
      <c r="Q1046" s="346" t="s">
        <v>4910</v>
      </c>
      <c r="R1046" s="345" t="s">
        <v>194</v>
      </c>
      <c r="S1046" s="346" t="s">
        <v>2891</v>
      </c>
    </row>
    <row r="1047">
      <c r="A1047" s="230">
        <v>1047.0</v>
      </c>
      <c r="B1047" s="230" t="s">
        <v>257</v>
      </c>
      <c r="C1047" s="231"/>
      <c r="D1047" s="232"/>
      <c r="E1047" s="232">
        <f>IFERROR(__xludf.DUMMYFUNCTION("iferror(SPLIT(D1047,""/""),split(""0/0"",""/""))"),0.0)</f>
        <v>0</v>
      </c>
      <c r="F1047" s="232">
        <f>IFERROR(__xludf.DUMMYFUNCTION("""COMPUTED_VALUE"""),0.0)</f>
        <v>0</v>
      </c>
      <c r="G1047" s="247" t="b">
        <v>0</v>
      </c>
      <c r="H1047" s="242" t="str">
        <f t="shared" si="1"/>
        <v/>
      </c>
      <c r="I1047" s="347" t="s">
        <v>4911</v>
      </c>
      <c r="J1047" s="342" t="str">
        <f t="shared" si="2"/>
        <v>Summon ten withers at once (At least ten withers must be in existence up to 128 blocks away from you (checked once every ten seconds))</v>
      </c>
      <c r="K1047" s="343"/>
      <c r="L1047" s="344"/>
      <c r="M1047" s="343" t="s">
        <v>4912</v>
      </c>
      <c r="N1047" s="343" t="s">
        <v>4913</v>
      </c>
      <c r="O1047" s="239" t="s">
        <v>2283</v>
      </c>
      <c r="P1047" s="345" t="s">
        <v>4825</v>
      </c>
      <c r="Q1047" s="346" t="s">
        <v>4914</v>
      </c>
      <c r="R1047" s="345" t="s">
        <v>194</v>
      </c>
      <c r="S1047" s="345" t="s">
        <v>3053</v>
      </c>
    </row>
    <row r="1048">
      <c r="A1048" s="230">
        <v>1048.0</v>
      </c>
      <c r="B1048" s="230" t="s">
        <v>257</v>
      </c>
      <c r="C1048" s="231"/>
      <c r="D1048" s="232"/>
      <c r="E1048" s="232">
        <f>IFERROR(__xludf.DUMMYFUNCTION("iferror(SPLIT(D1048,""/""),split(""0/0"",""/""))"),0.0)</f>
        <v>0</v>
      </c>
      <c r="F1048" s="232">
        <f>IFERROR(__xludf.DUMMYFUNCTION("""COMPUTED_VALUE"""),0.0)</f>
        <v>0</v>
      </c>
      <c r="G1048" s="247" t="b">
        <v>0</v>
      </c>
      <c r="H1048" s="242" t="str">
        <f t="shared" si="1"/>
        <v/>
      </c>
      <c r="I1048" s="347" t="s">
        <v>4915</v>
      </c>
      <c r="J1048" s="342" t="str">
        <f t="shared" si="2"/>
        <v>Have fifty Wardens present within 100 blocks of you</v>
      </c>
      <c r="K1048" s="343"/>
      <c r="L1048" s="344"/>
      <c r="M1048" s="343"/>
      <c r="N1048" s="343" t="s">
        <v>4916</v>
      </c>
      <c r="O1048" s="239" t="s">
        <v>2283</v>
      </c>
      <c r="P1048" s="345" t="s">
        <v>4825</v>
      </c>
      <c r="Q1048" s="346" t="s">
        <v>4917</v>
      </c>
      <c r="R1048" s="345" t="s">
        <v>194</v>
      </c>
      <c r="S1048" s="345" t="s">
        <v>2559</v>
      </c>
    </row>
    <row r="1049">
      <c r="A1049" s="230">
        <v>1049.0</v>
      </c>
      <c r="B1049" s="230" t="s">
        <v>257</v>
      </c>
      <c r="C1049" s="231"/>
      <c r="D1049" s="232"/>
      <c r="E1049" s="232">
        <f>IFERROR(__xludf.DUMMYFUNCTION("iferror(SPLIT(D1049,""/""),split(""0/0"",""/""))"),0.0)</f>
        <v>0</v>
      </c>
      <c r="F1049" s="232">
        <f>IFERROR(__xludf.DUMMYFUNCTION("""COMPUTED_VALUE"""),0.0)</f>
        <v>0</v>
      </c>
      <c r="G1049" s="247" t="b">
        <v>0</v>
      </c>
      <c r="H1049" s="242" t="str">
        <f t="shared" si="1"/>
        <v/>
      </c>
      <c r="I1049" s="347" t="s">
        <v>4918</v>
      </c>
      <c r="J1049" s="342" t="str">
        <f t="shared" si="2"/>
        <v>Fill your entire inventory with Totems of Undying (All inventory slots, including your hotbar and offhand, must be filled, hence requiring 37 totems of undying)</v>
      </c>
      <c r="K1049" s="343"/>
      <c r="L1049" s="344"/>
      <c r="M1049" s="343" t="s">
        <v>4919</v>
      </c>
      <c r="N1049" s="343" t="s">
        <v>4920</v>
      </c>
      <c r="O1049" s="239" t="s">
        <v>2078</v>
      </c>
      <c r="P1049" s="345" t="s">
        <v>4825</v>
      </c>
      <c r="Q1049" s="346" t="s">
        <v>4921</v>
      </c>
      <c r="R1049" s="345" t="s">
        <v>194</v>
      </c>
      <c r="S1049" s="345" t="s">
        <v>1863</v>
      </c>
    </row>
    <row r="1050">
      <c r="A1050" s="230">
        <v>1050.0</v>
      </c>
      <c r="B1050" s="230" t="s">
        <v>257</v>
      </c>
      <c r="C1050" s="231"/>
      <c r="D1050" s="232"/>
      <c r="E1050" s="232">
        <f>IFERROR(__xludf.DUMMYFUNCTION("iferror(SPLIT(D1050,""/""),split(""0/0"",""/""))"),0.0)</f>
        <v>0</v>
      </c>
      <c r="F1050" s="232">
        <f>IFERROR(__xludf.DUMMYFUNCTION("""COMPUTED_VALUE"""),0.0)</f>
        <v>0</v>
      </c>
      <c r="G1050" s="247" t="b">
        <v>0</v>
      </c>
      <c r="H1050" s="242" t="str">
        <f t="shared" si="1"/>
        <v/>
      </c>
      <c r="I1050" s="347" t="s">
        <v>36</v>
      </c>
      <c r="J1050" s="342" t="str">
        <f t="shared" si="2"/>
        <v>Get killed by every mob that can kill you (See requirement notes below)</v>
      </c>
      <c r="K1050" s="343"/>
      <c r="L1050" s="344"/>
      <c r="M1050" s="350" t="s">
        <v>238</v>
      </c>
      <c r="N1050" s="343" t="s">
        <v>4922</v>
      </c>
      <c r="O1050" s="239" t="s">
        <v>4923</v>
      </c>
      <c r="P1050" s="345" t="s">
        <v>4825</v>
      </c>
      <c r="Q1050" s="346" t="s">
        <v>4924</v>
      </c>
      <c r="R1050" s="345" t="s">
        <v>194</v>
      </c>
      <c r="S1050" s="346" t="s">
        <v>1276</v>
      </c>
    </row>
    <row r="1051">
      <c r="A1051" s="230">
        <v>1051.0</v>
      </c>
      <c r="B1051" s="230" t="s">
        <v>257</v>
      </c>
      <c r="C1051" s="231"/>
      <c r="D1051" s="232"/>
      <c r="E1051" s="232">
        <f>IFERROR(__xludf.DUMMYFUNCTION("iferror(SPLIT(D1051,""/""),split(""0/0"",""/""))"),0.0)</f>
        <v>0</v>
      </c>
      <c r="F1051" s="232">
        <f>IFERROR(__xludf.DUMMYFUNCTION("""COMPUTED_VALUE"""),0.0)</f>
        <v>0</v>
      </c>
      <c r="G1051" s="233" t="b">
        <v>0</v>
      </c>
      <c r="H1051" s="242" t="str">
        <f t="shared" si="1"/>
        <v/>
      </c>
      <c r="I1051" s="347" t="s">
        <v>33</v>
      </c>
      <c r="J1051" s="352" t="str">
        <f t="shared" si="2"/>
        <v>Collect every type of enchantment at every level (See requirement notes below)</v>
      </c>
      <c r="K1051" s="343"/>
      <c r="L1051" s="344"/>
      <c r="M1051" s="350" t="s">
        <v>238</v>
      </c>
      <c r="N1051" s="353" t="s">
        <v>4925</v>
      </c>
      <c r="O1051" s="239" t="s">
        <v>3221</v>
      </c>
      <c r="P1051" s="345" t="s">
        <v>4825</v>
      </c>
      <c r="Q1051" s="346" t="s">
        <v>4926</v>
      </c>
      <c r="R1051" s="345" t="s">
        <v>194</v>
      </c>
      <c r="S1051" s="346" t="s">
        <v>3641</v>
      </c>
    </row>
    <row r="1052">
      <c r="A1052" s="230">
        <v>1052.0</v>
      </c>
      <c r="B1052" s="230" t="s">
        <v>257</v>
      </c>
      <c r="C1052" s="231"/>
      <c r="D1052" s="232"/>
      <c r="E1052" s="232">
        <f>IFERROR(__xludf.DUMMYFUNCTION("iferror(SPLIT(D1052,""/""),split(""0/0"",""/""))"),0.0)</f>
        <v>0</v>
      </c>
      <c r="F1052" s="232">
        <f>IFERROR(__xludf.DUMMYFUNCTION("""COMPUTED_VALUE"""),0.0)</f>
        <v>0</v>
      </c>
      <c r="G1052" s="247" t="b">
        <v>0</v>
      </c>
      <c r="H1052" s="242" t="str">
        <f t="shared" si="1"/>
        <v/>
      </c>
      <c r="I1052" s="347" t="s">
        <v>4927</v>
      </c>
      <c r="J1052" s="342" t="str">
        <f t="shared" si="2"/>
        <v>Trade with every profession from every biome type (See requirement notes below)</v>
      </c>
      <c r="K1052" s="343" t="s">
        <v>4928</v>
      </c>
      <c r="L1052" s="344"/>
      <c r="M1052" s="350" t="s">
        <v>238</v>
      </c>
      <c r="N1052" s="343" t="s">
        <v>4929</v>
      </c>
      <c r="O1052" s="239" t="s">
        <v>843</v>
      </c>
      <c r="P1052" s="345" t="s">
        <v>4825</v>
      </c>
      <c r="Q1052" s="346" t="s">
        <v>4930</v>
      </c>
      <c r="R1052" s="345" t="s">
        <v>194</v>
      </c>
      <c r="S1052" s="346" t="s">
        <v>3165</v>
      </c>
    </row>
    <row r="1053">
      <c r="A1053" s="230">
        <v>1053.0</v>
      </c>
      <c r="B1053" s="230" t="s">
        <v>257</v>
      </c>
      <c r="C1053" s="231"/>
      <c r="D1053" s="232"/>
      <c r="E1053" s="232">
        <f>IFERROR(__xludf.DUMMYFUNCTION("iferror(SPLIT(D1053,""/""),split(""0/0"",""/""))"),0.0)</f>
        <v>0</v>
      </c>
      <c r="F1053" s="232">
        <f>IFERROR(__xludf.DUMMYFUNCTION("""COMPUTED_VALUE"""),0.0)</f>
        <v>0</v>
      </c>
      <c r="G1053" s="247" t="b">
        <v>0</v>
      </c>
      <c r="H1053" s="242" t="str">
        <f t="shared" si="1"/>
        <v/>
      </c>
      <c r="I1053" s="347" t="s">
        <v>29</v>
      </c>
      <c r="J1053" s="342" t="str">
        <f t="shared" si="2"/>
        <v>Cure a zombie villager of every profession... from every biome</v>
      </c>
      <c r="K1053" s="343"/>
      <c r="L1053" s="344"/>
      <c r="M1053" s="343"/>
      <c r="N1053" s="343" t="s">
        <v>4931</v>
      </c>
      <c r="O1053" s="239" t="s">
        <v>3703</v>
      </c>
      <c r="P1053" s="345" t="s">
        <v>4825</v>
      </c>
      <c r="Q1053" s="346" t="s">
        <v>4932</v>
      </c>
      <c r="R1053" s="345" t="s">
        <v>194</v>
      </c>
      <c r="S1053" s="346" t="s">
        <v>3165</v>
      </c>
    </row>
    <row r="1054">
      <c r="A1054" s="230">
        <v>1054.0</v>
      </c>
      <c r="B1054" s="230" t="s">
        <v>257</v>
      </c>
      <c r="C1054" s="231"/>
      <c r="D1054" s="232"/>
      <c r="E1054" s="232">
        <f>IFERROR(__xludf.DUMMYFUNCTION("iferror(SPLIT(D1054,""/""),split(""0/0"",""/""))"),0.0)</f>
        <v>0</v>
      </c>
      <c r="F1054" s="232">
        <f>IFERROR(__xludf.DUMMYFUNCTION("""COMPUTED_VALUE"""),0.0)</f>
        <v>0</v>
      </c>
      <c r="G1054" s="247" t="b">
        <v>0</v>
      </c>
      <c r="H1054" s="242" t="str">
        <f t="shared" si="1"/>
        <v/>
      </c>
      <c r="I1054" s="347" t="s">
        <v>4933</v>
      </c>
      <c r="J1054" s="342" t="str">
        <f t="shared" si="2"/>
        <v>Have every effect applied at the same time (See requirement notes below)</v>
      </c>
      <c r="K1054" s="343"/>
      <c r="L1054" s="344"/>
      <c r="M1054" s="350" t="s">
        <v>238</v>
      </c>
      <c r="N1054" s="343" t="s">
        <v>4934</v>
      </c>
      <c r="O1054" s="239" t="s">
        <v>2170</v>
      </c>
      <c r="P1054" s="345" t="s">
        <v>4825</v>
      </c>
      <c r="Q1054" s="346" t="s">
        <v>4935</v>
      </c>
      <c r="R1054" s="345" t="s">
        <v>194</v>
      </c>
      <c r="S1054" s="345" t="s">
        <v>4936</v>
      </c>
    </row>
    <row r="1055">
      <c r="A1055" s="230">
        <v>1055.0</v>
      </c>
      <c r="B1055" s="230" t="s">
        <v>257</v>
      </c>
      <c r="C1055" s="231"/>
      <c r="D1055" s="232"/>
      <c r="E1055" s="232">
        <f>IFERROR(__xludf.DUMMYFUNCTION("iferror(SPLIT(D1055,""/""),split(""0/0"",""/""))"),0.0)</f>
        <v>0</v>
      </c>
      <c r="F1055" s="232">
        <f>IFERROR(__xludf.DUMMYFUNCTION("""COMPUTED_VALUE"""),0.0)</f>
        <v>0</v>
      </c>
      <c r="G1055" s="247" t="b">
        <v>0</v>
      </c>
      <c r="H1055" s="242" t="str">
        <f t="shared" si="1"/>
        <v/>
      </c>
      <c r="I1055" s="347" t="s">
        <v>4937</v>
      </c>
      <c r="J1055" s="342" t="str">
        <f t="shared" si="2"/>
        <v>Reach an altitude of 10,000 blocks above the world (Be above y=10,000)</v>
      </c>
      <c r="K1055" s="343" t="s">
        <v>4938</v>
      </c>
      <c r="L1055" s="344"/>
      <c r="M1055" s="343" t="s">
        <v>4939</v>
      </c>
      <c r="N1055" s="343" t="s">
        <v>4940</v>
      </c>
      <c r="O1055" s="239" t="s">
        <v>2648</v>
      </c>
      <c r="P1055" s="345" t="s">
        <v>4825</v>
      </c>
      <c r="Q1055" s="346" t="s">
        <v>4941</v>
      </c>
      <c r="R1055" s="345" t="s">
        <v>194</v>
      </c>
      <c r="S1055" s="346" t="s">
        <v>4942</v>
      </c>
    </row>
    <row r="1056">
      <c r="A1056" s="230">
        <v>1056.0</v>
      </c>
      <c r="B1056" s="230" t="s">
        <v>257</v>
      </c>
      <c r="C1056" s="231"/>
      <c r="D1056" s="232"/>
      <c r="E1056" s="232">
        <f>IFERROR(__xludf.DUMMYFUNCTION("iferror(SPLIT(D1056,""/""),split(""0/0"",""/""))"),0.0)</f>
        <v>0</v>
      </c>
      <c r="F1056" s="232">
        <f>IFERROR(__xludf.DUMMYFUNCTION("""COMPUTED_VALUE"""),0.0)</f>
        <v>0</v>
      </c>
      <c r="G1056" s="247" t="b">
        <v>0</v>
      </c>
      <c r="H1056" s="242" t="str">
        <f t="shared" si="1"/>
        <v/>
      </c>
      <c r="I1056" s="347" t="s">
        <v>4943</v>
      </c>
      <c r="J1056" s="342" t="str">
        <f t="shared" si="2"/>
        <v>Levitate up a distance of 256 blocks</v>
      </c>
      <c r="K1056" s="343"/>
      <c r="L1056" s="344"/>
      <c r="M1056" s="343"/>
      <c r="N1056" s="343" t="s">
        <v>4944</v>
      </c>
      <c r="O1056" s="239" t="s">
        <v>4779</v>
      </c>
      <c r="P1056" s="345" t="s">
        <v>4825</v>
      </c>
      <c r="Q1056" s="346" t="s">
        <v>4945</v>
      </c>
      <c r="R1056" s="345" t="s">
        <v>194</v>
      </c>
      <c r="S1056" s="346" t="s">
        <v>262</v>
      </c>
    </row>
    <row r="1057">
      <c r="A1057" s="230">
        <v>1057.0</v>
      </c>
      <c r="B1057" s="230" t="s">
        <v>188</v>
      </c>
      <c r="C1057" s="231"/>
      <c r="D1057" s="232"/>
      <c r="E1057" s="232">
        <f>IFERROR(__xludf.DUMMYFUNCTION("iferror(SPLIT(D1057,""/""),split(""0/0"",""/""))"),0.0)</f>
        <v>0</v>
      </c>
      <c r="F1057" s="232">
        <f>IFERROR(__xludf.DUMMYFUNCTION("""COMPUTED_VALUE"""),0.0)</f>
        <v>0</v>
      </c>
      <c r="G1057" s="247" t="b">
        <v>0</v>
      </c>
      <c r="H1057" s="242" t="str">
        <f t="shared" si="1"/>
        <v/>
      </c>
      <c r="I1057" s="347" t="s">
        <v>4946</v>
      </c>
      <c r="J1057" s="342" t="str">
        <f t="shared" si="2"/>
        <v>Use the Nether to travel 666km in the Overworld</v>
      </c>
      <c r="K1057" s="343"/>
      <c r="L1057" s="344"/>
      <c r="M1057" s="343"/>
      <c r="N1057" s="343" t="s">
        <v>4947</v>
      </c>
      <c r="O1057" s="239" t="s">
        <v>3746</v>
      </c>
      <c r="P1057" s="345" t="s">
        <v>4825</v>
      </c>
      <c r="Q1057" s="346" t="s">
        <v>4948</v>
      </c>
      <c r="R1057" s="345" t="s">
        <v>194</v>
      </c>
      <c r="S1057" s="346"/>
    </row>
    <row r="1058">
      <c r="A1058" s="230">
        <v>1058.0</v>
      </c>
      <c r="B1058" s="230" t="s">
        <v>257</v>
      </c>
      <c r="C1058" s="231"/>
      <c r="D1058" s="232"/>
      <c r="E1058" s="232">
        <f>IFERROR(__xludf.DUMMYFUNCTION("iferror(SPLIT(D1058,""/""),split(""0/0"",""/""))"),0.0)</f>
        <v>0</v>
      </c>
      <c r="F1058" s="232">
        <f>IFERROR(__xludf.DUMMYFUNCTION("""COMPUTED_VALUE"""),0.0)</f>
        <v>0</v>
      </c>
      <c r="G1058" s="247" t="b">
        <v>0</v>
      </c>
      <c r="H1058" s="242" t="str">
        <f t="shared" si="1"/>
        <v/>
      </c>
      <c r="I1058" s="347" t="s">
        <v>4949</v>
      </c>
      <c r="J1058" s="342" t="str">
        <f t="shared" si="2"/>
        <v>Travel a million blocks away from spawn</v>
      </c>
      <c r="K1058" s="343"/>
      <c r="L1058" s="344"/>
      <c r="M1058" s="343"/>
      <c r="N1058" s="343" t="s">
        <v>4950</v>
      </c>
      <c r="O1058" s="239" t="s">
        <v>3947</v>
      </c>
      <c r="P1058" s="345" t="s">
        <v>4825</v>
      </c>
      <c r="Q1058" s="346" t="s">
        <v>4951</v>
      </c>
      <c r="R1058" s="345" t="s">
        <v>194</v>
      </c>
      <c r="S1058" s="346" t="s">
        <v>4942</v>
      </c>
    </row>
    <row r="1059">
      <c r="A1059" s="230">
        <v>1059.0</v>
      </c>
      <c r="B1059" s="230" t="s">
        <v>257</v>
      </c>
      <c r="C1059" s="231"/>
      <c r="D1059" s="232"/>
      <c r="E1059" s="232">
        <f>IFERROR(__xludf.DUMMYFUNCTION("iferror(SPLIT(D1059,""/""),split(""0/0"",""/""))"),0.0)</f>
        <v>0</v>
      </c>
      <c r="F1059" s="232">
        <f>IFERROR(__xludf.DUMMYFUNCTION("""COMPUTED_VALUE"""),0.0)</f>
        <v>0</v>
      </c>
      <c r="G1059" s="247" t="b">
        <v>0</v>
      </c>
      <c r="H1059" s="242" t="str">
        <f t="shared" si="1"/>
        <v/>
      </c>
      <c r="I1059" s="347" t="s">
        <v>4952</v>
      </c>
      <c r="J1059" s="342" t="str">
        <f t="shared" si="2"/>
        <v>Discover every biome in every dimension (See requirement notes below)</v>
      </c>
      <c r="K1059" s="343"/>
      <c r="L1059" s="344"/>
      <c r="M1059" s="350" t="s">
        <v>238</v>
      </c>
      <c r="N1059" s="343" t="s">
        <v>4953</v>
      </c>
      <c r="O1059" s="239" t="s">
        <v>4371</v>
      </c>
      <c r="P1059" s="345" t="s">
        <v>4825</v>
      </c>
      <c r="Q1059" s="346" t="s">
        <v>4954</v>
      </c>
      <c r="R1059" s="345" t="s">
        <v>194</v>
      </c>
      <c r="S1059" s="345" t="s">
        <v>1661</v>
      </c>
    </row>
    <row r="1060">
      <c r="A1060" s="230">
        <v>1060.0</v>
      </c>
      <c r="B1060" s="230" t="s">
        <v>188</v>
      </c>
      <c r="C1060" s="231"/>
      <c r="D1060" s="232"/>
      <c r="E1060" s="232">
        <f>IFERROR(__xludf.DUMMYFUNCTION("iferror(SPLIT(D1060,""/""),split(""0/0"",""/""))"),0.0)</f>
        <v>0</v>
      </c>
      <c r="F1060" s="232">
        <f>IFERROR(__xludf.DUMMYFUNCTION("""COMPUTED_VALUE"""),0.0)</f>
        <v>0</v>
      </c>
      <c r="G1060" s="247" t="b">
        <v>0</v>
      </c>
      <c r="H1060" s="242" t="str">
        <f t="shared" si="1"/>
        <v/>
      </c>
      <c r="I1060" s="235" t="s">
        <v>4955</v>
      </c>
      <c r="J1060" s="354" t="str">
        <f t="shared" si="2"/>
        <v>All around the world! (Either kill or get killed by a mob)</v>
      </c>
      <c r="K1060" s="355"/>
      <c r="L1060" s="230"/>
      <c r="M1060" s="355" t="s">
        <v>2810</v>
      </c>
      <c r="N1060" s="355" t="s">
        <v>4956</v>
      </c>
      <c r="O1060" s="239" t="s">
        <v>1043</v>
      </c>
      <c r="P1060" s="356" t="s">
        <v>4955</v>
      </c>
      <c r="Q1060" s="357" t="s">
        <v>4957</v>
      </c>
      <c r="R1060" s="356" t="s">
        <v>194</v>
      </c>
      <c r="S1060" s="357"/>
    </row>
    <row r="1061">
      <c r="A1061" s="230">
        <v>1061.0</v>
      </c>
      <c r="B1061" s="230" t="s">
        <v>188</v>
      </c>
      <c r="C1061" s="231"/>
      <c r="D1061" s="232"/>
      <c r="E1061" s="232">
        <f>IFERROR(__xludf.DUMMYFUNCTION("iferror(SPLIT(D1061,""/""),split(""0/0"",""/""))"),0.0)</f>
        <v>0</v>
      </c>
      <c r="F1061" s="232">
        <f>IFERROR(__xludf.DUMMYFUNCTION("""COMPUTED_VALUE"""),0.0)</f>
        <v>0</v>
      </c>
      <c r="G1061" s="247" t="b">
        <v>0</v>
      </c>
      <c r="H1061" s="242" t="str">
        <f t="shared" si="1"/>
        <v/>
      </c>
      <c r="I1061" s="243" t="s">
        <v>4958</v>
      </c>
      <c r="J1061" s="354" t="str">
        <f t="shared" si="2"/>
        <v>Pick a flower for someone special (Obtain any flower)</v>
      </c>
      <c r="K1061" s="355" t="s">
        <v>4959</v>
      </c>
      <c r="L1061" s="230"/>
      <c r="M1061" s="355" t="s">
        <v>4960</v>
      </c>
      <c r="N1061" s="355" t="s">
        <v>4961</v>
      </c>
      <c r="O1061" s="239" t="s">
        <v>4962</v>
      </c>
      <c r="P1061" s="356" t="s">
        <v>4955</v>
      </c>
      <c r="Q1061" s="357" t="s">
        <v>4963</v>
      </c>
      <c r="R1061" s="356" t="s">
        <v>194</v>
      </c>
      <c r="S1061" s="357"/>
    </row>
    <row r="1062">
      <c r="A1062" s="230">
        <v>1062.0</v>
      </c>
      <c r="B1062" s="230" t="s">
        <v>188</v>
      </c>
      <c r="C1062" s="231"/>
      <c r="D1062" s="232"/>
      <c r="E1062" s="232">
        <f>IFERROR(__xludf.DUMMYFUNCTION("iferror(SPLIT(D1062,""/""),split(""0/0"",""/""))"),0.0)</f>
        <v>0</v>
      </c>
      <c r="F1062" s="232">
        <f>IFERROR(__xludf.DUMMYFUNCTION("""COMPUTED_VALUE"""),0.0)</f>
        <v>0</v>
      </c>
      <c r="G1062" s="233" t="b">
        <v>0</v>
      </c>
      <c r="H1062" s="242" t="str">
        <f t="shared" si="1"/>
        <v/>
      </c>
      <c r="I1062" s="251" t="s">
        <v>4964</v>
      </c>
      <c r="J1062" s="354" t="str">
        <f t="shared" si="2"/>
        <v>Find a sunflower plains (Enter a sunflower plains biome)</v>
      </c>
      <c r="K1062" s="355" t="s">
        <v>4965</v>
      </c>
      <c r="L1062" s="230"/>
      <c r="M1062" s="355" t="s">
        <v>4966</v>
      </c>
      <c r="N1062" s="355" t="s">
        <v>4967</v>
      </c>
      <c r="O1062" s="239" t="s">
        <v>4027</v>
      </c>
      <c r="P1062" s="356" t="s">
        <v>4955</v>
      </c>
      <c r="Q1062" s="357" t="s">
        <v>4968</v>
      </c>
      <c r="R1062" s="356" t="s">
        <v>194</v>
      </c>
      <c r="S1062" s="357"/>
    </row>
    <row r="1063">
      <c r="A1063" s="230">
        <v>1063.0</v>
      </c>
      <c r="B1063" s="230" t="s">
        <v>188</v>
      </c>
      <c r="C1063" s="231"/>
      <c r="D1063" s="232"/>
      <c r="E1063" s="232">
        <f>IFERROR(__xludf.DUMMYFUNCTION("iferror(SPLIT(D1063,""/""),split(""0/0"",""/""))"),0.0)</f>
        <v>0</v>
      </c>
      <c r="F1063" s="232">
        <f>IFERROR(__xludf.DUMMYFUNCTION("""COMPUTED_VALUE"""),0.0)</f>
        <v>0</v>
      </c>
      <c r="G1063" s="247" t="b">
        <v>0</v>
      </c>
      <c r="H1063" s="242" t="str">
        <f t="shared" si="1"/>
        <v/>
      </c>
      <c r="I1063" s="243" t="s">
        <v>4969</v>
      </c>
      <c r="J1063" s="354" t="str">
        <f t="shared" si="2"/>
        <v>Find a flower forest (Enter a flower forest biome)</v>
      </c>
      <c r="K1063" s="355"/>
      <c r="L1063" s="230"/>
      <c r="M1063" s="355" t="s">
        <v>4970</v>
      </c>
      <c r="N1063" s="355" t="s">
        <v>4971</v>
      </c>
      <c r="O1063" s="239" t="s">
        <v>4972</v>
      </c>
      <c r="P1063" s="356" t="s">
        <v>4955</v>
      </c>
      <c r="Q1063" s="357" t="s">
        <v>4973</v>
      </c>
      <c r="R1063" s="356" t="s">
        <v>194</v>
      </c>
      <c r="S1063" s="357"/>
    </row>
    <row r="1064">
      <c r="A1064" s="230">
        <v>1064.0</v>
      </c>
      <c r="B1064" s="230" t="s">
        <v>188</v>
      </c>
      <c r="C1064" s="231"/>
      <c r="D1064" s="232"/>
      <c r="E1064" s="232">
        <f>IFERROR(__xludf.DUMMYFUNCTION("iferror(SPLIT(D1064,""/""),split(""0/0"",""/""))"),0.0)</f>
        <v>0</v>
      </c>
      <c r="F1064" s="232">
        <f>IFERROR(__xludf.DUMMYFUNCTION("""COMPUTED_VALUE"""),0.0)</f>
        <v>0</v>
      </c>
      <c r="G1064" s="247" t="b">
        <v>0</v>
      </c>
      <c r="H1064" s="242" t="str">
        <f t="shared" si="1"/>
        <v/>
      </c>
      <c r="I1064" s="358" t="s">
        <v>4974</v>
      </c>
      <c r="J1064" s="354" t="str">
        <f t="shared" si="2"/>
        <v>Find a Cherry Grove (Enter a Cherry Grove biome)</v>
      </c>
      <c r="K1064" s="355"/>
      <c r="L1064" s="230"/>
      <c r="M1064" s="355" t="s">
        <v>4975</v>
      </c>
      <c r="N1064" s="355" t="s">
        <v>4976</v>
      </c>
      <c r="O1064" s="239" t="s">
        <v>4977</v>
      </c>
      <c r="P1064" s="356" t="s">
        <v>4955</v>
      </c>
      <c r="Q1064" s="357" t="s">
        <v>4978</v>
      </c>
      <c r="R1064" s="356" t="s">
        <v>194</v>
      </c>
      <c r="S1064" s="357"/>
    </row>
    <row r="1065">
      <c r="A1065" s="230">
        <v>1065.0</v>
      </c>
      <c r="B1065" s="230" t="s">
        <v>188</v>
      </c>
      <c r="C1065" s="231"/>
      <c r="D1065" s="232"/>
      <c r="E1065" s="232">
        <f>IFERROR(__xludf.DUMMYFUNCTION("iferror(SPLIT(D1065,""/""),split(""0/0"",""/""))"),0.0)</f>
        <v>0</v>
      </c>
      <c r="F1065" s="232">
        <f>IFERROR(__xludf.DUMMYFUNCTION("""COMPUTED_VALUE"""),0.0)</f>
        <v>0</v>
      </c>
      <c r="G1065" s="247" t="b">
        <v>0</v>
      </c>
      <c r="H1065" s="242" t="str">
        <f t="shared" si="1"/>
        <v/>
      </c>
      <c r="I1065" s="249" t="s">
        <v>4979</v>
      </c>
      <c r="J1065" s="354" t="str">
        <f t="shared" si="2"/>
        <v>Collect all types of flowers (See requirement notes below)</v>
      </c>
      <c r="K1065" s="355"/>
      <c r="L1065" s="230"/>
      <c r="M1065" s="359" t="s">
        <v>238</v>
      </c>
      <c r="N1065" s="355" t="s">
        <v>4980</v>
      </c>
      <c r="O1065" s="239" t="s">
        <v>4981</v>
      </c>
      <c r="P1065" s="356" t="s">
        <v>4955</v>
      </c>
      <c r="Q1065" s="357" t="s">
        <v>4982</v>
      </c>
      <c r="R1065" s="356" t="s">
        <v>194</v>
      </c>
      <c r="S1065" s="357"/>
    </row>
    <row r="1066">
      <c r="A1066" s="230">
        <v>1066.0</v>
      </c>
      <c r="B1066" s="230" t="s">
        <v>188</v>
      </c>
      <c r="C1066" s="231"/>
      <c r="D1066" s="232"/>
      <c r="E1066" s="232">
        <f>IFERROR(__xludf.DUMMYFUNCTION("iferror(SPLIT(D1066,""/""),split(""0/0"",""/""))"),0.0)</f>
        <v>0</v>
      </c>
      <c r="F1066" s="232">
        <f>IFERROR(__xludf.DUMMYFUNCTION("""COMPUTED_VALUE"""),0.0)</f>
        <v>0</v>
      </c>
      <c r="G1066" s="247" t="b">
        <v>0</v>
      </c>
      <c r="H1066" s="242" t="str">
        <f t="shared" si="1"/>
        <v/>
      </c>
      <c r="I1066" s="243" t="s">
        <v>4983</v>
      </c>
      <c r="J1066" s="354" t="str">
        <f t="shared" si="2"/>
        <v>Go for a safari in the jungle (Enter any jungle biome (including bamboo jungle biomes))</v>
      </c>
      <c r="K1066" s="355" t="s">
        <v>4984</v>
      </c>
      <c r="L1066" s="230"/>
      <c r="M1066" s="355" t="s">
        <v>4985</v>
      </c>
      <c r="N1066" s="355" t="s">
        <v>4986</v>
      </c>
      <c r="O1066" s="239" t="s">
        <v>4987</v>
      </c>
      <c r="P1066" s="356" t="s">
        <v>4955</v>
      </c>
      <c r="Q1066" s="357" t="s">
        <v>4988</v>
      </c>
      <c r="R1066" s="356" t="s">
        <v>194</v>
      </c>
      <c r="S1066" s="357"/>
    </row>
    <row r="1067">
      <c r="A1067" s="230">
        <v>1067.0</v>
      </c>
      <c r="B1067" s="230" t="s">
        <v>188</v>
      </c>
      <c r="C1067" s="231"/>
      <c r="D1067" s="232"/>
      <c r="E1067" s="232">
        <f>IFERROR(__xludf.DUMMYFUNCTION("iferror(SPLIT(D1067,""/""),split(""0/0"",""/""))"),0.0)</f>
        <v>0</v>
      </c>
      <c r="F1067" s="232">
        <f>IFERROR(__xludf.DUMMYFUNCTION("""COMPUTED_VALUE"""),0.0)</f>
        <v>0</v>
      </c>
      <c r="G1067" s="247" t="b">
        <v>0</v>
      </c>
      <c r="H1067" s="242" t="str">
        <f t="shared" si="1"/>
        <v/>
      </c>
      <c r="I1067" s="243" t="s">
        <v>4989</v>
      </c>
      <c r="J1067" s="354" t="str">
        <f t="shared" si="2"/>
        <v>Swing (or climb) on some vines (Enter a vine block)</v>
      </c>
      <c r="K1067" s="355"/>
      <c r="L1067" s="230"/>
      <c r="M1067" s="355" t="s">
        <v>4990</v>
      </c>
      <c r="N1067" s="355" t="s">
        <v>4991</v>
      </c>
      <c r="O1067" s="239" t="s">
        <v>4992</v>
      </c>
      <c r="P1067" s="356" t="s">
        <v>4955</v>
      </c>
      <c r="Q1067" s="357" t="s">
        <v>4993</v>
      </c>
      <c r="R1067" s="356" t="s">
        <v>194</v>
      </c>
      <c r="S1067" s="357"/>
    </row>
    <row r="1068">
      <c r="A1068" s="230">
        <v>1068.0</v>
      </c>
      <c r="B1068" s="230" t="s">
        <v>188</v>
      </c>
      <c r="C1068" s="231"/>
      <c r="D1068" s="232"/>
      <c r="E1068" s="232">
        <f>IFERROR(__xludf.DUMMYFUNCTION("iferror(SPLIT(D1068,""/""),split(""0/0"",""/""))"),0.0)</f>
        <v>0</v>
      </c>
      <c r="F1068" s="232">
        <f>IFERROR(__xludf.DUMMYFUNCTION("""COMPUTED_VALUE"""),0.0)</f>
        <v>0</v>
      </c>
      <c r="G1068" s="247" t="b">
        <v>0</v>
      </c>
      <c r="H1068" s="242" t="str">
        <f t="shared" si="1"/>
        <v/>
      </c>
      <c r="I1068" s="243" t="s">
        <v>4994</v>
      </c>
      <c r="J1068" s="354" t="str">
        <f t="shared" si="2"/>
        <v>Feed an Ocelot fish to try and gain its trust</v>
      </c>
      <c r="K1068" s="355" t="s">
        <v>4995</v>
      </c>
      <c r="L1068" s="230"/>
      <c r="M1068" s="355"/>
      <c r="N1068" s="355" t="s">
        <v>4996</v>
      </c>
      <c r="O1068" s="239" t="s">
        <v>2180</v>
      </c>
      <c r="P1068" s="356" t="s">
        <v>4955</v>
      </c>
      <c r="Q1068" s="357" t="s">
        <v>4997</v>
      </c>
      <c r="R1068" s="356" t="s">
        <v>194</v>
      </c>
      <c r="S1068" s="357"/>
    </row>
    <row r="1069">
      <c r="A1069" s="230">
        <v>1069.0</v>
      </c>
      <c r="B1069" s="230" t="s">
        <v>188</v>
      </c>
      <c r="C1069" s="231"/>
      <c r="D1069" s="232"/>
      <c r="E1069" s="232">
        <f>IFERROR(__xludf.DUMMYFUNCTION("iferror(SPLIT(D1069,""/""),split(""0/0"",""/""))"),0.0)</f>
        <v>0</v>
      </c>
      <c r="F1069" s="232">
        <f>IFERROR(__xludf.DUMMYFUNCTION("""COMPUTED_VALUE"""),0.0)</f>
        <v>0</v>
      </c>
      <c r="G1069" s="247" t="b">
        <v>0</v>
      </c>
      <c r="H1069" s="242" t="str">
        <f t="shared" si="1"/>
        <v/>
      </c>
      <c r="I1069" s="246" t="s">
        <v>4998</v>
      </c>
      <c r="J1069" s="354" t="str">
        <f t="shared" si="2"/>
        <v>Breed a baby ocelot</v>
      </c>
      <c r="K1069" s="355"/>
      <c r="L1069" s="230"/>
      <c r="M1069" s="355"/>
      <c r="N1069" s="355" t="s">
        <v>4999</v>
      </c>
      <c r="O1069" s="239" t="s">
        <v>5000</v>
      </c>
      <c r="P1069" s="356" t="s">
        <v>4955</v>
      </c>
      <c r="Q1069" s="357" t="s">
        <v>5001</v>
      </c>
      <c r="R1069" s="356" t="s">
        <v>194</v>
      </c>
      <c r="S1069" s="357"/>
    </row>
    <row r="1070">
      <c r="A1070" s="230">
        <v>1070.0</v>
      </c>
      <c r="B1070" s="230" t="s">
        <v>188</v>
      </c>
      <c r="C1070" s="231"/>
      <c r="D1070" s="232"/>
      <c r="E1070" s="232">
        <f>IFERROR(__xludf.DUMMYFUNCTION("iferror(SPLIT(D1070,""/""),split(""0/0"",""/""))"),0.0)</f>
        <v>0</v>
      </c>
      <c r="F1070" s="232">
        <f>IFERROR(__xludf.DUMMYFUNCTION("""COMPUTED_VALUE"""),0.0)</f>
        <v>0</v>
      </c>
      <c r="G1070" s="247" t="b">
        <v>0</v>
      </c>
      <c r="H1070" s="242" t="str">
        <f t="shared" si="1"/>
        <v/>
      </c>
      <c r="I1070" s="243" t="s">
        <v>5002</v>
      </c>
      <c r="J1070" s="354" t="str">
        <f t="shared" si="2"/>
        <v>Break down some bamboo (Obtain bamboo)</v>
      </c>
      <c r="K1070" s="355"/>
      <c r="L1070" s="230"/>
      <c r="M1070" s="355" t="s">
        <v>5003</v>
      </c>
      <c r="N1070" s="355" t="s">
        <v>5004</v>
      </c>
      <c r="O1070" s="239" t="s">
        <v>1053</v>
      </c>
      <c r="P1070" s="356" t="s">
        <v>4955</v>
      </c>
      <c r="Q1070" s="357" t="s">
        <v>5005</v>
      </c>
      <c r="R1070" s="356" t="s">
        <v>194</v>
      </c>
      <c r="S1070" s="357"/>
    </row>
    <row r="1071">
      <c r="A1071" s="230">
        <v>1071.0</v>
      </c>
      <c r="B1071" s="230" t="s">
        <v>188</v>
      </c>
      <c r="C1071" s="231"/>
      <c r="D1071" s="232"/>
      <c r="E1071" s="232">
        <f>IFERROR(__xludf.DUMMYFUNCTION("iferror(SPLIT(D1071,""/""),split(""0/0"",""/""))"),0.0)</f>
        <v>0</v>
      </c>
      <c r="F1071" s="232">
        <f>IFERROR(__xludf.DUMMYFUNCTION("""COMPUTED_VALUE"""),0.0)</f>
        <v>0</v>
      </c>
      <c r="G1071" s="247" t="b">
        <v>0</v>
      </c>
      <c r="H1071" s="242" t="str">
        <f t="shared" si="1"/>
        <v/>
      </c>
      <c r="I1071" s="243" t="s">
        <v>5006</v>
      </c>
      <c r="J1071" s="354" t="str">
        <f t="shared" si="2"/>
        <v>Craft and use some scaffolding (Place scaffolding)</v>
      </c>
      <c r="K1071" s="355"/>
      <c r="L1071" s="230"/>
      <c r="M1071" s="355" t="s">
        <v>5007</v>
      </c>
      <c r="N1071" s="355" t="s">
        <v>5008</v>
      </c>
      <c r="O1071" s="239" t="s">
        <v>5009</v>
      </c>
      <c r="P1071" s="356" t="s">
        <v>4955</v>
      </c>
      <c r="Q1071" s="357" t="s">
        <v>5010</v>
      </c>
      <c r="R1071" s="356" t="s">
        <v>194</v>
      </c>
      <c r="S1071" s="357"/>
    </row>
    <row r="1072">
      <c r="A1072" s="230">
        <v>1072.0</v>
      </c>
      <c r="B1072" s="230" t="s">
        <v>257</v>
      </c>
      <c r="C1072" s="231"/>
      <c r="D1072" s="232"/>
      <c r="E1072" s="232">
        <f>IFERROR(__xludf.DUMMYFUNCTION("iferror(SPLIT(D1072,""/""),split(""0/0"",""/""))"),0.0)</f>
        <v>0</v>
      </c>
      <c r="F1072" s="232">
        <f>IFERROR(__xludf.DUMMYFUNCTION("""COMPUTED_VALUE"""),0.0)</f>
        <v>0</v>
      </c>
      <c r="G1072" s="247" t="b">
        <v>0</v>
      </c>
      <c r="H1072" s="242" t="str">
        <f t="shared" si="1"/>
        <v/>
      </c>
      <c r="I1072" s="246" t="s">
        <v>5011</v>
      </c>
      <c r="J1072" s="354" t="str">
        <f t="shared" si="2"/>
        <v>Place scaffolding to the world limit (Place scaffolding at y=319 in the Overworld or y=255 in the Nether or End)</v>
      </c>
      <c r="K1072" s="355" t="s">
        <v>5012</v>
      </c>
      <c r="L1072" s="230"/>
      <c r="M1072" s="355" t="s">
        <v>5013</v>
      </c>
      <c r="N1072" s="355" t="s">
        <v>5014</v>
      </c>
      <c r="O1072" s="239" t="s">
        <v>5015</v>
      </c>
      <c r="P1072" s="356" t="s">
        <v>4955</v>
      </c>
      <c r="Q1072" s="357" t="s">
        <v>5016</v>
      </c>
      <c r="R1072" s="356" t="s">
        <v>194</v>
      </c>
      <c r="S1072" s="357" t="s">
        <v>347</v>
      </c>
    </row>
    <row r="1073">
      <c r="A1073" s="230">
        <v>1073.0</v>
      </c>
      <c r="B1073" s="230" t="s">
        <v>188</v>
      </c>
      <c r="C1073" s="231"/>
      <c r="D1073" s="232"/>
      <c r="E1073" s="232">
        <f>IFERROR(__xludf.DUMMYFUNCTION("iferror(SPLIT(D1073,""/""),split(""0/0"",""/""))"),0.0)</f>
        <v>0</v>
      </c>
      <c r="F1073" s="232">
        <f>IFERROR(__xludf.DUMMYFUNCTION("""COMPUTED_VALUE"""),0.0)</f>
        <v>0</v>
      </c>
      <c r="G1073" s="247" t="b">
        <v>0</v>
      </c>
      <c r="H1073" s="242" t="str">
        <f t="shared" si="1"/>
        <v/>
      </c>
      <c r="I1073" s="243" t="s">
        <v>5017</v>
      </c>
      <c r="J1073" s="354" t="str">
        <f t="shared" si="2"/>
        <v>Breed two pandas to get a baby panda</v>
      </c>
      <c r="K1073" s="355" t="s">
        <v>5018</v>
      </c>
      <c r="L1073" s="230"/>
      <c r="M1073" s="355"/>
      <c r="N1073" s="355" t="s">
        <v>5019</v>
      </c>
      <c r="O1073" s="239" t="s">
        <v>3864</v>
      </c>
      <c r="P1073" s="356" t="s">
        <v>4955</v>
      </c>
      <c r="Q1073" s="357" t="s">
        <v>5020</v>
      </c>
      <c r="R1073" s="356" t="s">
        <v>194</v>
      </c>
      <c r="S1073" s="357"/>
    </row>
    <row r="1074">
      <c r="A1074" s="230">
        <v>1074.0</v>
      </c>
      <c r="B1074" s="230" t="s">
        <v>188</v>
      </c>
      <c r="C1074" s="231"/>
      <c r="D1074" s="232"/>
      <c r="E1074" s="232">
        <f>IFERROR(__xludf.DUMMYFUNCTION("iferror(SPLIT(D1074,""/""),split(""0/0"",""/""))"),0.0)</f>
        <v>0</v>
      </c>
      <c r="F1074" s="232">
        <f>IFERROR(__xludf.DUMMYFUNCTION("""COMPUTED_VALUE"""),0.0)</f>
        <v>0</v>
      </c>
      <c r="G1074" s="247" t="b">
        <v>0</v>
      </c>
      <c r="H1074" s="242" t="str">
        <f t="shared" si="1"/>
        <v/>
      </c>
      <c r="I1074" s="243" t="s">
        <v>5021</v>
      </c>
      <c r="J1074" s="354" t="str">
        <f t="shared" si="2"/>
        <v>Get beaten up by an angry panda (Get killed by a panda)</v>
      </c>
      <c r="K1074" s="355"/>
      <c r="L1074" s="230"/>
      <c r="M1074" s="355" t="s">
        <v>5022</v>
      </c>
      <c r="N1074" s="355" t="s">
        <v>5023</v>
      </c>
      <c r="O1074" s="239" t="s">
        <v>1729</v>
      </c>
      <c r="P1074" s="356" t="s">
        <v>4955</v>
      </c>
      <c r="Q1074" s="357" t="s">
        <v>5024</v>
      </c>
      <c r="R1074" s="356" t="s">
        <v>194</v>
      </c>
      <c r="S1074" s="357"/>
    </row>
    <row r="1075">
      <c r="A1075" s="230">
        <v>1075.0</v>
      </c>
      <c r="B1075" s="230" t="s">
        <v>188</v>
      </c>
      <c r="C1075" s="231"/>
      <c r="D1075" s="232"/>
      <c r="E1075" s="232">
        <f>IFERROR(__xludf.DUMMYFUNCTION("iferror(SPLIT(D1075,""/""),split(""0/0"",""/""))"),0.0)</f>
        <v>0</v>
      </c>
      <c r="F1075" s="232">
        <f>IFERROR(__xludf.DUMMYFUNCTION("""COMPUTED_VALUE"""),0.0)</f>
        <v>0</v>
      </c>
      <c r="G1075" s="247" t="b">
        <v>0</v>
      </c>
      <c r="H1075" s="242" t="str">
        <f t="shared" si="1"/>
        <v/>
      </c>
      <c r="I1075" s="246" t="s">
        <v>5025</v>
      </c>
      <c r="J1075" s="354" t="str">
        <f t="shared" si="2"/>
        <v>Breed a rare brown panda (Breed two pandas and have the offspring be a brown panda)</v>
      </c>
      <c r="K1075" s="355"/>
      <c r="L1075" s="230"/>
      <c r="M1075" s="355" t="s">
        <v>5026</v>
      </c>
      <c r="N1075" s="355" t="s">
        <v>5027</v>
      </c>
      <c r="O1075" s="239" t="s">
        <v>5028</v>
      </c>
      <c r="P1075" s="356" t="s">
        <v>4955</v>
      </c>
      <c r="Q1075" s="357" t="s">
        <v>5029</v>
      </c>
      <c r="R1075" s="356" t="s">
        <v>194</v>
      </c>
      <c r="S1075" s="356" t="s">
        <v>1343</v>
      </c>
    </row>
    <row r="1076">
      <c r="A1076" s="230">
        <v>1076.0</v>
      </c>
      <c r="B1076" s="230" t="s">
        <v>257</v>
      </c>
      <c r="C1076" s="231"/>
      <c r="D1076" s="232"/>
      <c r="E1076" s="232">
        <f>IFERROR(__xludf.DUMMYFUNCTION("iferror(SPLIT(D1076,""/""),split(""0/0"",""/""))"),0.0)</f>
        <v>0</v>
      </c>
      <c r="F1076" s="232">
        <f>IFERROR(__xludf.DUMMYFUNCTION("""COMPUTED_VALUE"""),0.0)</f>
        <v>0</v>
      </c>
      <c r="G1076" s="247" t="b">
        <v>0</v>
      </c>
      <c r="H1076" s="242" t="str">
        <f t="shared" si="1"/>
        <v/>
      </c>
      <c r="I1076" s="249" t="s">
        <v>5030</v>
      </c>
      <c r="J1076" s="354" t="str">
        <f t="shared" si="2"/>
        <v>Feed cake to every type of panda (Have all seven panda personalities pick up cake that you dropped on the ground)</v>
      </c>
      <c r="K1076" s="355" t="s">
        <v>1476</v>
      </c>
      <c r="L1076" s="230"/>
      <c r="M1076" s="355" t="s">
        <v>5031</v>
      </c>
      <c r="N1076" s="355" t="s">
        <v>5032</v>
      </c>
      <c r="O1076" s="239" t="s">
        <v>949</v>
      </c>
      <c r="P1076" s="356" t="s">
        <v>4955</v>
      </c>
      <c r="Q1076" s="357" t="s">
        <v>5033</v>
      </c>
      <c r="R1076" s="356" t="s">
        <v>194</v>
      </c>
      <c r="S1076" s="356" t="s">
        <v>1661</v>
      </c>
    </row>
    <row r="1077">
      <c r="A1077" s="230">
        <v>1077.0</v>
      </c>
      <c r="B1077" s="230" t="s">
        <v>206</v>
      </c>
      <c r="C1077" s="231"/>
      <c r="D1077" s="232"/>
      <c r="E1077" s="232">
        <f>IFERROR(__xludf.DUMMYFUNCTION("iferror(SPLIT(D1077,""/""),split(""0/0"",""/""))"),0.0)</f>
        <v>0</v>
      </c>
      <c r="F1077" s="232">
        <f>IFERROR(__xludf.DUMMYFUNCTION("""COMPUTED_VALUE"""),0.0)</f>
        <v>0</v>
      </c>
      <c r="G1077" s="247" t="b">
        <v>0</v>
      </c>
      <c r="H1077" s="242" t="str">
        <f t="shared" si="1"/>
        <v/>
      </c>
      <c r="I1077" s="243" t="s">
        <v>5034</v>
      </c>
      <c r="J1077" s="354" t="str">
        <f t="shared" si="2"/>
        <v>Slip and slide on some ice (Step on ice)</v>
      </c>
      <c r="K1077" s="355"/>
      <c r="L1077" s="230"/>
      <c r="M1077" s="355" t="s">
        <v>5035</v>
      </c>
      <c r="N1077" s="355" t="s">
        <v>5036</v>
      </c>
      <c r="O1077" s="239" t="s">
        <v>3751</v>
      </c>
      <c r="P1077" s="356" t="s">
        <v>4955</v>
      </c>
      <c r="Q1077" s="357" t="s">
        <v>5037</v>
      </c>
      <c r="R1077" s="356" t="s">
        <v>194</v>
      </c>
      <c r="S1077" s="357"/>
    </row>
    <row r="1078">
      <c r="A1078" s="230">
        <v>1078.0</v>
      </c>
      <c r="B1078" s="230" t="s">
        <v>188</v>
      </c>
      <c r="C1078" s="231"/>
      <c r="D1078" s="232"/>
      <c r="E1078" s="232">
        <f>IFERROR(__xludf.DUMMYFUNCTION("iferror(SPLIT(D1078,""/""),split(""0/0"",""/""))"),0.0)</f>
        <v>0</v>
      </c>
      <c r="F1078" s="232">
        <f>IFERROR(__xludf.DUMMYFUNCTION("""COMPUTED_VALUE"""),0.0)</f>
        <v>0</v>
      </c>
      <c r="G1078" s="247" t="b">
        <v>0</v>
      </c>
      <c r="H1078" s="242" t="str">
        <f t="shared" si="1"/>
        <v/>
      </c>
      <c r="I1078" s="243" t="s">
        <v>5038</v>
      </c>
      <c r="J1078" s="354" t="str">
        <f t="shared" si="2"/>
        <v>Fall into some Powder Snow (Enter a block of powder snow)</v>
      </c>
      <c r="K1078" s="355"/>
      <c r="L1078" s="230"/>
      <c r="M1078" s="355" t="s">
        <v>5039</v>
      </c>
      <c r="N1078" s="355" t="s">
        <v>5040</v>
      </c>
      <c r="O1078" s="239" t="s">
        <v>1509</v>
      </c>
      <c r="P1078" s="356" t="s">
        <v>4955</v>
      </c>
      <c r="Q1078" s="357" t="s">
        <v>5041</v>
      </c>
      <c r="R1078" s="356" t="s">
        <v>194</v>
      </c>
      <c r="S1078" s="357"/>
    </row>
    <row r="1079">
      <c r="A1079" s="230">
        <v>1079.0</v>
      </c>
      <c r="B1079" s="230" t="s">
        <v>257</v>
      </c>
      <c r="C1079" s="231"/>
      <c r="D1079" s="232"/>
      <c r="E1079" s="232">
        <f>IFERROR(__xludf.DUMMYFUNCTION("iferror(SPLIT(D1079,""/""),split(""0/0"",""/""))"),0.0)</f>
        <v>0</v>
      </c>
      <c r="F1079" s="232">
        <f>IFERROR(__xludf.DUMMYFUNCTION("""COMPUTED_VALUE"""),0.0)</f>
        <v>0</v>
      </c>
      <c r="G1079" s="247" t="b">
        <v>0</v>
      </c>
      <c r="H1079" s="242" t="str">
        <f t="shared" si="1"/>
        <v/>
      </c>
      <c r="I1079" s="243" t="s">
        <v>5042</v>
      </c>
      <c r="J1079" s="354" t="str">
        <f t="shared" si="2"/>
        <v>Walk on Powder Snow… without sinking in it (Walk on powder snow while wearing Leather Boots)</v>
      </c>
      <c r="K1079" s="355" t="s">
        <v>1675</v>
      </c>
      <c r="L1079" s="230"/>
      <c r="M1079" s="355" t="s">
        <v>5043</v>
      </c>
      <c r="N1079" s="355" t="s">
        <v>5044</v>
      </c>
      <c r="O1079" s="239" t="s">
        <v>1740</v>
      </c>
      <c r="P1079" s="356" t="s">
        <v>4955</v>
      </c>
      <c r="Q1079" s="357" t="s">
        <v>5045</v>
      </c>
      <c r="R1079" s="356" t="s">
        <v>194</v>
      </c>
      <c r="S1079" s="357" t="s">
        <v>1343</v>
      </c>
    </row>
    <row r="1080">
      <c r="A1080" s="230">
        <v>1080.0</v>
      </c>
      <c r="B1080" s="230" t="s">
        <v>257</v>
      </c>
      <c r="C1080" s="231"/>
      <c r="D1080" s="232"/>
      <c r="E1080" s="232">
        <f>IFERROR(__xludf.DUMMYFUNCTION("iferror(SPLIT(D1080,""/""),split(""0/0"",""/""))"),0.0)</f>
        <v>0</v>
      </c>
      <c r="F1080" s="232">
        <f>IFERROR(__xludf.DUMMYFUNCTION("""COMPUTED_VALUE"""),0.0)</f>
        <v>0</v>
      </c>
      <c r="G1080" s="247" t="b">
        <v>0</v>
      </c>
      <c r="H1080" s="242" t="str">
        <f t="shared" si="1"/>
        <v/>
      </c>
      <c r="I1080" s="249" t="s">
        <v>5046</v>
      </c>
      <c r="J1080" s="354" t="str">
        <f t="shared" si="2"/>
        <v>Get completely frozen inside two blocks of Powder Snow for a loooong time. Big question is: Can you do this all day? (For 20 minutes in a row, stand inside two blocks of Powder Snow (one at your feet, one at your head) without wearing any leather armor (such that you're taking damage from freezing))</v>
      </c>
      <c r="K1080" s="355"/>
      <c r="L1080" s="230"/>
      <c r="M1080" s="355" t="s">
        <v>5047</v>
      </c>
      <c r="N1080" s="355" t="s">
        <v>5048</v>
      </c>
      <c r="O1080" s="239" t="s">
        <v>2298</v>
      </c>
      <c r="P1080" s="356" t="s">
        <v>4955</v>
      </c>
      <c r="Q1080" s="357" t="s">
        <v>5049</v>
      </c>
      <c r="R1080" s="356" t="s">
        <v>194</v>
      </c>
      <c r="S1080" s="357" t="s">
        <v>1634</v>
      </c>
    </row>
    <row r="1081">
      <c r="A1081" s="230">
        <v>1081.0</v>
      </c>
      <c r="B1081" s="230" t="s">
        <v>188</v>
      </c>
      <c r="C1081" s="231"/>
      <c r="D1081" s="232"/>
      <c r="E1081" s="232">
        <f>IFERROR(__xludf.DUMMYFUNCTION("iferror(SPLIT(D1081,""/""),split(""0/0"",""/""))"),0.0)</f>
        <v>0</v>
      </c>
      <c r="F1081" s="232">
        <f>IFERROR(__xludf.DUMMYFUNCTION("""COMPUTED_VALUE"""),0.0)</f>
        <v>0</v>
      </c>
      <c r="G1081" s="247" t="b">
        <v>0</v>
      </c>
      <c r="H1081" s="242" t="str">
        <f t="shared" si="1"/>
        <v/>
      </c>
      <c r="I1081" s="243" t="s">
        <v>5050</v>
      </c>
      <c r="J1081" s="354" t="str">
        <f t="shared" si="2"/>
        <v>Pick up some Powder Snow in a Bucket</v>
      </c>
      <c r="K1081" s="355"/>
      <c r="L1081" s="230"/>
      <c r="M1081" s="355"/>
      <c r="N1081" s="355" t="s">
        <v>5051</v>
      </c>
      <c r="O1081" s="239" t="s">
        <v>4290</v>
      </c>
      <c r="P1081" s="356" t="s">
        <v>4955</v>
      </c>
      <c r="Q1081" s="357" t="s">
        <v>5052</v>
      </c>
      <c r="R1081" s="356" t="s">
        <v>194</v>
      </c>
      <c r="S1081" s="357"/>
    </row>
    <row r="1082">
      <c r="A1082" s="230">
        <v>1082.0</v>
      </c>
      <c r="B1082" s="230" t="s">
        <v>188</v>
      </c>
      <c r="C1082" s="231"/>
      <c r="D1082" s="232"/>
      <c r="E1082" s="232">
        <f>IFERROR(__xludf.DUMMYFUNCTION("iferror(SPLIT(D1082,""/""),split(""0/0"",""/""))"),0.0)</f>
        <v>0</v>
      </c>
      <c r="F1082" s="232">
        <f>IFERROR(__xludf.DUMMYFUNCTION("""COMPUTED_VALUE"""),0.0)</f>
        <v>0</v>
      </c>
      <c r="G1082" s="247" t="b">
        <v>0</v>
      </c>
      <c r="H1082" s="242" t="str">
        <f t="shared" si="1"/>
        <v/>
      </c>
      <c r="I1082" s="243" t="s">
        <v>5053</v>
      </c>
      <c r="J1082" s="354" t="str">
        <f t="shared" si="2"/>
        <v>Mine some ice using a silk touch pickaxe (Obtain ice)</v>
      </c>
      <c r="K1082" s="355" t="s">
        <v>5054</v>
      </c>
      <c r="L1082" s="230"/>
      <c r="M1082" s="355" t="s">
        <v>5055</v>
      </c>
      <c r="N1082" s="355" t="s">
        <v>5056</v>
      </c>
      <c r="O1082" s="239" t="s">
        <v>3751</v>
      </c>
      <c r="P1082" s="356" t="s">
        <v>4955</v>
      </c>
      <c r="Q1082" s="357" t="s">
        <v>5057</v>
      </c>
      <c r="R1082" s="356" t="s">
        <v>194</v>
      </c>
      <c r="S1082" s="357"/>
    </row>
    <row r="1083">
      <c r="A1083" s="230">
        <v>1083.0</v>
      </c>
      <c r="B1083" s="230" t="s">
        <v>188</v>
      </c>
      <c r="C1083" s="231"/>
      <c r="D1083" s="232"/>
      <c r="E1083" s="232">
        <f>IFERROR(__xludf.DUMMYFUNCTION("iferror(SPLIT(D1083,""/""),split(""0/0"",""/""))"),0.0)</f>
        <v>0</v>
      </c>
      <c r="F1083" s="232">
        <f>IFERROR(__xludf.DUMMYFUNCTION("""COMPUTED_VALUE"""),0.0)</f>
        <v>0</v>
      </c>
      <c r="G1083" s="247" t="b">
        <v>0</v>
      </c>
      <c r="H1083" s="242" t="str">
        <f t="shared" si="1"/>
        <v/>
      </c>
      <c r="I1083" s="243" t="s">
        <v>5058</v>
      </c>
      <c r="J1083" s="354" t="str">
        <f t="shared" si="2"/>
        <v>Break down an ice spike using a silk touch pickaxe (Obtain packed ice)</v>
      </c>
      <c r="K1083" s="355" t="s">
        <v>5059</v>
      </c>
      <c r="L1083" s="230"/>
      <c r="M1083" s="355" t="s">
        <v>5060</v>
      </c>
      <c r="N1083" s="355" t="s">
        <v>5061</v>
      </c>
      <c r="O1083" s="239" t="s">
        <v>385</v>
      </c>
      <c r="P1083" s="356" t="s">
        <v>4955</v>
      </c>
      <c r="Q1083" s="357" t="s">
        <v>5062</v>
      </c>
      <c r="R1083" s="356" t="s">
        <v>194</v>
      </c>
      <c r="S1083" s="357"/>
    </row>
    <row r="1084">
      <c r="A1084" s="230">
        <v>1084.0</v>
      </c>
      <c r="B1084" s="230" t="s">
        <v>188</v>
      </c>
      <c r="C1084" s="231"/>
      <c r="D1084" s="232"/>
      <c r="E1084" s="232">
        <f>IFERROR(__xludf.DUMMYFUNCTION("iferror(SPLIT(D1084,""/""),split(""0/0"",""/""))"),0.0)</f>
        <v>0</v>
      </c>
      <c r="F1084" s="232">
        <f>IFERROR(__xludf.DUMMYFUNCTION("""COMPUTED_VALUE"""),0.0)</f>
        <v>0</v>
      </c>
      <c r="G1084" s="247" t="b">
        <v>0</v>
      </c>
      <c r="H1084" s="242" t="str">
        <f t="shared" si="1"/>
        <v/>
      </c>
      <c r="I1084" s="243" t="s">
        <v>5063</v>
      </c>
      <c r="J1084" s="354" t="str">
        <f t="shared" si="2"/>
        <v>Craft or mine a blue ice block from an iceberg (Obtain blue ice)</v>
      </c>
      <c r="K1084" s="355" t="s">
        <v>5064</v>
      </c>
      <c r="L1084" s="230"/>
      <c r="M1084" s="355" t="s">
        <v>5065</v>
      </c>
      <c r="N1084" s="355" t="s">
        <v>5066</v>
      </c>
      <c r="O1084" s="239" t="s">
        <v>2126</v>
      </c>
      <c r="P1084" s="356" t="s">
        <v>4955</v>
      </c>
      <c r="Q1084" s="357" t="s">
        <v>5067</v>
      </c>
      <c r="R1084" s="356" t="s">
        <v>194</v>
      </c>
      <c r="S1084" s="357"/>
    </row>
    <row r="1085">
      <c r="A1085" s="230">
        <v>1085.0</v>
      </c>
      <c r="B1085" s="230" t="s">
        <v>188</v>
      </c>
      <c r="C1085" s="231"/>
      <c r="D1085" s="232"/>
      <c r="E1085" s="232">
        <f>IFERROR(__xludf.DUMMYFUNCTION("iferror(SPLIT(D1085,""/""),split(""0/0"",""/""))"),0.0)</f>
        <v>0</v>
      </c>
      <c r="F1085" s="232">
        <f>IFERROR(__xludf.DUMMYFUNCTION("""COMPUTED_VALUE"""),0.0)</f>
        <v>0</v>
      </c>
      <c r="G1085" s="247" t="b">
        <v>0</v>
      </c>
      <c r="H1085" s="242" t="str">
        <f t="shared" si="1"/>
        <v/>
      </c>
      <c r="I1085" s="246" t="s">
        <v>5068</v>
      </c>
      <c r="J1085" s="354" t="str">
        <f t="shared" si="2"/>
        <v>Obtain a stack of every type of ice in your inventory (Obtain 64 ice, 64 packed ice, and 64 blue ice)</v>
      </c>
      <c r="K1085" s="355" t="s">
        <v>5069</v>
      </c>
      <c r="L1085" s="230"/>
      <c r="M1085" s="355" t="s">
        <v>5070</v>
      </c>
      <c r="N1085" s="355" t="s">
        <v>5071</v>
      </c>
      <c r="O1085" s="239" t="s">
        <v>1542</v>
      </c>
      <c r="P1085" s="356" t="s">
        <v>4955</v>
      </c>
      <c r="Q1085" s="357" t="s">
        <v>5072</v>
      </c>
      <c r="R1085" s="356" t="s">
        <v>194</v>
      </c>
      <c r="S1085" s="357"/>
    </row>
    <row r="1086">
      <c r="A1086" s="230">
        <v>1086.0</v>
      </c>
      <c r="B1086" s="230" t="s">
        <v>188</v>
      </c>
      <c r="C1086" s="231"/>
      <c r="D1086" s="232"/>
      <c r="E1086" s="232">
        <f>IFERROR(__xludf.DUMMYFUNCTION("iferror(SPLIT(D1086,""/""),split(""0/0"",""/""))"),0.0)</f>
        <v>0</v>
      </c>
      <c r="F1086" s="232">
        <f>IFERROR(__xludf.DUMMYFUNCTION("""COMPUTED_VALUE"""),0.0)</f>
        <v>0</v>
      </c>
      <c r="G1086" s="247" t="b">
        <v>0</v>
      </c>
      <c r="H1086" s="242" t="str">
        <f t="shared" si="1"/>
        <v/>
      </c>
      <c r="I1086" s="251" t="s">
        <v>5073</v>
      </c>
      <c r="J1086" s="354" t="str">
        <f t="shared" si="2"/>
        <v>It may be illegal to hunt polar bears in real life, but not in Minecraft (Kill a polar bear)</v>
      </c>
      <c r="K1086" s="355" t="s">
        <v>3139</v>
      </c>
      <c r="L1086" s="230"/>
      <c r="M1086" s="355" t="s">
        <v>5074</v>
      </c>
      <c r="N1086" s="355" t="s">
        <v>5075</v>
      </c>
      <c r="O1086" s="239" t="s">
        <v>5076</v>
      </c>
      <c r="P1086" s="356" t="s">
        <v>4955</v>
      </c>
      <c r="Q1086" s="357" t="s">
        <v>5077</v>
      </c>
      <c r="R1086" s="356" t="s">
        <v>194</v>
      </c>
      <c r="S1086" s="357"/>
    </row>
    <row r="1087">
      <c r="A1087" s="230">
        <v>1087.0</v>
      </c>
      <c r="B1087" s="230" t="s">
        <v>188</v>
      </c>
      <c r="C1087" s="231"/>
      <c r="D1087" s="232"/>
      <c r="E1087" s="232">
        <f>IFERROR(__xludf.DUMMYFUNCTION("iferror(SPLIT(D1087,""/""),split(""0/0"",""/""))"),0.0)</f>
        <v>0</v>
      </c>
      <c r="F1087" s="232">
        <f>IFERROR(__xludf.DUMMYFUNCTION("""COMPUTED_VALUE"""),0.0)</f>
        <v>0</v>
      </c>
      <c r="G1087" s="233" t="b">
        <v>0</v>
      </c>
      <c r="H1087" s="242" t="str">
        <f t="shared" si="1"/>
        <v/>
      </c>
      <c r="I1087" s="243" t="s">
        <v>5078</v>
      </c>
      <c r="J1087" s="354" t="str">
        <f t="shared" si="2"/>
        <v>Get hunted by a Polar Bear (Get killed by a polar bear)</v>
      </c>
      <c r="K1087" s="355"/>
      <c r="L1087" s="230"/>
      <c r="M1087" s="355" t="s">
        <v>5079</v>
      </c>
      <c r="N1087" s="355" t="s">
        <v>5080</v>
      </c>
      <c r="O1087" s="239" t="s">
        <v>5081</v>
      </c>
      <c r="P1087" s="356" t="s">
        <v>4955</v>
      </c>
      <c r="Q1087" s="357" t="s">
        <v>5082</v>
      </c>
      <c r="R1087" s="356" t="s">
        <v>194</v>
      </c>
      <c r="S1087" s="357"/>
    </row>
    <row r="1088">
      <c r="A1088" s="230">
        <v>1088.0</v>
      </c>
      <c r="B1088" s="230" t="s">
        <v>188</v>
      </c>
      <c r="C1088" s="231"/>
      <c r="D1088" s="232"/>
      <c r="E1088" s="232">
        <f>IFERROR(__xludf.DUMMYFUNCTION("iferror(SPLIT(D1088,""/""),split(""0/0"",""/""))"),0.0)</f>
        <v>0</v>
      </c>
      <c r="F1088" s="232">
        <f>IFERROR(__xludf.DUMMYFUNCTION("""COMPUTED_VALUE"""),0.0)</f>
        <v>0</v>
      </c>
      <c r="G1088" s="247" t="b">
        <v>0</v>
      </c>
      <c r="H1088" s="242" t="str">
        <f t="shared" si="1"/>
        <v/>
      </c>
      <c r="I1088" s="243" t="s">
        <v>5083</v>
      </c>
      <c r="J1088" s="354" t="str">
        <f t="shared" si="2"/>
        <v>Go for a swim (Enter water)</v>
      </c>
      <c r="K1088" s="355"/>
      <c r="L1088" s="230"/>
      <c r="M1088" s="355" t="s">
        <v>5084</v>
      </c>
      <c r="N1088" s="355" t="s">
        <v>5085</v>
      </c>
      <c r="O1088" s="239" t="s">
        <v>345</v>
      </c>
      <c r="P1088" s="356" t="s">
        <v>4955</v>
      </c>
      <c r="Q1088" s="357" t="s">
        <v>5086</v>
      </c>
      <c r="R1088" s="356" t="s">
        <v>194</v>
      </c>
      <c r="S1088" s="357"/>
    </row>
    <row r="1089">
      <c r="A1089" s="230">
        <v>1089.0</v>
      </c>
      <c r="B1089" s="230" t="s">
        <v>188</v>
      </c>
      <c r="C1089" s="231"/>
      <c r="D1089" s="232"/>
      <c r="E1089" s="232">
        <f>IFERROR(__xludf.DUMMYFUNCTION("iferror(SPLIT(D1089,""/""),split(""0/0"",""/""))"),0.0)</f>
        <v>0</v>
      </c>
      <c r="F1089" s="232">
        <f>IFERROR(__xludf.DUMMYFUNCTION("""COMPUTED_VALUE"""),0.0)</f>
        <v>0</v>
      </c>
      <c r="G1089" s="247" t="b">
        <v>0</v>
      </c>
      <c r="H1089" s="242" t="str">
        <f t="shared" si="1"/>
        <v/>
      </c>
      <c r="I1089" s="243" t="s">
        <v>5087</v>
      </c>
      <c r="J1089" s="354" t="str">
        <f t="shared" si="2"/>
        <v>Find an ocean (Enter any ocean biome (See note 8))</v>
      </c>
      <c r="K1089" s="355"/>
      <c r="L1089" s="230"/>
      <c r="M1089" s="355" t="s">
        <v>5088</v>
      </c>
      <c r="N1089" s="355" t="s">
        <v>5089</v>
      </c>
      <c r="O1089" s="239" t="s">
        <v>2214</v>
      </c>
      <c r="P1089" s="356" t="s">
        <v>4955</v>
      </c>
      <c r="Q1089" s="357" t="s">
        <v>5090</v>
      </c>
      <c r="R1089" s="356" t="s">
        <v>194</v>
      </c>
      <c r="S1089" s="357"/>
    </row>
    <row r="1090">
      <c r="A1090" s="230">
        <v>1090.0</v>
      </c>
      <c r="B1090" s="230" t="s">
        <v>188</v>
      </c>
      <c r="C1090" s="231"/>
      <c r="D1090" s="232"/>
      <c r="E1090" s="232">
        <f>IFERROR(__xludf.DUMMYFUNCTION("iferror(SPLIT(D1090,""/""),split(""0/0"",""/""))"),0.0)</f>
        <v>0</v>
      </c>
      <c r="F1090" s="232">
        <f>IFERROR(__xludf.DUMMYFUNCTION("""COMPUTED_VALUE"""),0.0)</f>
        <v>0</v>
      </c>
      <c r="G1090" s="247" t="b">
        <v>0</v>
      </c>
      <c r="H1090" s="242" t="str">
        <f t="shared" si="1"/>
        <v/>
      </c>
      <c r="I1090" s="243" t="s">
        <v>5091</v>
      </c>
      <c r="J1090" s="354" t="str">
        <f t="shared" si="2"/>
        <v>Craft and ride a boat to sail on the high seas (Enter a boat or chest boat)</v>
      </c>
      <c r="K1090" s="355"/>
      <c r="L1090" s="230"/>
      <c r="M1090" s="355" t="s">
        <v>5092</v>
      </c>
      <c r="N1090" s="355" t="s">
        <v>5093</v>
      </c>
      <c r="O1090" s="239" t="s">
        <v>3915</v>
      </c>
      <c r="P1090" s="356" t="s">
        <v>4955</v>
      </c>
      <c r="Q1090" s="357" t="s">
        <v>5094</v>
      </c>
      <c r="R1090" s="356" t="s">
        <v>194</v>
      </c>
      <c r="S1090" s="357"/>
    </row>
    <row r="1091">
      <c r="A1091" s="230">
        <v>1091.0</v>
      </c>
      <c r="B1091" s="230" t="s">
        <v>283</v>
      </c>
      <c r="C1091" s="231"/>
      <c r="D1091" s="232"/>
      <c r="E1091" s="232">
        <f>IFERROR(__xludf.DUMMYFUNCTION("iferror(SPLIT(D1091,""/""),split(""0/0"",""/""))"),0.0)</f>
        <v>0</v>
      </c>
      <c r="F1091" s="232">
        <f>IFERROR(__xludf.DUMMYFUNCTION("""COMPUTED_VALUE"""),0.0)</f>
        <v>0</v>
      </c>
      <c r="G1091" s="247" t="b">
        <v>0</v>
      </c>
      <c r="H1091" s="242" t="str">
        <f t="shared" si="1"/>
        <v/>
      </c>
      <c r="I1091" s="246" t="s">
        <v>5095</v>
      </c>
      <c r="J1091" s="354" t="str">
        <f t="shared" si="2"/>
        <v>Dive into water from a cliff at least 50 blocks tall (Fall at least 50 blocks and land in water)</v>
      </c>
      <c r="K1091" s="355"/>
      <c r="L1091" s="230"/>
      <c r="M1091" s="355" t="s">
        <v>5096</v>
      </c>
      <c r="N1091" s="355" t="s">
        <v>5097</v>
      </c>
      <c r="O1091" s="239" t="s">
        <v>1734</v>
      </c>
      <c r="P1091" s="356" t="s">
        <v>4955</v>
      </c>
      <c r="Q1091" s="357" t="s">
        <v>5098</v>
      </c>
      <c r="R1091" s="356" t="s">
        <v>194</v>
      </c>
      <c r="S1091" s="357" t="s">
        <v>347</v>
      </c>
    </row>
    <row r="1092">
      <c r="A1092" s="230">
        <v>1092.0</v>
      </c>
      <c r="B1092" s="230" t="s">
        <v>188</v>
      </c>
      <c r="C1092" s="231"/>
      <c r="D1092" s="232"/>
      <c r="E1092" s="232">
        <f>IFERROR(__xludf.DUMMYFUNCTION("iferror(SPLIT(D1092,""/""),split(""0/0"",""/""))"),0.0)</f>
        <v>0</v>
      </c>
      <c r="F1092" s="232">
        <f>IFERROR(__xludf.DUMMYFUNCTION("""COMPUTED_VALUE"""),0.0)</f>
        <v>0</v>
      </c>
      <c r="G1092" s="247" t="b">
        <v>0</v>
      </c>
      <c r="H1092" s="242" t="str">
        <f t="shared" si="1"/>
        <v/>
      </c>
      <c r="I1092" s="246" t="s">
        <v>5099</v>
      </c>
      <c r="J1092" s="354" t="str">
        <f t="shared" si="2"/>
        <v>Stay underwater for 2 minutes (See warning below)</v>
      </c>
      <c r="K1092" s="355" t="s">
        <v>5100</v>
      </c>
      <c r="L1092" s="230"/>
      <c r="M1092" s="359" t="s">
        <v>5101</v>
      </c>
      <c r="N1092" s="355" t="s">
        <v>5102</v>
      </c>
      <c r="O1092" s="239" t="s">
        <v>5103</v>
      </c>
      <c r="P1092" s="356" t="s">
        <v>4955</v>
      </c>
      <c r="Q1092" s="357" t="s">
        <v>5104</v>
      </c>
      <c r="R1092" s="356" t="s">
        <v>194</v>
      </c>
      <c r="S1092" s="357"/>
    </row>
    <row r="1093">
      <c r="A1093" s="230">
        <v>1093.0</v>
      </c>
      <c r="B1093" s="230" t="s">
        <v>257</v>
      </c>
      <c r="C1093" s="231"/>
      <c r="D1093" s="232"/>
      <c r="E1093" s="232">
        <f>IFERROR(__xludf.DUMMYFUNCTION("iferror(SPLIT(D1093,""/""),split(""0/0"",""/""))"),0.0)</f>
        <v>0</v>
      </c>
      <c r="F1093" s="232">
        <f>IFERROR(__xludf.DUMMYFUNCTION("""COMPUTED_VALUE"""),0.0)</f>
        <v>0</v>
      </c>
      <c r="G1093" s="247" t="b">
        <v>0</v>
      </c>
      <c r="H1093" s="242" t="str">
        <f t="shared" si="1"/>
        <v/>
      </c>
      <c r="I1093" s="249" t="s">
        <v>5105</v>
      </c>
      <c r="J1093" s="354" t="str">
        <f t="shared" si="2"/>
        <v>Spend a day underwater (See warning below)</v>
      </c>
      <c r="K1093" s="355" t="s">
        <v>5106</v>
      </c>
      <c r="L1093" s="230"/>
      <c r="M1093" s="359" t="s">
        <v>5101</v>
      </c>
      <c r="N1093" s="355" t="s">
        <v>5107</v>
      </c>
      <c r="O1093" s="239" t="s">
        <v>5108</v>
      </c>
      <c r="P1093" s="356" t="s">
        <v>4955</v>
      </c>
      <c r="Q1093" s="357" t="s">
        <v>5109</v>
      </c>
      <c r="R1093" s="356" t="s">
        <v>194</v>
      </c>
      <c r="S1093" s="356" t="s">
        <v>5110</v>
      </c>
    </row>
    <row r="1094">
      <c r="A1094" s="230">
        <v>1094.0</v>
      </c>
      <c r="B1094" s="230" t="s">
        <v>257</v>
      </c>
      <c r="C1094" s="231"/>
      <c r="D1094" s="232"/>
      <c r="E1094" s="232">
        <f>IFERROR(__xludf.DUMMYFUNCTION("iferror(SPLIT(D1094,""/""),split(""0/0"",""/""))"),0.0)</f>
        <v>0</v>
      </c>
      <c r="F1094" s="232">
        <f>IFERROR(__xludf.DUMMYFUNCTION("""COMPUTED_VALUE"""),0.0)</f>
        <v>0</v>
      </c>
      <c r="G1094" s="247" t="b">
        <v>0</v>
      </c>
      <c r="H1094" s="242" t="str">
        <f t="shared" si="1"/>
        <v/>
      </c>
      <c r="I1094" s="243" t="s">
        <v>5111</v>
      </c>
      <c r="J1094" s="354" t="str">
        <f t="shared" si="2"/>
        <v>Ride a Boat with a Chest in it (Enter a chest boat)</v>
      </c>
      <c r="K1094" s="355"/>
      <c r="L1094" s="230"/>
      <c r="M1094" s="355" t="s">
        <v>5112</v>
      </c>
      <c r="N1094" s="355" t="s">
        <v>5113</v>
      </c>
      <c r="O1094" s="239" t="s">
        <v>5114</v>
      </c>
      <c r="P1094" s="356" t="s">
        <v>4955</v>
      </c>
      <c r="Q1094" s="357" t="s">
        <v>5115</v>
      </c>
      <c r="R1094" s="356" t="s">
        <v>194</v>
      </c>
      <c r="S1094" s="357"/>
    </row>
    <row r="1095">
      <c r="A1095" s="230">
        <v>1095.0</v>
      </c>
      <c r="B1095" s="230" t="s">
        <v>206</v>
      </c>
      <c r="C1095" s="231"/>
      <c r="D1095" s="232"/>
      <c r="E1095" s="232">
        <f>IFERROR(__xludf.DUMMYFUNCTION("iferror(SPLIT(D1095,""/""),split(""0/0"",""/""))"),0.0)</f>
        <v>0</v>
      </c>
      <c r="F1095" s="232">
        <f>IFERROR(__xludf.DUMMYFUNCTION("""COMPUTED_VALUE"""),0.0)</f>
        <v>0</v>
      </c>
      <c r="G1095" s="247" t="b">
        <v>0</v>
      </c>
      <c r="H1095" s="242" t="str">
        <f t="shared" si="1"/>
        <v/>
      </c>
      <c r="I1095" s="243" t="s">
        <v>5116</v>
      </c>
      <c r="J1095" s="354" t="str">
        <f t="shared" si="2"/>
        <v>Give a Dolphin something to play with (Have a Dolphin nudge an item that you threw)</v>
      </c>
      <c r="K1095" s="355"/>
      <c r="L1095" s="230"/>
      <c r="M1095" s="355" t="s">
        <v>5117</v>
      </c>
      <c r="N1095" s="355" t="s">
        <v>5118</v>
      </c>
      <c r="O1095" s="239" t="s">
        <v>1814</v>
      </c>
      <c r="P1095" s="356" t="s">
        <v>4955</v>
      </c>
      <c r="Q1095" s="357" t="s">
        <v>5119</v>
      </c>
      <c r="R1095" s="356" t="s">
        <v>194</v>
      </c>
      <c r="S1095" s="357"/>
    </row>
    <row r="1096">
      <c r="A1096" s="230">
        <v>1096.0</v>
      </c>
      <c r="B1096" s="230" t="s">
        <v>188</v>
      </c>
      <c r="C1096" s="231"/>
      <c r="D1096" s="232"/>
      <c r="E1096" s="232">
        <f>IFERROR(__xludf.DUMMYFUNCTION("iferror(SPLIT(D1096,""/""),split(""0/0"",""/""))"),0.0)</f>
        <v>0</v>
      </c>
      <c r="F1096" s="232">
        <f>IFERROR(__xludf.DUMMYFUNCTION("""COMPUTED_VALUE"""),0.0)</f>
        <v>0</v>
      </c>
      <c r="G1096" s="247" t="b">
        <v>0</v>
      </c>
      <c r="H1096" s="242" t="str">
        <f t="shared" si="1"/>
        <v/>
      </c>
      <c r="I1096" s="243" t="s">
        <v>5120</v>
      </c>
      <c r="J1096" s="354" t="str">
        <f t="shared" si="2"/>
        <v>Get a speed boost from your friendly underwater companions (Get the Dolphin's Grace effect)</v>
      </c>
      <c r="K1096" s="355"/>
      <c r="L1096" s="230"/>
      <c r="M1096" s="355" t="s">
        <v>5121</v>
      </c>
      <c r="N1096" s="355" t="s">
        <v>5122</v>
      </c>
      <c r="O1096" s="239" t="s">
        <v>5123</v>
      </c>
      <c r="P1096" s="356" t="s">
        <v>4955</v>
      </c>
      <c r="Q1096" s="357" t="s">
        <v>5124</v>
      </c>
      <c r="R1096" s="356" t="s">
        <v>194</v>
      </c>
      <c r="S1096" s="357"/>
    </row>
    <row r="1097">
      <c r="A1097" s="230">
        <v>1097.0</v>
      </c>
      <c r="B1097" s="230" t="s">
        <v>188</v>
      </c>
      <c r="C1097" s="231"/>
      <c r="D1097" s="232"/>
      <c r="E1097" s="232">
        <f>IFERROR(__xludf.DUMMYFUNCTION("iferror(SPLIT(D1097,""/""),split(""0/0"",""/""))"),0.0)</f>
        <v>0</v>
      </c>
      <c r="F1097" s="232">
        <f>IFERROR(__xludf.DUMMYFUNCTION("""COMPUTED_VALUE"""),0.0)</f>
        <v>0</v>
      </c>
      <c r="G1097" s="247" t="b">
        <v>0</v>
      </c>
      <c r="H1097" s="242" t="str">
        <f t="shared" si="1"/>
        <v/>
      </c>
      <c r="I1097" s="243" t="s">
        <v>5125</v>
      </c>
      <c r="J1097" s="354" t="str">
        <f t="shared" si="2"/>
        <v>Get murdered by dolphins</v>
      </c>
      <c r="K1097" s="355"/>
      <c r="L1097" s="230"/>
      <c r="M1097" s="355"/>
      <c r="N1097" s="355" t="s">
        <v>5126</v>
      </c>
      <c r="O1097" s="239" t="s">
        <v>1672</v>
      </c>
      <c r="P1097" s="356" t="s">
        <v>4955</v>
      </c>
      <c r="Q1097" s="357" t="s">
        <v>5127</v>
      </c>
      <c r="R1097" s="356" t="s">
        <v>194</v>
      </c>
      <c r="S1097" s="357"/>
    </row>
    <row r="1098">
      <c r="A1098" s="230">
        <v>1098.0</v>
      </c>
      <c r="B1098" s="230" t="s">
        <v>188</v>
      </c>
      <c r="C1098" s="231"/>
      <c r="D1098" s="232"/>
      <c r="E1098" s="232">
        <f>IFERROR(__xludf.DUMMYFUNCTION("iferror(SPLIT(D1098,""/""),split(""0/0"",""/""))"),0.0)</f>
        <v>0</v>
      </c>
      <c r="F1098" s="232">
        <f>IFERROR(__xludf.DUMMYFUNCTION("""COMPUTED_VALUE"""),0.0)</f>
        <v>0</v>
      </c>
      <c r="G1098" s="247" t="b">
        <v>0</v>
      </c>
      <c r="H1098" s="242" t="str">
        <f t="shared" si="1"/>
        <v/>
      </c>
      <c r="I1098" s="243" t="s">
        <v>5128</v>
      </c>
      <c r="J1098" s="354" t="str">
        <f t="shared" si="2"/>
        <v>Come across a coral reef in an ocean (Enter a Warm Ocean biome)</v>
      </c>
      <c r="K1098" s="355"/>
      <c r="L1098" s="230"/>
      <c r="M1098" s="355" t="s">
        <v>5129</v>
      </c>
      <c r="N1098" s="355" t="s">
        <v>5130</v>
      </c>
      <c r="O1098" s="239" t="s">
        <v>5131</v>
      </c>
      <c r="P1098" s="356" t="s">
        <v>4955</v>
      </c>
      <c r="Q1098" s="357" t="s">
        <v>5132</v>
      </c>
      <c r="R1098" s="356" t="s">
        <v>194</v>
      </c>
      <c r="S1098" s="357"/>
    </row>
    <row r="1099">
      <c r="A1099" s="230">
        <v>1099.0</v>
      </c>
      <c r="B1099" s="230" t="s">
        <v>188</v>
      </c>
      <c r="C1099" s="231"/>
      <c r="D1099" s="232"/>
      <c r="E1099" s="232">
        <f>IFERROR(__xludf.DUMMYFUNCTION("iferror(SPLIT(D1099,""/""),split(""0/0"",""/""))"),0.0)</f>
        <v>0</v>
      </c>
      <c r="F1099" s="232">
        <f>IFERROR(__xludf.DUMMYFUNCTION("""COMPUTED_VALUE"""),0.0)</f>
        <v>0</v>
      </c>
      <c r="G1099" s="247" t="b">
        <v>0</v>
      </c>
      <c r="H1099" s="242" t="str">
        <f t="shared" si="1"/>
        <v/>
      </c>
      <c r="I1099" s="243" t="s">
        <v>5133</v>
      </c>
      <c r="J1099" s="354" t="str">
        <f t="shared" si="2"/>
        <v>Collect some sea pickles from a coral reef (Obtain sea pickles)</v>
      </c>
      <c r="K1099" s="355" t="s">
        <v>931</v>
      </c>
      <c r="L1099" s="230"/>
      <c r="M1099" s="355" t="s">
        <v>5134</v>
      </c>
      <c r="N1099" s="355" t="s">
        <v>5135</v>
      </c>
      <c r="O1099" s="239" t="s">
        <v>934</v>
      </c>
      <c r="P1099" s="356" t="s">
        <v>4955</v>
      </c>
      <c r="Q1099" s="357" t="s">
        <v>5136</v>
      </c>
      <c r="R1099" s="356" t="s">
        <v>194</v>
      </c>
      <c r="S1099" s="357"/>
    </row>
    <row r="1100">
      <c r="A1100" s="230">
        <v>1100.0</v>
      </c>
      <c r="B1100" s="230" t="s">
        <v>188</v>
      </c>
      <c r="C1100" s="231"/>
      <c r="D1100" s="232"/>
      <c r="E1100" s="232">
        <f>IFERROR(__xludf.DUMMYFUNCTION("iferror(SPLIT(D1100,""/""),split(""0/0"",""/""))"),0.0)</f>
        <v>0</v>
      </c>
      <c r="F1100" s="232">
        <f>IFERROR(__xludf.DUMMYFUNCTION("""COMPUTED_VALUE"""),0.0)</f>
        <v>0</v>
      </c>
      <c r="G1100" s="247" t="b">
        <v>0</v>
      </c>
      <c r="H1100" s="242" t="str">
        <f t="shared" si="1"/>
        <v/>
      </c>
      <c r="I1100" s="243" t="s">
        <v>5137</v>
      </c>
      <c r="J1100" s="354" t="str">
        <f t="shared" si="2"/>
        <v>Collect some coral from a coral reef (Obtain dead or living coral, coral fan or coral block in any color)</v>
      </c>
      <c r="K1100" s="355"/>
      <c r="L1100" s="230"/>
      <c r="M1100" s="355" t="s">
        <v>5138</v>
      </c>
      <c r="N1100" s="355" t="s">
        <v>5139</v>
      </c>
      <c r="O1100" s="239" t="s">
        <v>5140</v>
      </c>
      <c r="P1100" s="356" t="s">
        <v>4955</v>
      </c>
      <c r="Q1100" s="357" t="s">
        <v>5141</v>
      </c>
      <c r="R1100" s="356" t="s">
        <v>194</v>
      </c>
      <c r="S1100" s="357"/>
    </row>
    <row r="1101">
      <c r="A1101" s="230">
        <v>1101.0</v>
      </c>
      <c r="B1101" s="230" t="s">
        <v>188</v>
      </c>
      <c r="C1101" s="231"/>
      <c r="D1101" s="232"/>
      <c r="E1101" s="232">
        <f>IFERROR(__xludf.DUMMYFUNCTION("iferror(SPLIT(D1101,""/""),split(""0/0"",""/""))"),0.0)</f>
        <v>0</v>
      </c>
      <c r="F1101" s="232">
        <f>IFERROR(__xludf.DUMMYFUNCTION("""COMPUTED_VALUE"""),0.0)</f>
        <v>0</v>
      </c>
      <c r="G1101" s="247" t="b">
        <v>0</v>
      </c>
      <c r="H1101" s="242" t="str">
        <f t="shared" si="1"/>
        <v/>
      </c>
      <c r="I1101" s="249" t="s">
        <v>5142</v>
      </c>
      <c r="J1101" s="354" t="str">
        <f t="shared" si="2"/>
        <v>Collect all colors of coral blocks, coral plants and coral fans (including dead ones) (See requirement notes below)</v>
      </c>
      <c r="K1101" s="355"/>
      <c r="L1101" s="230"/>
      <c r="M1101" s="359" t="s">
        <v>238</v>
      </c>
      <c r="N1101" s="355" t="s">
        <v>5143</v>
      </c>
      <c r="O1101" s="239" t="s">
        <v>5144</v>
      </c>
      <c r="P1101" s="356" t="s">
        <v>4955</v>
      </c>
      <c r="Q1101" s="357" t="s">
        <v>5145</v>
      </c>
      <c r="R1101" s="356" t="s">
        <v>194</v>
      </c>
      <c r="S1101" s="357"/>
    </row>
    <row r="1102">
      <c r="A1102" s="230">
        <v>1102.0</v>
      </c>
      <c r="B1102" s="230" t="s">
        <v>257</v>
      </c>
      <c r="C1102" s="231"/>
      <c r="D1102" s="232"/>
      <c r="E1102" s="232">
        <f>IFERROR(__xludf.DUMMYFUNCTION("iferror(SPLIT(D1102,""/""),split(""0/0"",""/""))"),0.0)</f>
        <v>0</v>
      </c>
      <c r="F1102" s="232">
        <f>IFERROR(__xludf.DUMMYFUNCTION("""COMPUTED_VALUE"""),0.0)</f>
        <v>0</v>
      </c>
      <c r="G1102" s="247" t="b">
        <v>0</v>
      </c>
      <c r="H1102" s="242" t="str">
        <f t="shared" si="1"/>
        <v/>
      </c>
      <c r="I1102" s="243" t="s">
        <v>5146</v>
      </c>
      <c r="J1102" s="354" t="str">
        <f t="shared" si="2"/>
        <v>Feed a dolphin fish to have it lead you to treasure</v>
      </c>
      <c r="K1102" s="355" t="s">
        <v>5147</v>
      </c>
      <c r="L1102" s="230"/>
      <c r="M1102" s="355"/>
      <c r="N1102" s="355" t="s">
        <v>5148</v>
      </c>
      <c r="O1102" s="239" t="s">
        <v>2180</v>
      </c>
      <c r="P1102" s="356" t="s">
        <v>4955</v>
      </c>
      <c r="Q1102" s="357" t="s">
        <v>5149</v>
      </c>
      <c r="R1102" s="356" t="s">
        <v>194</v>
      </c>
      <c r="S1102" s="357" t="s">
        <v>1343</v>
      </c>
    </row>
    <row r="1103">
      <c r="A1103" s="230">
        <v>1103.0</v>
      </c>
      <c r="B1103" s="230" t="s">
        <v>206</v>
      </c>
      <c r="C1103" s="231"/>
      <c r="D1103" s="232"/>
      <c r="E1103" s="232">
        <f>IFERROR(__xludf.DUMMYFUNCTION("iferror(SPLIT(D1103,""/""),split(""0/0"",""/""))"),0.0)</f>
        <v>0</v>
      </c>
      <c r="F1103" s="232">
        <f>IFERROR(__xludf.DUMMYFUNCTION("""COMPUTED_VALUE"""),0.0)</f>
        <v>0</v>
      </c>
      <c r="G1103" s="247" t="b">
        <v>0</v>
      </c>
      <c r="H1103" s="242" t="str">
        <f t="shared" si="1"/>
        <v/>
      </c>
      <c r="I1103" s="243" t="s">
        <v>5150</v>
      </c>
      <c r="J1103" s="354" t="str">
        <f t="shared" si="2"/>
        <v>Enter a bubble column</v>
      </c>
      <c r="K1103" s="355"/>
      <c r="L1103" s="230"/>
      <c r="M1103" s="355"/>
      <c r="N1103" s="355" t="s">
        <v>5151</v>
      </c>
      <c r="O1103" s="239" t="s">
        <v>4302</v>
      </c>
      <c r="P1103" s="356" t="s">
        <v>4955</v>
      </c>
      <c r="Q1103" s="357" t="s">
        <v>5152</v>
      </c>
      <c r="R1103" s="356" t="s">
        <v>194</v>
      </c>
      <c r="S1103" s="357"/>
    </row>
    <row r="1104">
      <c r="A1104" s="230">
        <v>1104.0</v>
      </c>
      <c r="B1104" s="230" t="s">
        <v>188</v>
      </c>
      <c r="C1104" s="231"/>
      <c r="D1104" s="232"/>
      <c r="E1104" s="232">
        <f>IFERROR(__xludf.DUMMYFUNCTION("iferror(SPLIT(D1104,""/""),split(""0/0"",""/""))"),0.0)</f>
        <v>0</v>
      </c>
      <c r="F1104" s="232">
        <f>IFERROR(__xludf.DUMMYFUNCTION("""COMPUTED_VALUE"""),0.0)</f>
        <v>0</v>
      </c>
      <c r="G1104" s="247" t="b">
        <v>0</v>
      </c>
      <c r="H1104" s="242" t="str">
        <f t="shared" si="1"/>
        <v/>
      </c>
      <c r="I1104" s="243" t="s">
        <v>5153</v>
      </c>
      <c r="J1104" s="354" t="str">
        <f t="shared" si="2"/>
        <v>Explore some Underwater Ruins (Enter an Ocean Ruin)</v>
      </c>
      <c r="K1104" s="355" t="s">
        <v>2305</v>
      </c>
      <c r="L1104" s="230"/>
      <c r="M1104" s="355" t="s">
        <v>5154</v>
      </c>
      <c r="N1104" s="355" t="s">
        <v>5155</v>
      </c>
      <c r="O1104" s="239" t="s">
        <v>5156</v>
      </c>
      <c r="P1104" s="356" t="s">
        <v>4955</v>
      </c>
      <c r="Q1104" s="357" t="s">
        <v>5157</v>
      </c>
      <c r="R1104" s="356" t="s">
        <v>194</v>
      </c>
      <c r="S1104" s="357"/>
    </row>
    <row r="1105">
      <c r="A1105" s="230">
        <v>1105.0</v>
      </c>
      <c r="B1105" s="230" t="s">
        <v>188</v>
      </c>
      <c r="C1105" s="231"/>
      <c r="D1105" s="232"/>
      <c r="E1105" s="232">
        <f>IFERROR(__xludf.DUMMYFUNCTION("iferror(SPLIT(D1105,""/""),split(""0/0"",""/""))"),0.0)</f>
        <v>0</v>
      </c>
      <c r="F1105" s="232">
        <f>IFERROR(__xludf.DUMMYFUNCTION("""COMPUTED_VALUE"""),0.0)</f>
        <v>0</v>
      </c>
      <c r="G1105" s="247" t="b">
        <v>0</v>
      </c>
      <c r="H1105" s="242" t="str">
        <f t="shared" si="1"/>
        <v/>
      </c>
      <c r="I1105" s="243" t="s">
        <v>5158</v>
      </c>
      <c r="J1105" s="354" t="str">
        <f t="shared" si="2"/>
        <v>Come across a sunken ship</v>
      </c>
      <c r="K1105" s="355" t="s">
        <v>2305</v>
      </c>
      <c r="L1105" s="230"/>
      <c r="M1105" s="355"/>
      <c r="N1105" s="355" t="s">
        <v>5159</v>
      </c>
      <c r="O1105" s="239" t="s">
        <v>5160</v>
      </c>
      <c r="P1105" s="356" t="s">
        <v>4955</v>
      </c>
      <c r="Q1105" s="357" t="s">
        <v>5161</v>
      </c>
      <c r="R1105" s="356" t="s">
        <v>194</v>
      </c>
      <c r="S1105" s="357"/>
    </row>
    <row r="1106">
      <c r="A1106" s="230">
        <v>1106.0</v>
      </c>
      <c r="B1106" s="230" t="s">
        <v>257</v>
      </c>
      <c r="C1106" s="231"/>
      <c r="D1106" s="232"/>
      <c r="E1106" s="232">
        <f>IFERROR(__xludf.DUMMYFUNCTION("iferror(SPLIT(D1106,""/""),split(""0/0"",""/""))"),0.0)</f>
        <v>0</v>
      </c>
      <c r="F1106" s="232">
        <f>IFERROR(__xludf.DUMMYFUNCTION("""COMPUTED_VALUE"""),0.0)</f>
        <v>0</v>
      </c>
      <c r="G1106" s="247" t="b">
        <v>0</v>
      </c>
      <c r="H1106" s="242" t="str">
        <f t="shared" si="1"/>
        <v/>
      </c>
      <c r="I1106" s="246" t="s">
        <v>5162</v>
      </c>
      <c r="J1106" s="354" t="str">
        <f t="shared" si="2"/>
        <v>Get in a boat within a shipwreck (Start riding a boat that is inside a shipwreck)</v>
      </c>
      <c r="K1106" s="355" t="s">
        <v>5163</v>
      </c>
      <c r="L1106" s="230"/>
      <c r="M1106" s="355" t="s">
        <v>5164</v>
      </c>
      <c r="N1106" s="355" t="s">
        <v>5165</v>
      </c>
      <c r="O1106" s="239" t="s">
        <v>3920</v>
      </c>
      <c r="P1106" s="356" t="s">
        <v>4955</v>
      </c>
      <c r="Q1106" s="357" t="s">
        <v>5166</v>
      </c>
      <c r="R1106" s="356" t="s">
        <v>194</v>
      </c>
      <c r="S1106" s="357" t="s">
        <v>1343</v>
      </c>
    </row>
    <row r="1107">
      <c r="A1107" s="230">
        <v>1107.0</v>
      </c>
      <c r="B1107" s="230" t="s">
        <v>206</v>
      </c>
      <c r="C1107" s="231"/>
      <c r="D1107" s="232"/>
      <c r="E1107" s="232">
        <f>IFERROR(__xludf.DUMMYFUNCTION("iferror(SPLIT(D1107,""/""),split(""0/0"",""/""))"),0.0)</f>
        <v>0</v>
      </c>
      <c r="F1107" s="232">
        <f>IFERROR(__xludf.DUMMYFUNCTION("""COMPUTED_VALUE"""),0.0)</f>
        <v>0</v>
      </c>
      <c r="G1107" s="247" t="b">
        <v>0</v>
      </c>
      <c r="H1107" s="242" t="str">
        <f t="shared" si="1"/>
        <v/>
      </c>
      <c r="I1107" s="249" t="s">
        <v>5167</v>
      </c>
      <c r="J1107" s="354" t="str">
        <f t="shared" si="2"/>
        <v>Find a shipwreck in an iceberg biome (Enter a Shipwreck in a Frozen Ocean or Deep Frozen Ocean biome)</v>
      </c>
      <c r="K1107" s="355" t="s">
        <v>5168</v>
      </c>
      <c r="L1107" s="230"/>
      <c r="M1107" s="355" t="s">
        <v>5169</v>
      </c>
      <c r="N1107" s="355" t="s">
        <v>5170</v>
      </c>
      <c r="O1107" s="239" t="s">
        <v>5171</v>
      </c>
      <c r="P1107" s="356" t="s">
        <v>4955</v>
      </c>
      <c r="Q1107" s="357" t="s">
        <v>5172</v>
      </c>
      <c r="R1107" s="356" t="s">
        <v>194</v>
      </c>
      <c r="S1107" s="357"/>
    </row>
    <row r="1108">
      <c r="A1108" s="230">
        <v>1108.0</v>
      </c>
      <c r="B1108" s="230" t="s">
        <v>188</v>
      </c>
      <c r="C1108" s="231"/>
      <c r="D1108" s="232"/>
      <c r="E1108" s="232">
        <f>IFERROR(__xludf.DUMMYFUNCTION("iferror(SPLIT(D1108,""/""),split(""0/0"",""/""))"),0.0)</f>
        <v>0</v>
      </c>
      <c r="F1108" s="232">
        <f>IFERROR(__xludf.DUMMYFUNCTION("""COMPUTED_VALUE"""),0.0)</f>
        <v>0</v>
      </c>
      <c r="G1108" s="247" t="b">
        <v>0</v>
      </c>
      <c r="H1108" s="242" t="str">
        <f t="shared" si="1"/>
        <v/>
      </c>
      <c r="I1108" s="246" t="s">
        <v>5173</v>
      </c>
      <c r="J1108" s="354" t="str">
        <f t="shared" si="2"/>
        <v>Use a treasure map to find Buried Treasure (Open a Buried Treasure chest for the first time)</v>
      </c>
      <c r="K1108" s="355" t="s">
        <v>5168</v>
      </c>
      <c r="L1108" s="230"/>
      <c r="M1108" s="355" t="s">
        <v>5174</v>
      </c>
      <c r="N1108" s="355" t="s">
        <v>5175</v>
      </c>
      <c r="O1108" s="239" t="s">
        <v>3251</v>
      </c>
      <c r="P1108" s="356" t="s">
        <v>4955</v>
      </c>
      <c r="Q1108" s="357" t="s">
        <v>5176</v>
      </c>
      <c r="R1108" s="356" t="s">
        <v>194</v>
      </c>
      <c r="S1108" s="357"/>
    </row>
    <row r="1109">
      <c r="A1109" s="230">
        <v>1109.0</v>
      </c>
      <c r="B1109" s="230" t="s">
        <v>188</v>
      </c>
      <c r="C1109" s="231"/>
      <c r="D1109" s="232"/>
      <c r="E1109" s="232">
        <f>IFERROR(__xludf.DUMMYFUNCTION("iferror(SPLIT(D1109,""/""),split(""0/0"",""/""))"),0.0)</f>
        <v>0</v>
      </c>
      <c r="F1109" s="232">
        <f>IFERROR(__xludf.DUMMYFUNCTION("""COMPUTED_VALUE"""),0.0)</f>
        <v>0</v>
      </c>
      <c r="G1109" s="247" t="b">
        <v>0</v>
      </c>
      <c r="H1109" s="242" t="str">
        <f t="shared" si="1"/>
        <v/>
      </c>
      <c r="I1109" s="246" t="s">
        <v>5177</v>
      </c>
      <c r="J1109" s="354" t="str">
        <f t="shared" si="2"/>
        <v>Construct a Conduit in the ocean</v>
      </c>
      <c r="K1109" s="355"/>
      <c r="L1109" s="230"/>
      <c r="M1109" s="355"/>
      <c r="N1109" s="355" t="s">
        <v>5178</v>
      </c>
      <c r="O1109" s="239" t="s">
        <v>4887</v>
      </c>
      <c r="P1109" s="356" t="s">
        <v>4955</v>
      </c>
      <c r="Q1109" s="357" t="s">
        <v>5179</v>
      </c>
      <c r="R1109" s="356" t="s">
        <v>194</v>
      </c>
      <c r="S1109" s="357"/>
    </row>
    <row r="1110">
      <c r="A1110" s="230">
        <v>1110.0</v>
      </c>
      <c r="B1110" s="230" t="s">
        <v>188</v>
      </c>
      <c r="C1110" s="231"/>
      <c r="D1110" s="232"/>
      <c r="E1110" s="232">
        <f>IFERROR(__xludf.DUMMYFUNCTION("iferror(SPLIT(D1110,""/""),split(""0/0"",""/""))"),0.0)</f>
        <v>0</v>
      </c>
      <c r="F1110" s="232">
        <f>IFERROR(__xludf.DUMMYFUNCTION("""COMPUTED_VALUE"""),0.0)</f>
        <v>0</v>
      </c>
      <c r="G1110" s="247" t="b">
        <v>0</v>
      </c>
      <c r="H1110" s="242" t="str">
        <f t="shared" si="1"/>
        <v/>
      </c>
      <c r="I1110" s="243" t="s">
        <v>5180</v>
      </c>
      <c r="J1110" s="354" t="str">
        <f t="shared" si="2"/>
        <v>Travel at least 1000 blocks from the centre of the world in any direction. It's not that far in real life (Travel beyond 1000 or -1000 in the x or z direction)</v>
      </c>
      <c r="K1110" s="355"/>
      <c r="L1110" s="230"/>
      <c r="M1110" s="355" t="s">
        <v>5181</v>
      </c>
      <c r="N1110" s="355" t="s">
        <v>5182</v>
      </c>
      <c r="O1110" s="239" t="s">
        <v>1740</v>
      </c>
      <c r="P1110" s="356" t="s">
        <v>4955</v>
      </c>
      <c r="Q1110" s="357" t="s">
        <v>5183</v>
      </c>
      <c r="R1110" s="356" t="s">
        <v>194</v>
      </c>
      <c r="S1110" s="357"/>
    </row>
    <row r="1111">
      <c r="A1111" s="230">
        <v>1111.0</v>
      </c>
      <c r="B1111" s="230" t="s">
        <v>188</v>
      </c>
      <c r="C1111" s="231"/>
      <c r="D1111" s="232"/>
      <c r="E1111" s="232">
        <f>IFERROR(__xludf.DUMMYFUNCTION("iferror(SPLIT(D1111,""/""),split(""0/0"",""/""))"),0.0)</f>
        <v>0</v>
      </c>
      <c r="F1111" s="232">
        <f>IFERROR(__xludf.DUMMYFUNCTION("""COMPUTED_VALUE"""),0.0)</f>
        <v>0</v>
      </c>
      <c r="G1111" s="247" t="b">
        <v>0</v>
      </c>
      <c r="H1111" s="242" t="str">
        <f t="shared" si="1"/>
        <v/>
      </c>
      <c r="I1111" s="246" t="s">
        <v>5184</v>
      </c>
      <c r="J1111" s="354" t="str">
        <f t="shared" si="2"/>
        <v>Travel at least 10,000 blocks from the centre of the world in any direction. A journey that long begins with a simple step (Travel beyond 10000 or -10000 in the x or z direction)</v>
      </c>
      <c r="K1111" s="355"/>
      <c r="L1111" s="230"/>
      <c r="M1111" s="355" t="s">
        <v>5185</v>
      </c>
      <c r="N1111" s="355" t="s">
        <v>5186</v>
      </c>
      <c r="O1111" s="239" t="s">
        <v>3716</v>
      </c>
      <c r="P1111" s="356" t="s">
        <v>4955</v>
      </c>
      <c r="Q1111" s="357" t="s">
        <v>5187</v>
      </c>
      <c r="R1111" s="356" t="s">
        <v>194</v>
      </c>
      <c r="S1111" s="357"/>
    </row>
    <row r="1112">
      <c r="A1112" s="230">
        <v>1112.0</v>
      </c>
      <c r="B1112" s="230" t="s">
        <v>188</v>
      </c>
      <c r="C1112" s="231"/>
      <c r="D1112" s="232"/>
      <c r="E1112" s="232">
        <f>IFERROR(__xludf.DUMMYFUNCTION("iferror(SPLIT(D1112,""/""),split(""0/0"",""/""))"),0.0)</f>
        <v>0</v>
      </c>
      <c r="F1112" s="232">
        <f>IFERROR(__xludf.DUMMYFUNCTION("""COMPUTED_VALUE"""),0.0)</f>
        <v>0</v>
      </c>
      <c r="G1112" s="247" t="b">
        <v>0</v>
      </c>
      <c r="H1112" s="242" t="str">
        <f t="shared" si="1"/>
        <v/>
      </c>
      <c r="I1112" s="249" t="s">
        <v>5188</v>
      </c>
      <c r="J1112" s="354" t="str">
        <f t="shared" si="2"/>
        <v>A hundred kilometres! (Travel beyond 100000 or -100000 in the x or z direction)</v>
      </c>
      <c r="K1112" s="355"/>
      <c r="L1112" s="230"/>
      <c r="M1112" s="355" t="s">
        <v>5189</v>
      </c>
      <c r="N1112" s="355" t="s">
        <v>5190</v>
      </c>
      <c r="O1112" s="239" t="s">
        <v>2970</v>
      </c>
      <c r="P1112" s="356" t="s">
        <v>4955</v>
      </c>
      <c r="Q1112" s="357" t="s">
        <v>5191</v>
      </c>
      <c r="R1112" s="356" t="s">
        <v>194</v>
      </c>
      <c r="S1112" s="357"/>
    </row>
    <row r="1113">
      <c r="A1113" s="230">
        <v>1113.0</v>
      </c>
      <c r="B1113" s="230" t="s">
        <v>188</v>
      </c>
      <c r="C1113" s="231"/>
      <c r="D1113" s="232"/>
      <c r="E1113" s="232">
        <f>IFERROR(__xludf.DUMMYFUNCTION("iferror(SPLIT(D1113,""/""),split(""0/0"",""/""))"),0.0)</f>
        <v>0</v>
      </c>
      <c r="F1113" s="232">
        <f>IFERROR(__xludf.DUMMYFUNCTION("""COMPUTED_VALUE"""),0.0)</f>
        <v>0</v>
      </c>
      <c r="G1113" s="247" t="b">
        <v>0</v>
      </c>
      <c r="H1113" s="242" t="str">
        <f t="shared" si="1"/>
        <v/>
      </c>
      <c r="I1113" s="246" t="s">
        <v>5192</v>
      </c>
      <c r="J1113" s="354" t="str">
        <f t="shared" si="2"/>
        <v>Discover every forest biome (See requirement notes below)</v>
      </c>
      <c r="K1113" s="355"/>
      <c r="L1113" s="230"/>
      <c r="M1113" s="359" t="s">
        <v>238</v>
      </c>
      <c r="N1113" s="355" t="s">
        <v>5193</v>
      </c>
      <c r="O1113" s="239" t="s">
        <v>1033</v>
      </c>
      <c r="P1113" s="356" t="s">
        <v>4955</v>
      </c>
      <c r="Q1113" s="357" t="s">
        <v>5194</v>
      </c>
      <c r="R1113" s="356" t="s">
        <v>194</v>
      </c>
      <c r="S1113" s="357"/>
    </row>
    <row r="1114">
      <c r="A1114" s="230">
        <v>1114.0</v>
      </c>
      <c r="B1114" s="230" t="s">
        <v>188</v>
      </c>
      <c r="C1114" s="231"/>
      <c r="D1114" s="232"/>
      <c r="E1114" s="232">
        <f>IFERROR(__xludf.DUMMYFUNCTION("iferror(SPLIT(D1114,""/""),split(""0/0"",""/""))"),0.0)</f>
        <v>0</v>
      </c>
      <c r="F1114" s="232">
        <f>IFERROR(__xludf.DUMMYFUNCTION("""COMPUTED_VALUE"""),0.0)</f>
        <v>0</v>
      </c>
      <c r="G1114" s="247" t="b">
        <v>0</v>
      </c>
      <c r="H1114" s="242" t="str">
        <f t="shared" si="1"/>
        <v/>
      </c>
      <c r="I1114" s="246" t="s">
        <v>5195</v>
      </c>
      <c r="J1114" s="354" t="str">
        <f t="shared" si="2"/>
        <v>Discover every dry biome (See requirement notes below)</v>
      </c>
      <c r="K1114" s="355"/>
      <c r="L1114" s="230"/>
      <c r="M1114" s="359" t="s">
        <v>238</v>
      </c>
      <c r="N1114" s="355" t="s">
        <v>5196</v>
      </c>
      <c r="O1114" s="239" t="s">
        <v>1334</v>
      </c>
      <c r="P1114" s="356" t="s">
        <v>4955</v>
      </c>
      <c r="Q1114" s="357" t="s">
        <v>5197</v>
      </c>
      <c r="R1114" s="356" t="s">
        <v>194</v>
      </c>
      <c r="S1114" s="357"/>
    </row>
    <row r="1115">
      <c r="A1115" s="230">
        <v>1115.0</v>
      </c>
      <c r="B1115" s="230" t="s">
        <v>188</v>
      </c>
      <c r="C1115" s="231"/>
      <c r="D1115" s="232"/>
      <c r="E1115" s="232">
        <f>IFERROR(__xludf.DUMMYFUNCTION("iferror(SPLIT(D1115,""/""),split(""0/0"",""/""))"),0.0)</f>
        <v>0</v>
      </c>
      <c r="F1115" s="232">
        <f>IFERROR(__xludf.DUMMYFUNCTION("""COMPUTED_VALUE"""),0.0)</f>
        <v>0</v>
      </c>
      <c r="G1115" s="247" t="b">
        <v>0</v>
      </c>
      <c r="H1115" s="242" t="str">
        <f t="shared" si="1"/>
        <v/>
      </c>
      <c r="I1115" s="246" t="s">
        <v>5198</v>
      </c>
      <c r="J1115" s="354" t="str">
        <f t="shared" si="2"/>
        <v>Discover every snow biome (See requirement notes below)</v>
      </c>
      <c r="K1115" s="355"/>
      <c r="L1115" s="230"/>
      <c r="M1115" s="359" t="s">
        <v>238</v>
      </c>
      <c r="N1115" s="355" t="s">
        <v>5199</v>
      </c>
      <c r="O1115" s="239" t="s">
        <v>2350</v>
      </c>
      <c r="P1115" s="356" t="s">
        <v>4955</v>
      </c>
      <c r="Q1115" s="357" t="s">
        <v>5200</v>
      </c>
      <c r="R1115" s="356" t="s">
        <v>194</v>
      </c>
      <c r="S1115" s="357"/>
    </row>
    <row r="1116">
      <c r="A1116" s="230">
        <v>1116.0</v>
      </c>
      <c r="B1116" s="230" t="s">
        <v>188</v>
      </c>
      <c r="C1116" s="231"/>
      <c r="D1116" s="232"/>
      <c r="E1116" s="232">
        <f>IFERROR(__xludf.DUMMYFUNCTION("iferror(SPLIT(D1116,""/""),split(""0/0"",""/""))"),0.0)</f>
        <v>0</v>
      </c>
      <c r="F1116" s="232">
        <f>IFERROR(__xludf.DUMMYFUNCTION("""COMPUTED_VALUE"""),0.0)</f>
        <v>0</v>
      </c>
      <c r="G1116" s="247" t="b">
        <v>0</v>
      </c>
      <c r="H1116" s="242" t="str">
        <f t="shared" si="1"/>
        <v/>
      </c>
      <c r="I1116" s="246" t="s">
        <v>5201</v>
      </c>
      <c r="J1116" s="354" t="str">
        <f t="shared" si="2"/>
        <v>Discover every overgrown biome (See requirement notes below)</v>
      </c>
      <c r="K1116" s="355"/>
      <c r="L1116" s="230"/>
      <c r="M1116" s="359" t="s">
        <v>238</v>
      </c>
      <c r="N1116" s="355" t="s">
        <v>5202</v>
      </c>
      <c r="O1116" s="239" t="s">
        <v>1048</v>
      </c>
      <c r="P1116" s="356" t="s">
        <v>4955</v>
      </c>
      <c r="Q1116" s="357" t="s">
        <v>5203</v>
      </c>
      <c r="R1116" s="356" t="s">
        <v>194</v>
      </c>
      <c r="S1116" s="357"/>
    </row>
    <row r="1117">
      <c r="A1117" s="230">
        <v>1117.0</v>
      </c>
      <c r="B1117" s="230" t="s">
        <v>188</v>
      </c>
      <c r="C1117" s="231"/>
      <c r="D1117" s="232"/>
      <c r="E1117" s="232">
        <f>IFERROR(__xludf.DUMMYFUNCTION("iferror(SPLIT(D1117,""/""),split(""0/0"",""/""))"),0.0)</f>
        <v>0</v>
      </c>
      <c r="F1117" s="232">
        <f>IFERROR(__xludf.DUMMYFUNCTION("""COMPUTED_VALUE"""),0.0)</f>
        <v>0</v>
      </c>
      <c r="G1117" s="247" t="b">
        <v>0</v>
      </c>
      <c r="H1117" s="242" t="str">
        <f t="shared" si="1"/>
        <v/>
      </c>
      <c r="I1117" s="246" t="s">
        <v>5204</v>
      </c>
      <c r="J1117" s="354" t="str">
        <f t="shared" si="2"/>
        <v>Discover every mountain biome (See requirement notes below)</v>
      </c>
      <c r="K1117" s="355"/>
      <c r="L1117" s="230"/>
      <c r="M1117" s="359" t="s">
        <v>238</v>
      </c>
      <c r="N1117" s="355" t="s">
        <v>5205</v>
      </c>
      <c r="O1117" s="239" t="s">
        <v>427</v>
      </c>
      <c r="P1117" s="356" t="s">
        <v>4955</v>
      </c>
      <c r="Q1117" s="357" t="s">
        <v>5206</v>
      </c>
      <c r="R1117" s="356" t="s">
        <v>194</v>
      </c>
      <c r="S1117" s="357"/>
    </row>
    <row r="1118">
      <c r="A1118" s="230">
        <v>1118.0</v>
      </c>
      <c r="B1118" s="230" t="s">
        <v>188</v>
      </c>
      <c r="C1118" s="231"/>
      <c r="D1118" s="232"/>
      <c r="E1118" s="232">
        <f>IFERROR(__xludf.DUMMYFUNCTION("iferror(SPLIT(D1118,""/""),split(""0/0"",""/""))"),0.0)</f>
        <v>0</v>
      </c>
      <c r="F1118" s="232">
        <f>IFERROR(__xludf.DUMMYFUNCTION("""COMPUTED_VALUE"""),0.0)</f>
        <v>0</v>
      </c>
      <c r="G1118" s="247" t="b">
        <v>0</v>
      </c>
      <c r="H1118" s="242" t="str">
        <f t="shared" si="1"/>
        <v/>
      </c>
      <c r="I1118" s="246" t="s">
        <v>5207</v>
      </c>
      <c r="J1118" s="354" t="str">
        <f t="shared" si="2"/>
        <v>Discover every wet biome (See requirement notes below)</v>
      </c>
      <c r="K1118" s="355"/>
      <c r="L1118" s="230"/>
      <c r="M1118" s="359" t="s">
        <v>238</v>
      </c>
      <c r="N1118" s="355" t="s">
        <v>5208</v>
      </c>
      <c r="O1118" s="239" t="s">
        <v>345</v>
      </c>
      <c r="P1118" s="356" t="s">
        <v>4955</v>
      </c>
      <c r="Q1118" s="357" t="s">
        <v>5209</v>
      </c>
      <c r="R1118" s="356" t="s">
        <v>194</v>
      </c>
      <c r="S1118" s="357"/>
    </row>
    <row r="1119">
      <c r="A1119" s="230">
        <v>1119.0</v>
      </c>
      <c r="B1119" s="230" t="s">
        <v>188</v>
      </c>
      <c r="C1119" s="231"/>
      <c r="D1119" s="232"/>
      <c r="E1119" s="232">
        <f>IFERROR(__xludf.DUMMYFUNCTION("iferror(SPLIT(D1119,""/""),split(""0/0"",""/""))"),0.0)</f>
        <v>0</v>
      </c>
      <c r="F1119" s="232">
        <f>IFERROR(__xludf.DUMMYFUNCTION("""COMPUTED_VALUE"""),0.0)</f>
        <v>0</v>
      </c>
      <c r="G1119" s="247" t="b">
        <v>0</v>
      </c>
      <c r="H1119" s="242" t="str">
        <f t="shared" si="1"/>
        <v/>
      </c>
      <c r="I1119" s="249" t="s">
        <v>5210</v>
      </c>
      <c r="J1119" s="354" t="str">
        <f t="shared" si="2"/>
        <v>Discover each type of surface biome in the Overworld (See requirement notes below)</v>
      </c>
      <c r="K1119" s="355"/>
      <c r="L1119" s="230"/>
      <c r="M1119" s="359" t="s">
        <v>238</v>
      </c>
      <c r="N1119" s="355" t="s">
        <v>5211</v>
      </c>
      <c r="O1119" s="239" t="s">
        <v>2970</v>
      </c>
      <c r="P1119" s="356" t="s">
        <v>4955</v>
      </c>
      <c r="Q1119" s="357" t="s">
        <v>5212</v>
      </c>
      <c r="R1119" s="356" t="s">
        <v>194</v>
      </c>
      <c r="S1119" s="357"/>
    </row>
    <row r="1120">
      <c r="A1120" s="230">
        <v>1120.0</v>
      </c>
      <c r="B1120" s="230" t="s">
        <v>188</v>
      </c>
      <c r="C1120" s="231"/>
      <c r="D1120" s="232"/>
      <c r="E1120" s="232">
        <f>IFERROR(__xludf.DUMMYFUNCTION("iferror(SPLIT(D1120,""/""),split(""0/0"",""/""))"),0.0)</f>
        <v>0</v>
      </c>
      <c r="F1120" s="232">
        <f>IFERROR(__xludf.DUMMYFUNCTION("""COMPUTED_VALUE"""),0.0)</f>
        <v>0</v>
      </c>
      <c r="G1120" s="247" t="b">
        <v>0</v>
      </c>
      <c r="H1120" s="242" t="str">
        <f t="shared" si="1"/>
        <v/>
      </c>
      <c r="I1120" s="235" t="s">
        <v>5213</v>
      </c>
      <c r="J1120" s="265" t="str">
        <f t="shared" si="2"/>
        <v>Loads of brand new advancements for your Minecraft world! (Obtained automatically when entering the world)</v>
      </c>
      <c r="K1120" s="266"/>
      <c r="L1120" s="267"/>
      <c r="M1120" s="266" t="s">
        <v>5214</v>
      </c>
      <c r="N1120" s="266" t="s">
        <v>5215</v>
      </c>
      <c r="O1120" s="239" t="s">
        <v>1111</v>
      </c>
      <c r="P1120" s="268" t="s">
        <v>5216</v>
      </c>
      <c r="Q1120" s="269" t="s">
        <v>5217</v>
      </c>
      <c r="R1120" s="268" t="s">
        <v>194</v>
      </c>
      <c r="S1120" s="269"/>
    </row>
    <row r="1121">
      <c r="A1121" s="230">
        <v>1121.0</v>
      </c>
      <c r="B1121" s="230" t="s">
        <v>188</v>
      </c>
      <c r="C1121" s="231"/>
      <c r="D1121" s="232"/>
      <c r="E1121" s="232">
        <f>IFERROR(__xludf.DUMMYFUNCTION("iferror(SPLIT(D1121,""/""),split(""0/0"",""/""))"),0.0)</f>
        <v>0</v>
      </c>
      <c r="F1121" s="232">
        <f>IFERROR(__xludf.DUMMYFUNCTION("""COMPUTED_VALUE"""),0.0)</f>
        <v>0</v>
      </c>
      <c r="G1121" s="247" t="b">
        <v>0</v>
      </c>
      <c r="H1121" s="242" t="str">
        <f t="shared" si="1"/>
        <v/>
      </c>
      <c r="I1121" s="243" t="s">
        <v>5218</v>
      </c>
      <c r="J1121" s="265" t="str">
        <f t="shared" si="2"/>
        <v>Attack a tree until a block of wood pops out (Obtain any type of log, wood, stripped log, or stripped wood)</v>
      </c>
      <c r="K1121" s="360" t="s">
        <v>5219</v>
      </c>
      <c r="L1121" s="361"/>
      <c r="M1121" s="266" t="s">
        <v>5220</v>
      </c>
      <c r="N1121" s="266" t="s">
        <v>5221</v>
      </c>
      <c r="O1121" s="239" t="s">
        <v>1018</v>
      </c>
      <c r="P1121" s="268" t="s">
        <v>5216</v>
      </c>
      <c r="Q1121" s="269" t="s">
        <v>5222</v>
      </c>
      <c r="R1121" s="268" t="s">
        <v>194</v>
      </c>
      <c r="S1121" s="269"/>
    </row>
    <row r="1122">
      <c r="A1122" s="230">
        <v>1122.0</v>
      </c>
      <c r="B1122" s="230" t="s">
        <v>188</v>
      </c>
      <c r="C1122" s="231"/>
      <c r="D1122" s="232"/>
      <c r="E1122" s="232">
        <f>IFERROR(__xludf.DUMMYFUNCTION("iferror(SPLIT(D1122,""/""),split(""0/0"",""/""))"),0.0)</f>
        <v>0</v>
      </c>
      <c r="F1122" s="232">
        <f>IFERROR(__xludf.DUMMYFUNCTION("""COMPUTED_VALUE"""),0.0)</f>
        <v>0</v>
      </c>
      <c r="G1122" s="247" t="b">
        <v>0</v>
      </c>
      <c r="H1122" s="242" t="str">
        <f t="shared" si="1"/>
        <v/>
      </c>
      <c r="I1122" s="243" t="s">
        <v>5223</v>
      </c>
      <c r="J1122" s="265" t="str">
        <f t="shared" si="2"/>
        <v>Construct a crafting bench (Obtain a crafting table)</v>
      </c>
      <c r="K1122" s="266"/>
      <c r="L1122" s="267"/>
      <c r="M1122" s="266" t="s">
        <v>5224</v>
      </c>
      <c r="N1122" s="266" t="s">
        <v>5225</v>
      </c>
      <c r="O1122" s="239" t="s">
        <v>3499</v>
      </c>
      <c r="P1122" s="268" t="s">
        <v>5216</v>
      </c>
      <c r="Q1122" s="269" t="s">
        <v>5226</v>
      </c>
      <c r="R1122" s="268" t="s">
        <v>194</v>
      </c>
      <c r="S1122" s="269"/>
    </row>
    <row r="1123">
      <c r="A1123" s="230">
        <v>1123.0</v>
      </c>
      <c r="B1123" s="230" t="s">
        <v>188</v>
      </c>
      <c r="C1123" s="231"/>
      <c r="D1123" s="232"/>
      <c r="E1123" s="232">
        <f>IFERROR(__xludf.DUMMYFUNCTION("iferror(SPLIT(D1123,""/""),split(""0/0"",""/""))"),0.0)</f>
        <v>0</v>
      </c>
      <c r="F1123" s="232">
        <f>IFERROR(__xludf.DUMMYFUNCTION("""COMPUTED_VALUE"""),0.0)</f>
        <v>0</v>
      </c>
      <c r="G1123" s="247" t="b">
        <v>0</v>
      </c>
      <c r="H1123" s="242" t="str">
        <f t="shared" si="1"/>
        <v/>
      </c>
      <c r="I1123" s="243" t="s">
        <v>5227</v>
      </c>
      <c r="J1123" s="265" t="str">
        <f t="shared" si="2"/>
        <v>Use planks and sticks to make a pickaxe (Obtain a wooden, stone, iron, gold, diamond or netherite pickaxe)</v>
      </c>
      <c r="K1123" s="266"/>
      <c r="L1123" s="267"/>
      <c r="M1123" s="266" t="s">
        <v>5228</v>
      </c>
      <c r="N1123" s="266" t="s">
        <v>5229</v>
      </c>
      <c r="O1123" s="239" t="s">
        <v>199</v>
      </c>
      <c r="P1123" s="268" t="s">
        <v>5216</v>
      </c>
      <c r="Q1123" s="269" t="s">
        <v>5230</v>
      </c>
      <c r="R1123" s="268" t="s">
        <v>194</v>
      </c>
      <c r="S1123" s="269"/>
    </row>
    <row r="1124">
      <c r="A1124" s="230">
        <v>1124.0</v>
      </c>
      <c r="B1124" s="230" t="s">
        <v>188</v>
      </c>
      <c r="C1124" s="231"/>
      <c r="D1124" s="232"/>
      <c r="E1124" s="232">
        <f>IFERROR(__xludf.DUMMYFUNCTION("iferror(SPLIT(D1124,""/""),split(""0/0"",""/""))"),0.0)</f>
        <v>0</v>
      </c>
      <c r="F1124" s="232">
        <f>IFERROR(__xludf.DUMMYFUNCTION("""COMPUTED_VALUE"""),0.0)</f>
        <v>0</v>
      </c>
      <c r="G1124" s="247" t="b">
        <v>0</v>
      </c>
      <c r="H1124" s="242" t="str">
        <f t="shared" si="1"/>
        <v/>
      </c>
      <c r="I1124" s="243" t="s">
        <v>5231</v>
      </c>
      <c r="J1124" s="265" t="str">
        <f t="shared" si="2"/>
        <v>Use planks and sticks to make a sword (Obtain a wooden, stone, iron, gold, diamond or netherite sword)</v>
      </c>
      <c r="K1124" s="266"/>
      <c r="L1124" s="267"/>
      <c r="M1124" s="266" t="s">
        <v>5232</v>
      </c>
      <c r="N1124" s="266" t="s">
        <v>5233</v>
      </c>
      <c r="O1124" s="239" t="s">
        <v>5234</v>
      </c>
      <c r="P1124" s="268" t="s">
        <v>5216</v>
      </c>
      <c r="Q1124" s="269" t="s">
        <v>5235</v>
      </c>
      <c r="R1124" s="268" t="s">
        <v>194</v>
      </c>
      <c r="S1124" s="269"/>
    </row>
    <row r="1125">
      <c r="A1125" s="230">
        <v>1125.0</v>
      </c>
      <c r="B1125" s="230" t="s">
        <v>188</v>
      </c>
      <c r="C1125" s="231"/>
      <c r="D1125" s="232"/>
      <c r="E1125" s="232">
        <f>IFERROR(__xludf.DUMMYFUNCTION("iferror(SPLIT(D1125,""/""),split(""0/0"",""/""))"),0.0)</f>
        <v>0</v>
      </c>
      <c r="F1125" s="232">
        <f>IFERROR(__xludf.DUMMYFUNCTION("""COMPUTED_VALUE"""),0.0)</f>
        <v>0</v>
      </c>
      <c r="G1125" s="247" t="b">
        <v>0</v>
      </c>
      <c r="H1125" s="242" t="str">
        <f t="shared" si="1"/>
        <v/>
      </c>
      <c r="I1125" s="243" t="s">
        <v>5236</v>
      </c>
      <c r="J1125" s="265" t="str">
        <f t="shared" si="2"/>
        <v>Use planks and sticks to make an axe (Obtain a wooden, stone, iron, gold, diamond or netherite axe)</v>
      </c>
      <c r="K1125" s="266"/>
      <c r="L1125" s="267"/>
      <c r="M1125" s="266" t="s">
        <v>5237</v>
      </c>
      <c r="N1125" s="266" t="s">
        <v>5238</v>
      </c>
      <c r="O1125" s="239" t="s">
        <v>5239</v>
      </c>
      <c r="P1125" s="268" t="s">
        <v>5216</v>
      </c>
      <c r="Q1125" s="269" t="s">
        <v>5240</v>
      </c>
      <c r="R1125" s="268" t="s">
        <v>194</v>
      </c>
      <c r="S1125" s="269"/>
    </row>
    <row r="1126">
      <c r="A1126" s="230">
        <v>1126.0</v>
      </c>
      <c r="B1126" s="230" t="s">
        <v>188</v>
      </c>
      <c r="C1126" s="231"/>
      <c r="D1126" s="232"/>
      <c r="E1126" s="232">
        <f>IFERROR(__xludf.DUMMYFUNCTION("iferror(SPLIT(D1126,""/""),split(""0/0"",""/""))"),0.0)</f>
        <v>0</v>
      </c>
      <c r="F1126" s="232">
        <f>IFERROR(__xludf.DUMMYFUNCTION("""COMPUTED_VALUE"""),0.0)</f>
        <v>0</v>
      </c>
      <c r="G1126" s="247" t="b">
        <v>0</v>
      </c>
      <c r="H1126" s="242" t="str">
        <f t="shared" si="1"/>
        <v/>
      </c>
      <c r="I1126" s="243" t="s">
        <v>5241</v>
      </c>
      <c r="J1126" s="265" t="str">
        <f t="shared" si="2"/>
        <v>Use planks and sticks to make a shovel (Obtain a wooden, stone, iron, gold, diamond or netherite shovel)</v>
      </c>
      <c r="K1126" s="266"/>
      <c r="L1126" s="267"/>
      <c r="M1126" s="266" t="s">
        <v>5242</v>
      </c>
      <c r="N1126" s="266" t="s">
        <v>5243</v>
      </c>
      <c r="O1126" s="239" t="s">
        <v>5244</v>
      </c>
      <c r="P1126" s="268" t="s">
        <v>5216</v>
      </c>
      <c r="Q1126" s="269" t="s">
        <v>5245</v>
      </c>
      <c r="R1126" s="268" t="s">
        <v>194</v>
      </c>
      <c r="S1126" s="269"/>
    </row>
    <row r="1127">
      <c r="A1127" s="230">
        <v>1127.0</v>
      </c>
      <c r="B1127" s="230" t="s">
        <v>188</v>
      </c>
      <c r="C1127" s="231"/>
      <c r="D1127" s="232"/>
      <c r="E1127" s="232">
        <f>IFERROR(__xludf.DUMMYFUNCTION("iferror(SPLIT(D1127,""/""),split(""0/0"",""/""))"),0.0)</f>
        <v>0</v>
      </c>
      <c r="F1127" s="232">
        <f>IFERROR(__xludf.DUMMYFUNCTION("""COMPUTED_VALUE"""),0.0)</f>
        <v>0</v>
      </c>
      <c r="G1127" s="247" t="b">
        <v>0</v>
      </c>
      <c r="H1127" s="242" t="str">
        <f t="shared" si="1"/>
        <v/>
      </c>
      <c r="I1127" s="243" t="s">
        <v>5246</v>
      </c>
      <c r="J1127" s="265" t="str">
        <f t="shared" si="2"/>
        <v>Use planks and sticks to make a hoe (Obtain a wooden, stone, iron, gold, diamond or netherite hoe)</v>
      </c>
      <c r="K1127" s="266"/>
      <c r="L1127" s="267"/>
      <c r="M1127" s="266" t="s">
        <v>5247</v>
      </c>
      <c r="N1127" s="266" t="s">
        <v>5248</v>
      </c>
      <c r="O1127" s="239" t="s">
        <v>5249</v>
      </c>
      <c r="P1127" s="268" t="s">
        <v>5216</v>
      </c>
      <c r="Q1127" s="269" t="s">
        <v>5250</v>
      </c>
      <c r="R1127" s="268" t="s">
        <v>194</v>
      </c>
      <c r="S1127" s="269"/>
    </row>
    <row r="1128">
      <c r="A1128" s="230">
        <v>1128.0</v>
      </c>
      <c r="B1128" s="230" t="s">
        <v>5251</v>
      </c>
      <c r="C1128" s="231"/>
      <c r="D1128" s="232"/>
      <c r="E1128" s="232">
        <f>IFERROR(__xludf.DUMMYFUNCTION("iferror(SPLIT(D1128,""/""),split(""0/0"",""/""))"),0.0)</f>
        <v>0</v>
      </c>
      <c r="F1128" s="232">
        <f>IFERROR(__xludf.DUMMYFUNCTION("""COMPUTED_VALUE"""),0.0)</f>
        <v>0</v>
      </c>
      <c r="G1128" s="247" t="b">
        <v>0</v>
      </c>
      <c r="H1128" s="242" t="str">
        <f t="shared" si="1"/>
        <v/>
      </c>
      <c r="I1128" s="362" t="s">
        <v>5252</v>
      </c>
      <c r="J1128" s="265" t="str">
        <f t="shared" si="2"/>
        <v>Complete every advancement in the Mining tab (For all of these, hidden advancements are not required)</v>
      </c>
      <c r="K1128" s="266"/>
      <c r="L1128" s="267"/>
      <c r="M1128" s="363" t="s">
        <v>5253</v>
      </c>
      <c r="N1128" s="266" t="s">
        <v>5254</v>
      </c>
      <c r="O1128" s="239" t="s">
        <v>192</v>
      </c>
      <c r="P1128" s="268" t="s">
        <v>5216</v>
      </c>
      <c r="Q1128" s="269" t="s">
        <v>5255</v>
      </c>
      <c r="R1128" s="268" t="s">
        <v>194</v>
      </c>
      <c r="S1128" s="269"/>
    </row>
    <row r="1129">
      <c r="A1129" s="230">
        <v>1129.0</v>
      </c>
      <c r="B1129" s="230" t="s">
        <v>5251</v>
      </c>
      <c r="C1129" s="231"/>
      <c r="D1129" s="232"/>
      <c r="E1129" s="232">
        <f>IFERROR(__xludf.DUMMYFUNCTION("iferror(SPLIT(D1129,""/""),split(""0/0"",""/""))"),0.0)</f>
        <v>0</v>
      </c>
      <c r="F1129" s="232">
        <f>IFERROR(__xludf.DUMMYFUNCTION("""COMPUTED_VALUE"""),0.0)</f>
        <v>0</v>
      </c>
      <c r="G1129" s="247" t="b">
        <v>0</v>
      </c>
      <c r="H1129" s="242" t="str">
        <f t="shared" si="1"/>
        <v/>
      </c>
      <c r="I1129" s="362" t="s">
        <v>5256</v>
      </c>
      <c r="J1129" s="265" t="str">
        <f t="shared" si="2"/>
        <v>Complete every advancement in the Building tab</v>
      </c>
      <c r="K1129" s="266"/>
      <c r="L1129" s="267"/>
      <c r="M1129" s="266"/>
      <c r="N1129" s="266" t="s">
        <v>5257</v>
      </c>
      <c r="O1129" s="239" t="s">
        <v>754</v>
      </c>
      <c r="P1129" s="268" t="s">
        <v>5216</v>
      </c>
      <c r="Q1129" s="269" t="s">
        <v>5258</v>
      </c>
      <c r="R1129" s="268" t="s">
        <v>194</v>
      </c>
      <c r="S1129" s="269"/>
    </row>
    <row r="1130">
      <c r="A1130" s="230">
        <v>1130.0</v>
      </c>
      <c r="B1130" s="230" t="s">
        <v>5251</v>
      </c>
      <c r="C1130" s="231"/>
      <c r="D1130" s="232"/>
      <c r="E1130" s="232">
        <f>IFERROR(__xludf.DUMMYFUNCTION("iferror(SPLIT(D1130,""/""),split(""0/0"",""/""))"),0.0)</f>
        <v>0</v>
      </c>
      <c r="F1130" s="232">
        <f>IFERROR(__xludf.DUMMYFUNCTION("""COMPUTED_VALUE"""),0.0)</f>
        <v>0</v>
      </c>
      <c r="G1130" s="247" t="b">
        <v>0</v>
      </c>
      <c r="H1130" s="242" t="str">
        <f t="shared" si="1"/>
        <v/>
      </c>
      <c r="I1130" s="362" t="s">
        <v>5259</v>
      </c>
      <c r="J1130" s="265" t="str">
        <f t="shared" si="2"/>
        <v>Complete every advancement in the Farming tab</v>
      </c>
      <c r="K1130" s="266"/>
      <c r="L1130" s="267"/>
      <c r="M1130" s="266"/>
      <c r="N1130" s="266" t="s">
        <v>5260</v>
      </c>
      <c r="O1130" s="239" t="s">
        <v>1308</v>
      </c>
      <c r="P1130" s="268" t="s">
        <v>5216</v>
      </c>
      <c r="Q1130" s="269" t="s">
        <v>5261</v>
      </c>
      <c r="R1130" s="268" t="s">
        <v>194</v>
      </c>
      <c r="S1130" s="269"/>
    </row>
    <row r="1131">
      <c r="A1131" s="230">
        <v>1131.0</v>
      </c>
      <c r="B1131" s="230" t="s">
        <v>5251</v>
      </c>
      <c r="C1131" s="231"/>
      <c r="D1131" s="232"/>
      <c r="E1131" s="232">
        <f>IFERROR(__xludf.DUMMYFUNCTION("iferror(SPLIT(D1131,""/""),split(""0/0"",""/""))"),0.0)</f>
        <v>0</v>
      </c>
      <c r="F1131" s="232">
        <f>IFERROR(__xludf.DUMMYFUNCTION("""COMPUTED_VALUE"""),0.0)</f>
        <v>0</v>
      </c>
      <c r="G1131" s="247" t="b">
        <v>0</v>
      </c>
      <c r="H1131" s="242" t="str">
        <f t="shared" si="1"/>
        <v/>
      </c>
      <c r="I1131" s="362" t="s">
        <v>5262</v>
      </c>
      <c r="J1131" s="265" t="str">
        <f t="shared" si="2"/>
        <v>Complete every advancement in the Animal tab</v>
      </c>
      <c r="K1131" s="266"/>
      <c r="L1131" s="267"/>
      <c r="M1131" s="266"/>
      <c r="N1131" s="266" t="s">
        <v>5263</v>
      </c>
      <c r="O1131" s="239" t="s">
        <v>1584</v>
      </c>
      <c r="P1131" s="268" t="s">
        <v>5216</v>
      </c>
      <c r="Q1131" s="269" t="s">
        <v>5264</v>
      </c>
      <c r="R1131" s="268" t="s">
        <v>194</v>
      </c>
      <c r="S1131" s="269"/>
    </row>
    <row r="1132">
      <c r="A1132" s="230">
        <v>1132.0</v>
      </c>
      <c r="B1132" s="230" t="s">
        <v>5251</v>
      </c>
      <c r="C1132" s="231"/>
      <c r="D1132" s="232"/>
      <c r="E1132" s="232">
        <f>IFERROR(__xludf.DUMMYFUNCTION("iferror(SPLIT(D1132,""/""),split(""0/0"",""/""))"),0.0)</f>
        <v>0</v>
      </c>
      <c r="F1132" s="232">
        <f>IFERROR(__xludf.DUMMYFUNCTION("""COMPUTED_VALUE"""),0.0)</f>
        <v>0</v>
      </c>
      <c r="G1132" s="247" t="b">
        <v>0</v>
      </c>
      <c r="H1132" s="242" t="str">
        <f t="shared" si="1"/>
        <v/>
      </c>
      <c r="I1132" s="362" t="s">
        <v>5265</v>
      </c>
      <c r="J1132" s="265" t="str">
        <f t="shared" si="2"/>
        <v>Complete every advancement in the Monsters tab</v>
      </c>
      <c r="K1132" s="266"/>
      <c r="L1132" s="267"/>
      <c r="M1132" s="266"/>
      <c r="N1132" s="266" t="s">
        <v>5266</v>
      </c>
      <c r="O1132" s="239" t="s">
        <v>2243</v>
      </c>
      <c r="P1132" s="268" t="s">
        <v>5216</v>
      </c>
      <c r="Q1132" s="269" t="s">
        <v>5267</v>
      </c>
      <c r="R1132" s="268" t="s">
        <v>194</v>
      </c>
      <c r="S1132" s="269"/>
    </row>
    <row r="1133">
      <c r="A1133" s="230">
        <v>1133.0</v>
      </c>
      <c r="B1133" s="230" t="s">
        <v>5251</v>
      </c>
      <c r="C1133" s="231"/>
      <c r="D1133" s="232"/>
      <c r="E1133" s="232">
        <f>IFERROR(__xludf.DUMMYFUNCTION("iferror(SPLIT(D1133,""/""),split(""0/0"",""/""))"),0.0)</f>
        <v>0</v>
      </c>
      <c r="F1133" s="232">
        <f>IFERROR(__xludf.DUMMYFUNCTION("""COMPUTED_VALUE"""),0.0)</f>
        <v>0</v>
      </c>
      <c r="G1133" s="247" t="b">
        <v>0</v>
      </c>
      <c r="H1133" s="242" t="str">
        <f t="shared" si="1"/>
        <v/>
      </c>
      <c r="I1133" s="362" t="s">
        <v>5268</v>
      </c>
      <c r="J1133" s="265" t="str">
        <f t="shared" si="2"/>
        <v>Complete every advancement in the Weaponry tab</v>
      </c>
      <c r="K1133" s="266"/>
      <c r="L1133" s="267"/>
      <c r="M1133" s="266"/>
      <c r="N1133" s="266" t="s">
        <v>5269</v>
      </c>
      <c r="O1133" s="239" t="s">
        <v>2101</v>
      </c>
      <c r="P1133" s="268" t="s">
        <v>5216</v>
      </c>
      <c r="Q1133" s="269" t="s">
        <v>5270</v>
      </c>
      <c r="R1133" s="268" t="s">
        <v>194</v>
      </c>
      <c r="S1133" s="269"/>
    </row>
    <row r="1134">
      <c r="A1134" s="230">
        <v>1134.0</v>
      </c>
      <c r="B1134" s="230" t="s">
        <v>5251</v>
      </c>
      <c r="C1134" s="231"/>
      <c r="D1134" s="232"/>
      <c r="E1134" s="232">
        <f>IFERROR(__xludf.DUMMYFUNCTION("iferror(SPLIT(D1134,""/""),split(""0/0"",""/""))"),0.0)</f>
        <v>0</v>
      </c>
      <c r="F1134" s="232">
        <f>IFERROR(__xludf.DUMMYFUNCTION("""COMPUTED_VALUE"""),0.0)</f>
        <v>0</v>
      </c>
      <c r="G1134" s="247" t="b">
        <v>0</v>
      </c>
      <c r="H1134" s="242" t="str">
        <f t="shared" si="1"/>
        <v/>
      </c>
      <c r="I1134" s="362" t="s">
        <v>5271</v>
      </c>
      <c r="J1134" s="265" t="str">
        <f t="shared" si="2"/>
        <v>Complete every advancement in the Biomes tab</v>
      </c>
      <c r="K1134" s="266"/>
      <c r="L1134" s="267"/>
      <c r="M1134" s="266"/>
      <c r="N1134" s="266" t="s">
        <v>5272</v>
      </c>
      <c r="O1134" s="239" t="s">
        <v>1043</v>
      </c>
      <c r="P1134" s="268" t="s">
        <v>5216</v>
      </c>
      <c r="Q1134" s="269" t="s">
        <v>5273</v>
      </c>
      <c r="R1134" s="268" t="s">
        <v>194</v>
      </c>
      <c r="S1134" s="269"/>
    </row>
    <row r="1135">
      <c r="A1135" s="230">
        <v>1135.0</v>
      </c>
      <c r="B1135" s="230" t="s">
        <v>5251</v>
      </c>
      <c r="C1135" s="231"/>
      <c r="D1135" s="232"/>
      <c r="E1135" s="232">
        <f>IFERROR(__xludf.DUMMYFUNCTION("iferror(SPLIT(D1135,""/""),split(""0/0"",""/""))"),0.0)</f>
        <v>0</v>
      </c>
      <c r="F1135" s="232">
        <f>IFERROR(__xludf.DUMMYFUNCTION("""COMPUTED_VALUE"""),0.0)</f>
        <v>0</v>
      </c>
      <c r="G1135" s="247" t="b">
        <v>0</v>
      </c>
      <c r="H1135" s="242" t="str">
        <f t="shared" si="1"/>
        <v/>
      </c>
      <c r="I1135" s="362" t="s">
        <v>5274</v>
      </c>
      <c r="J1135" s="265" t="str">
        <f t="shared" si="2"/>
        <v>Complete every advancement in the Adventure tab</v>
      </c>
      <c r="K1135" s="266"/>
      <c r="L1135" s="267"/>
      <c r="M1135" s="266"/>
      <c r="N1135" s="266" t="s">
        <v>5275</v>
      </c>
      <c r="O1135" s="239" t="s">
        <v>2812</v>
      </c>
      <c r="P1135" s="268" t="s">
        <v>5216</v>
      </c>
      <c r="Q1135" s="269" t="s">
        <v>5276</v>
      </c>
      <c r="R1135" s="268" t="s">
        <v>194</v>
      </c>
      <c r="S1135" s="269"/>
    </row>
    <row r="1136">
      <c r="A1136" s="230">
        <v>1136.0</v>
      </c>
      <c r="B1136" s="230" t="s">
        <v>5251</v>
      </c>
      <c r="C1136" s="231"/>
      <c r="D1136" s="232"/>
      <c r="E1136" s="232">
        <f>IFERROR(__xludf.DUMMYFUNCTION("iferror(SPLIT(D1136,""/""),split(""0/0"",""/""))"),0.0)</f>
        <v>0</v>
      </c>
      <c r="F1136" s="232">
        <f>IFERROR(__xludf.DUMMYFUNCTION("""COMPUTED_VALUE"""),0.0)</f>
        <v>0</v>
      </c>
      <c r="G1136" s="247" t="b">
        <v>0</v>
      </c>
      <c r="H1136" s="242" t="str">
        <f t="shared" si="1"/>
        <v/>
      </c>
      <c r="I1136" s="362" t="s">
        <v>5277</v>
      </c>
      <c r="J1136" s="265" t="str">
        <f t="shared" si="2"/>
        <v>Complete every advancement in the Redstone tab</v>
      </c>
      <c r="K1136" s="266"/>
      <c r="L1136" s="267"/>
      <c r="M1136" s="266"/>
      <c r="N1136" s="266" t="s">
        <v>5278</v>
      </c>
      <c r="O1136" s="239" t="s">
        <v>614</v>
      </c>
      <c r="P1136" s="268" t="s">
        <v>5216</v>
      </c>
      <c r="Q1136" s="269" t="s">
        <v>5279</v>
      </c>
      <c r="R1136" s="268" t="s">
        <v>194</v>
      </c>
      <c r="S1136" s="269"/>
    </row>
    <row r="1137">
      <c r="A1137" s="230">
        <v>1137.0</v>
      </c>
      <c r="B1137" s="230" t="s">
        <v>5251</v>
      </c>
      <c r="C1137" s="231"/>
      <c r="D1137" s="232"/>
      <c r="E1137" s="232">
        <f>IFERROR(__xludf.DUMMYFUNCTION("iferror(SPLIT(D1137,""/""),split(""0/0"",""/""))"),0.0)</f>
        <v>0</v>
      </c>
      <c r="F1137" s="232">
        <f>IFERROR(__xludf.DUMMYFUNCTION("""COMPUTED_VALUE"""),0.0)</f>
        <v>0</v>
      </c>
      <c r="G1137" s="247" t="b">
        <v>0</v>
      </c>
      <c r="H1137" s="242" t="str">
        <f t="shared" si="1"/>
        <v/>
      </c>
      <c r="I1137" s="362" t="s">
        <v>5280</v>
      </c>
      <c r="J1137" s="265" t="str">
        <f t="shared" si="2"/>
        <v>Complete every advancement in the Enchanting tab</v>
      </c>
      <c r="K1137" s="266"/>
      <c r="L1137" s="267"/>
      <c r="M1137" s="266"/>
      <c r="N1137" s="266" t="s">
        <v>5281</v>
      </c>
      <c r="O1137" s="239" t="s">
        <v>741</v>
      </c>
      <c r="P1137" s="268" t="s">
        <v>5216</v>
      </c>
      <c r="Q1137" s="269" t="s">
        <v>5282</v>
      </c>
      <c r="R1137" s="268" t="s">
        <v>194</v>
      </c>
      <c r="S1137" s="269"/>
    </row>
    <row r="1138">
      <c r="A1138" s="230">
        <v>1138.0</v>
      </c>
      <c r="B1138" s="230" t="s">
        <v>5251</v>
      </c>
      <c r="C1138" s="231"/>
      <c r="D1138" s="232"/>
      <c r="E1138" s="232">
        <f>IFERROR(__xludf.DUMMYFUNCTION("iferror(SPLIT(D1138,""/""),split(""0/0"",""/""))"),0.0)</f>
        <v>0</v>
      </c>
      <c r="F1138" s="232">
        <f>IFERROR(__xludf.DUMMYFUNCTION("""COMPUTED_VALUE"""),0.0)</f>
        <v>0</v>
      </c>
      <c r="G1138" s="233" t="b">
        <v>0</v>
      </c>
      <c r="H1138" s="242" t="str">
        <f t="shared" si="1"/>
        <v/>
      </c>
      <c r="I1138" s="362" t="s">
        <v>5283</v>
      </c>
      <c r="J1138" s="265" t="str">
        <f t="shared" si="2"/>
        <v>Complete every advancement in the Statistics tab</v>
      </c>
      <c r="K1138" s="266"/>
      <c r="L1138" s="267"/>
      <c r="M1138" s="266"/>
      <c r="N1138" s="266" t="s">
        <v>5284</v>
      </c>
      <c r="O1138" s="239" t="s">
        <v>1409</v>
      </c>
      <c r="P1138" s="268" t="s">
        <v>5216</v>
      </c>
      <c r="Q1138" s="269" t="s">
        <v>5285</v>
      </c>
      <c r="R1138" s="268" t="s">
        <v>194</v>
      </c>
      <c r="S1138" s="269"/>
    </row>
    <row r="1139">
      <c r="A1139" s="230">
        <v>1139.0</v>
      </c>
      <c r="B1139" s="230" t="s">
        <v>5251</v>
      </c>
      <c r="C1139" s="231"/>
      <c r="D1139" s="232"/>
      <c r="E1139" s="232">
        <f>IFERROR(__xludf.DUMMYFUNCTION("iferror(SPLIT(D1139,""/""),split(""0/0"",""/""))"),0.0)</f>
        <v>0</v>
      </c>
      <c r="F1139" s="232">
        <f>IFERROR(__xludf.DUMMYFUNCTION("""COMPUTED_VALUE"""),0.0)</f>
        <v>0</v>
      </c>
      <c r="G1139" s="247" t="b">
        <v>0</v>
      </c>
      <c r="H1139" s="242" t="str">
        <f t="shared" si="1"/>
        <v/>
      </c>
      <c r="I1139" s="362" t="s">
        <v>5286</v>
      </c>
      <c r="J1139" s="265" t="str">
        <f t="shared" si="2"/>
        <v>Complete every advancement in the Nether tab</v>
      </c>
      <c r="K1139" s="266"/>
      <c r="L1139" s="267"/>
      <c r="M1139" s="266"/>
      <c r="N1139" s="266" t="s">
        <v>5287</v>
      </c>
      <c r="O1139" s="239" t="s">
        <v>1230</v>
      </c>
      <c r="P1139" s="268" t="s">
        <v>5216</v>
      </c>
      <c r="Q1139" s="269" t="s">
        <v>5288</v>
      </c>
      <c r="R1139" s="268" t="s">
        <v>194</v>
      </c>
      <c r="S1139" s="269"/>
    </row>
    <row r="1140">
      <c r="A1140" s="230">
        <v>1140.0</v>
      </c>
      <c r="B1140" s="230" t="s">
        <v>5251</v>
      </c>
      <c r="C1140" s="231"/>
      <c r="D1140" s="232"/>
      <c r="E1140" s="232">
        <f>IFERROR(__xludf.DUMMYFUNCTION("iferror(SPLIT(D1140,""/""),split(""0/0"",""/""))"),0.0)</f>
        <v>0</v>
      </c>
      <c r="F1140" s="232">
        <f>IFERROR(__xludf.DUMMYFUNCTION("""COMPUTED_VALUE"""),0.0)</f>
        <v>0</v>
      </c>
      <c r="G1140" s="247" t="b">
        <v>0</v>
      </c>
      <c r="H1140" s="242" t="str">
        <f t="shared" si="1"/>
        <v/>
      </c>
      <c r="I1140" s="362" t="s">
        <v>5289</v>
      </c>
      <c r="J1140" s="265" t="str">
        <f t="shared" si="2"/>
        <v>Complete every advancement in the Potions tab</v>
      </c>
      <c r="K1140" s="266"/>
      <c r="L1140" s="267"/>
      <c r="M1140" s="266"/>
      <c r="N1140" s="266" t="s">
        <v>5290</v>
      </c>
      <c r="O1140" s="239" t="s">
        <v>1996</v>
      </c>
      <c r="P1140" s="268" t="s">
        <v>5216</v>
      </c>
      <c r="Q1140" s="269" t="s">
        <v>5291</v>
      </c>
      <c r="R1140" s="268" t="s">
        <v>194</v>
      </c>
      <c r="S1140" s="269"/>
    </row>
    <row r="1141">
      <c r="A1141" s="230">
        <v>1141.0</v>
      </c>
      <c r="B1141" s="230" t="s">
        <v>5251</v>
      </c>
      <c r="C1141" s="231"/>
      <c r="D1141" s="232"/>
      <c r="E1141" s="232">
        <f>IFERROR(__xludf.DUMMYFUNCTION("iferror(SPLIT(D1141,""/""),split(""0/0"",""/""))"),0.0)</f>
        <v>0</v>
      </c>
      <c r="F1141" s="232">
        <f>IFERROR(__xludf.DUMMYFUNCTION("""COMPUTED_VALUE"""),0.0)</f>
        <v>0</v>
      </c>
      <c r="G1141" s="247" t="b">
        <v>0</v>
      </c>
      <c r="H1141" s="242" t="str">
        <f t="shared" si="1"/>
        <v/>
      </c>
      <c r="I1141" s="362" t="s">
        <v>5292</v>
      </c>
      <c r="J1141" s="265" t="str">
        <f t="shared" si="2"/>
        <v>Complete every advancement in the End tab</v>
      </c>
      <c r="K1141" s="266"/>
      <c r="L1141" s="267"/>
      <c r="M1141" s="266"/>
      <c r="N1141" s="266" t="s">
        <v>5293</v>
      </c>
      <c r="O1141" s="239" t="s">
        <v>4403</v>
      </c>
      <c r="P1141" s="268" t="s">
        <v>5216</v>
      </c>
      <c r="Q1141" s="269" t="s">
        <v>5294</v>
      </c>
      <c r="R1141" s="268" t="s">
        <v>194</v>
      </c>
      <c r="S1141" s="269"/>
    </row>
    <row r="1142">
      <c r="A1142" s="230">
        <v>1142.0</v>
      </c>
      <c r="B1142" s="230" t="s">
        <v>5251</v>
      </c>
      <c r="C1142" s="231"/>
      <c r="D1142" s="232"/>
      <c r="E1142" s="232">
        <f>IFERROR(__xludf.DUMMYFUNCTION("iferror(SPLIT(D1142,""/""),split(""0/0"",""/""))"),0.0)</f>
        <v>0</v>
      </c>
      <c r="F1142" s="232">
        <f>IFERROR(__xludf.DUMMYFUNCTION("""COMPUTED_VALUE"""),0.0)</f>
        <v>0</v>
      </c>
      <c r="G1142" s="247" t="b">
        <v>0</v>
      </c>
      <c r="H1142" s="242" t="str">
        <f t="shared" si="1"/>
        <v/>
      </c>
      <c r="I1142" s="362" t="s">
        <v>5295</v>
      </c>
      <c r="J1142" s="265" t="str">
        <f t="shared" si="2"/>
        <v>Complete every advancement in the Super Challenges tab. Good luck with this one ;)</v>
      </c>
      <c r="K1142" s="266"/>
      <c r="L1142" s="267"/>
      <c r="M1142" s="266"/>
      <c r="N1142" s="266" t="s">
        <v>5296</v>
      </c>
      <c r="O1142" s="239" t="s">
        <v>922</v>
      </c>
      <c r="P1142" s="268" t="s">
        <v>5216</v>
      </c>
      <c r="Q1142" s="269" t="s">
        <v>5297</v>
      </c>
      <c r="R1142" s="268" t="s">
        <v>194</v>
      </c>
      <c r="S1142" s="269"/>
    </row>
    <row r="1143">
      <c r="A1143" s="230">
        <v>1143.0</v>
      </c>
      <c r="B1143" s="230" t="s">
        <v>5251</v>
      </c>
      <c r="C1143" s="231"/>
      <c r="D1143" s="232"/>
      <c r="E1143" s="232">
        <f>IFERROR(__xludf.DUMMYFUNCTION("iferror(SPLIT(D1143,""/""),split(""0/0"",""/""))"),0.0)</f>
        <v>0</v>
      </c>
      <c r="F1143" s="232">
        <f>IFERROR(__xludf.DUMMYFUNCTION("""COMPUTED_VALUE"""),0.0)</f>
        <v>0</v>
      </c>
      <c r="G1143" s="247" t="b">
        <v>0</v>
      </c>
      <c r="H1143" s="242" t="str">
        <f t="shared" si="1"/>
        <v/>
      </c>
      <c r="I1143" s="364" t="s">
        <v>5298</v>
      </c>
      <c r="J1143" s="265" t="str">
        <f t="shared" si="2"/>
        <v>Complete every single advancement in BlazeandCave's Advancements Pack (Every advancement except for "Advancement Legend", of course ;))</v>
      </c>
      <c r="K1143" s="266"/>
      <c r="L1143" s="267"/>
      <c r="M1143" s="266" t="s">
        <v>5299</v>
      </c>
      <c r="N1143" s="266" t="s">
        <v>5300</v>
      </c>
      <c r="O1143" s="239" t="s">
        <v>2283</v>
      </c>
      <c r="P1143" s="268" t="s">
        <v>5216</v>
      </c>
      <c r="Q1143" s="269" t="s">
        <v>5301</v>
      </c>
      <c r="R1143" s="268" t="s">
        <v>194</v>
      </c>
      <c r="S1143" s="269"/>
    </row>
  </sheetData>
  <autoFilter ref="$A$1:$S$1143">
    <sortState ref="A1:S1143">
      <sortCondition ref="A1:A1143"/>
      <sortCondition descending="1" ref="B1:B1143"/>
      <sortCondition ref="P1:P1143"/>
      <sortCondition ref="I1:I1143"/>
      <sortCondition ref="S1:S1143"/>
    </sortState>
  </autoFilter>
  <conditionalFormatting sqref="S748">
    <cfRule type="expression" dxfId="4" priority="1">
      <formula>$C748=TRUE</formula>
    </cfRule>
  </conditionalFormatting>
  <conditionalFormatting sqref="S748">
    <cfRule type="expression" dxfId="5" priority="2">
      <formula>$I748="Description"</formula>
    </cfRule>
  </conditionalFormatting>
  <conditionalFormatting sqref="S748">
    <cfRule type="expression" dxfId="6" priority="3">
      <formula>$I748="Description"</formula>
    </cfRule>
  </conditionalFormatting>
  <conditionalFormatting sqref="A1:S1143">
    <cfRule type="expression" dxfId="3" priority="4">
      <formula>$G1=TRUE</formula>
    </cfRule>
  </conditionalFormatting>
  <conditionalFormatting sqref="A1:S1143">
    <cfRule type="cellIs" dxfId="7" priority="5" operator="equal">
      <formula>"Subset"</formula>
    </cfRule>
  </conditionalFormatting>
  <conditionalFormatting sqref="A1:S1143">
    <cfRule type="cellIs" dxfId="8" priority="6" operator="equal">
      <formula>"Super Set"</formula>
    </cfRule>
  </conditionalFormatting>
  <conditionalFormatting sqref="A1:S1143">
    <cfRule type="cellIs" dxfId="9" priority="7" operator="equal">
      <formula>"Incidental"</formula>
    </cfRule>
  </conditionalFormatting>
  <conditionalFormatting sqref="A1:S1143">
    <cfRule type="cellIs" dxfId="10" priority="8" operator="equal">
      <formula>"Unique"</formula>
    </cfRule>
  </conditionalFormatting>
  <conditionalFormatting sqref="A1:S1143">
    <cfRule type="cellIs" dxfId="11" priority="9" operator="equal">
      <formula>"Child"</formula>
    </cfRule>
  </conditionalFormatting>
  <hyperlinks>
    <hyperlink r:id="rId1" location="Burning_blocks" ref="M20"/>
    <hyperlink r:id="rId2" ref="M137"/>
    <hyperlink r:id="rId3" location="List_of_blocks" ref="M1022"/>
    <hyperlink r:id="rId4" location="List_of_items" ref="M1023"/>
  </hyperlinks>
  <drawing r:id="rId5"/>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9900"/>
    <outlinePr summaryBelow="0" summaryRight="0"/>
  </sheetPr>
  <sheetViews>
    <sheetView workbookViewId="0"/>
  </sheetViews>
  <sheetFormatPr customHeight="1" defaultColWidth="12.63" defaultRowHeight="15.75"/>
  <cols>
    <col customWidth="1" min="1" max="1" width="3.25"/>
    <col customWidth="1" min="2" max="2" width="15.63"/>
    <col customWidth="1" min="3" max="3" width="3.88"/>
    <col customWidth="1" min="4" max="4" width="3.25"/>
    <col customWidth="1" min="5" max="5" width="31.5"/>
    <col customWidth="1" min="6" max="6" width="8.38"/>
    <col customWidth="1" min="7" max="7" width="30.25"/>
    <col customWidth="1" min="8" max="8" width="33.75"/>
  </cols>
  <sheetData>
    <row r="1">
      <c r="A1" s="304" t="b">
        <v>1</v>
      </c>
      <c r="B1" s="228" t="s">
        <v>5302</v>
      </c>
      <c r="C1" s="365" t="s">
        <v>176</v>
      </c>
      <c r="D1" s="366"/>
      <c r="E1" s="228" t="s">
        <v>5303</v>
      </c>
      <c r="F1" s="223" t="s">
        <v>5304</v>
      </c>
      <c r="G1" s="223" t="s">
        <v>5305</v>
      </c>
      <c r="H1" s="223" t="s">
        <v>145</v>
      </c>
    </row>
    <row r="2">
      <c r="B2" s="367"/>
      <c r="C2" s="208" t="b">
        <v>0</v>
      </c>
      <c r="D2" s="233" t="str">
        <f t="shared" ref="D2:D222" si="1">image(CONCATENATE("https://nerothe.com/img/1.21/minecraft_",G2,".png"))</f>
        <v/>
      </c>
      <c r="E2" s="368" t="s">
        <v>5306</v>
      </c>
      <c r="F2" s="208">
        <v>1.0</v>
      </c>
      <c r="G2" s="208" t="s">
        <v>4203</v>
      </c>
      <c r="H2" s="208"/>
    </row>
    <row r="3">
      <c r="B3" s="367"/>
      <c r="C3" s="208" t="b">
        <v>0</v>
      </c>
      <c r="D3" s="369" t="str">
        <f t="shared" si="1"/>
        <v/>
      </c>
      <c r="E3" s="368" t="s">
        <v>5307</v>
      </c>
      <c r="F3" s="208">
        <v>64.0</v>
      </c>
      <c r="G3" s="208" t="s">
        <v>5308</v>
      </c>
      <c r="H3" s="208"/>
    </row>
    <row r="4">
      <c r="B4" s="367"/>
      <c r="C4" s="208" t="b">
        <v>0</v>
      </c>
      <c r="D4" s="369" t="str">
        <f t="shared" si="1"/>
        <v/>
      </c>
      <c r="E4" s="368" t="s">
        <v>5309</v>
      </c>
      <c r="F4" s="208">
        <v>1.0</v>
      </c>
      <c r="G4" s="208" t="s">
        <v>5310</v>
      </c>
      <c r="H4" s="208"/>
    </row>
    <row r="5">
      <c r="B5" s="367"/>
      <c r="C5" s="208" t="b">
        <v>0</v>
      </c>
      <c r="D5" s="369" t="str">
        <f t="shared" si="1"/>
        <v/>
      </c>
      <c r="E5" s="368" t="s">
        <v>5311</v>
      </c>
      <c r="F5" s="208">
        <v>64.0</v>
      </c>
      <c r="G5" s="208" t="s">
        <v>5312</v>
      </c>
      <c r="H5" s="208"/>
    </row>
    <row r="6">
      <c r="B6" s="367"/>
      <c r="C6" s="208" t="b">
        <v>0</v>
      </c>
      <c r="D6" s="369" t="str">
        <f t="shared" si="1"/>
        <v/>
      </c>
      <c r="E6" s="368" t="s">
        <v>5313</v>
      </c>
      <c r="F6" s="208">
        <v>64.0</v>
      </c>
      <c r="G6" s="208" t="s">
        <v>5314</v>
      </c>
      <c r="H6" s="208"/>
    </row>
    <row r="7">
      <c r="B7" s="367"/>
      <c r="C7" s="208" t="b">
        <v>0</v>
      </c>
      <c r="D7" s="369" t="str">
        <f t="shared" si="1"/>
        <v/>
      </c>
      <c r="E7" s="368" t="s">
        <v>5315</v>
      </c>
      <c r="F7" s="208">
        <v>64.0</v>
      </c>
      <c r="G7" s="208" t="s">
        <v>5316</v>
      </c>
      <c r="H7" s="208"/>
    </row>
    <row r="8">
      <c r="B8" s="367"/>
      <c r="C8" s="208" t="b">
        <v>0</v>
      </c>
      <c r="D8" s="369" t="str">
        <f t="shared" si="1"/>
        <v/>
      </c>
      <c r="E8" s="368" t="s">
        <v>5317</v>
      </c>
      <c r="F8" s="208">
        <v>16.0</v>
      </c>
      <c r="G8" s="208" t="s">
        <v>5318</v>
      </c>
      <c r="H8" s="208"/>
    </row>
    <row r="9">
      <c r="B9" s="370"/>
      <c r="C9" s="208" t="b">
        <v>0</v>
      </c>
      <c r="D9" s="369" t="str">
        <f t="shared" si="1"/>
        <v/>
      </c>
      <c r="E9" s="368" t="s">
        <v>5319</v>
      </c>
      <c r="F9" s="208">
        <v>64.0</v>
      </c>
      <c r="G9" s="208" t="s">
        <v>3852</v>
      </c>
      <c r="H9" s="208"/>
    </row>
    <row r="10">
      <c r="B10" s="370"/>
      <c r="C10" s="208" t="b">
        <v>0</v>
      </c>
      <c r="D10" s="369" t="str">
        <f t="shared" si="1"/>
        <v/>
      </c>
      <c r="E10" s="368" t="s">
        <v>5320</v>
      </c>
      <c r="F10" s="208">
        <v>64.0</v>
      </c>
      <c r="G10" s="208" t="s">
        <v>1078</v>
      </c>
      <c r="H10" s="208"/>
    </row>
    <row r="11">
      <c r="B11" s="370"/>
      <c r="C11" s="208" t="b">
        <v>0</v>
      </c>
      <c r="D11" s="369" t="str">
        <f t="shared" si="1"/>
        <v/>
      </c>
      <c r="E11" s="368" t="s">
        <v>5321</v>
      </c>
      <c r="F11" s="208">
        <v>64.0</v>
      </c>
      <c r="G11" s="208" t="s">
        <v>5322</v>
      </c>
      <c r="H11" s="208"/>
    </row>
    <row r="12">
      <c r="B12" s="370"/>
      <c r="C12" s="208" t="b">
        <v>0</v>
      </c>
      <c r="D12" s="369" t="str">
        <f t="shared" si="1"/>
        <v/>
      </c>
      <c r="E12" s="368" t="s">
        <v>5323</v>
      </c>
      <c r="F12" s="208">
        <v>64.0</v>
      </c>
      <c r="G12" s="208" t="s">
        <v>5324</v>
      </c>
      <c r="H12" s="208"/>
    </row>
    <row r="13">
      <c r="B13" s="370"/>
      <c r="C13" s="208" t="b">
        <v>0</v>
      </c>
      <c r="D13" s="369" t="str">
        <f t="shared" si="1"/>
        <v/>
      </c>
      <c r="E13" s="368" t="s">
        <v>5325</v>
      </c>
      <c r="F13" s="208">
        <v>64.0</v>
      </c>
      <c r="G13" s="208" t="s">
        <v>1063</v>
      </c>
      <c r="H13" s="208"/>
    </row>
    <row r="14">
      <c r="B14" s="367"/>
      <c r="C14" s="208" t="b">
        <v>0</v>
      </c>
      <c r="D14" s="369" t="str">
        <f t="shared" si="1"/>
        <v/>
      </c>
      <c r="E14" s="368" t="s">
        <v>5326</v>
      </c>
      <c r="F14" s="208">
        <v>16.0</v>
      </c>
      <c r="G14" s="208" t="s">
        <v>5327</v>
      </c>
      <c r="H14" s="208"/>
    </row>
    <row r="15">
      <c r="B15" s="367"/>
      <c r="C15" s="208" t="b">
        <v>0</v>
      </c>
      <c r="D15" s="369" t="str">
        <f t="shared" si="1"/>
        <v/>
      </c>
      <c r="E15" s="368" t="s">
        <v>5328</v>
      </c>
      <c r="F15" s="208">
        <v>64.0</v>
      </c>
      <c r="G15" s="208" t="s">
        <v>5329</v>
      </c>
      <c r="H15" s="208"/>
    </row>
    <row r="16">
      <c r="B16" s="367"/>
      <c r="C16" s="208" t="b">
        <v>0</v>
      </c>
      <c r="D16" s="369" t="str">
        <f t="shared" si="1"/>
        <v/>
      </c>
      <c r="E16" s="368" t="s">
        <v>5330</v>
      </c>
      <c r="F16" s="208">
        <v>64.0</v>
      </c>
      <c r="G16" s="208" t="s">
        <v>5331</v>
      </c>
      <c r="H16" s="208"/>
    </row>
    <row r="17">
      <c r="B17" s="367"/>
      <c r="C17" s="208" t="b">
        <v>0</v>
      </c>
      <c r="D17" s="369" t="str">
        <f t="shared" si="1"/>
        <v/>
      </c>
      <c r="E17" s="368" t="s">
        <v>5332</v>
      </c>
      <c r="F17" s="208">
        <v>64.0</v>
      </c>
      <c r="G17" s="208" t="s">
        <v>5333</v>
      </c>
      <c r="H17" s="208"/>
    </row>
    <row r="18">
      <c r="B18" s="367"/>
      <c r="C18" s="208" t="b">
        <v>0</v>
      </c>
      <c r="D18" s="369" t="str">
        <f t="shared" si="1"/>
        <v/>
      </c>
      <c r="E18" s="368" t="s">
        <v>5334</v>
      </c>
      <c r="F18" s="208">
        <v>64.0</v>
      </c>
      <c r="G18" s="208" t="s">
        <v>5335</v>
      </c>
      <c r="H18" s="208"/>
    </row>
    <row r="19">
      <c r="B19" s="367"/>
      <c r="C19" s="208" t="b">
        <v>0</v>
      </c>
      <c r="D19" s="369" t="str">
        <f t="shared" si="1"/>
        <v/>
      </c>
      <c r="E19" s="368" t="s">
        <v>5336</v>
      </c>
      <c r="F19" s="208">
        <v>64.0</v>
      </c>
      <c r="G19" s="208" t="s">
        <v>3579</v>
      </c>
      <c r="H19" s="208"/>
    </row>
    <row r="20">
      <c r="B20" s="370"/>
      <c r="C20" s="208" t="b">
        <v>0</v>
      </c>
      <c r="D20" s="369" t="str">
        <f t="shared" si="1"/>
        <v/>
      </c>
      <c r="E20" s="368" t="s">
        <v>5337</v>
      </c>
      <c r="F20" s="208">
        <v>64.0</v>
      </c>
      <c r="G20" s="208" t="s">
        <v>4972</v>
      </c>
      <c r="H20" s="208"/>
    </row>
    <row r="21">
      <c r="B21" s="370"/>
      <c r="C21" s="208" t="b">
        <v>0</v>
      </c>
      <c r="D21" s="369" t="str">
        <f t="shared" si="1"/>
        <v/>
      </c>
      <c r="E21" s="368" t="s">
        <v>5338</v>
      </c>
      <c r="F21" s="208">
        <v>64.0</v>
      </c>
      <c r="G21" s="208" t="s">
        <v>657</v>
      </c>
      <c r="H21" s="208"/>
    </row>
    <row r="22">
      <c r="B22" s="367" t="s">
        <v>1343</v>
      </c>
      <c r="C22" s="208" t="b">
        <v>0</v>
      </c>
      <c r="D22" s="371" t="str">
        <f t="shared" si="1"/>
        <v/>
      </c>
      <c r="E22" s="368" t="s">
        <v>5339</v>
      </c>
      <c r="F22" s="208">
        <v>64.0</v>
      </c>
      <c r="G22" s="208" t="s">
        <v>635</v>
      </c>
      <c r="H22" s="208"/>
    </row>
    <row r="23">
      <c r="B23" s="370"/>
      <c r="C23" s="208" t="b">
        <v>0</v>
      </c>
      <c r="D23" s="369" t="str">
        <f t="shared" si="1"/>
        <v/>
      </c>
      <c r="E23" s="368" t="s">
        <v>5340</v>
      </c>
      <c r="F23" s="208">
        <v>64.0</v>
      </c>
      <c r="G23" s="208" t="s">
        <v>3098</v>
      </c>
      <c r="H23" s="208"/>
    </row>
    <row r="24">
      <c r="B24" s="367" t="s">
        <v>5341</v>
      </c>
      <c r="C24" s="208" t="b">
        <v>0</v>
      </c>
      <c r="D24" s="369" t="str">
        <f t="shared" si="1"/>
        <v/>
      </c>
      <c r="E24" s="368" t="s">
        <v>5342</v>
      </c>
      <c r="F24" s="208">
        <v>64.0</v>
      </c>
      <c r="G24" s="208" t="s">
        <v>4347</v>
      </c>
      <c r="H24" s="208"/>
    </row>
    <row r="25">
      <c r="B25" s="367"/>
      <c r="C25" s="208" t="b">
        <v>0</v>
      </c>
      <c r="D25" s="369" t="str">
        <f t="shared" si="1"/>
        <v/>
      </c>
      <c r="E25" s="368" t="s">
        <v>5343</v>
      </c>
      <c r="F25" s="208">
        <v>64.0</v>
      </c>
      <c r="G25" s="208" t="s">
        <v>5344</v>
      </c>
      <c r="H25" s="208"/>
    </row>
    <row r="26">
      <c r="B26" s="367"/>
      <c r="C26" s="208" t="b">
        <v>0</v>
      </c>
      <c r="D26" s="369" t="str">
        <f t="shared" si="1"/>
        <v/>
      </c>
      <c r="E26" s="368" t="s">
        <v>5345</v>
      </c>
      <c r="F26" s="208">
        <v>64.0</v>
      </c>
      <c r="G26" s="208" t="s">
        <v>5346</v>
      </c>
      <c r="H26" s="208"/>
    </row>
    <row r="27">
      <c r="B27" s="367"/>
      <c r="C27" s="208" t="b">
        <v>0</v>
      </c>
      <c r="D27" s="369" t="str">
        <f t="shared" si="1"/>
        <v/>
      </c>
      <c r="E27" s="368" t="s">
        <v>5347</v>
      </c>
      <c r="F27" s="208">
        <v>64.0</v>
      </c>
      <c r="G27" s="208" t="s">
        <v>5348</v>
      </c>
      <c r="H27" s="208"/>
    </row>
    <row r="28">
      <c r="B28" s="367"/>
      <c r="C28" s="208" t="b">
        <v>0</v>
      </c>
      <c r="D28" s="369" t="str">
        <f t="shared" si="1"/>
        <v/>
      </c>
      <c r="E28" s="368" t="s">
        <v>5349</v>
      </c>
      <c r="F28" s="208">
        <v>64.0</v>
      </c>
      <c r="G28" s="208" t="s">
        <v>5350</v>
      </c>
      <c r="H28" s="208"/>
    </row>
    <row r="29">
      <c r="B29" s="367" t="s">
        <v>2905</v>
      </c>
      <c r="C29" s="208" t="b">
        <v>0</v>
      </c>
      <c r="D29" s="369" t="str">
        <f t="shared" si="1"/>
        <v/>
      </c>
      <c r="E29" s="368" t="s">
        <v>5351</v>
      </c>
      <c r="F29" s="208">
        <v>1.0</v>
      </c>
      <c r="G29" s="208" t="s">
        <v>5352</v>
      </c>
      <c r="H29" s="208"/>
    </row>
    <row r="30">
      <c r="B30" s="367"/>
      <c r="C30" s="208" t="b">
        <v>0</v>
      </c>
      <c r="D30" s="369" t="str">
        <f t="shared" si="1"/>
        <v/>
      </c>
      <c r="E30" s="368" t="s">
        <v>5353</v>
      </c>
      <c r="F30" s="208">
        <v>64.0</v>
      </c>
      <c r="G30" s="208" t="s">
        <v>3763</v>
      </c>
      <c r="H30" s="208"/>
    </row>
    <row r="31">
      <c r="B31" s="367"/>
      <c r="C31" s="208" t="b">
        <v>0</v>
      </c>
      <c r="D31" s="369" t="str">
        <f t="shared" si="1"/>
        <v/>
      </c>
      <c r="E31" s="368" t="s">
        <v>5354</v>
      </c>
      <c r="F31" s="208">
        <v>64.0</v>
      </c>
      <c r="G31" s="208" t="s">
        <v>1319</v>
      </c>
      <c r="H31" s="208"/>
    </row>
    <row r="32">
      <c r="B32" s="367" t="s">
        <v>2905</v>
      </c>
      <c r="C32" s="208" t="b">
        <v>0</v>
      </c>
      <c r="D32" s="369" t="str">
        <f t="shared" si="1"/>
        <v/>
      </c>
      <c r="E32" s="368" t="s">
        <v>5355</v>
      </c>
      <c r="F32" s="208">
        <v>1.0</v>
      </c>
      <c r="G32" s="208" t="s">
        <v>5356</v>
      </c>
      <c r="H32" s="208"/>
    </row>
    <row r="33">
      <c r="B33" s="370"/>
      <c r="C33" s="208" t="b">
        <v>0</v>
      </c>
      <c r="D33" s="369" t="str">
        <f t="shared" si="1"/>
        <v/>
      </c>
      <c r="E33" s="368" t="s">
        <v>5357</v>
      </c>
      <c r="F33" s="208">
        <v>64.0</v>
      </c>
      <c r="G33" s="208" t="s">
        <v>2049</v>
      </c>
      <c r="H33" s="208"/>
    </row>
    <row r="34">
      <c r="B34" s="367"/>
      <c r="C34" s="208" t="b">
        <v>0</v>
      </c>
      <c r="D34" s="369" t="str">
        <f t="shared" si="1"/>
        <v/>
      </c>
      <c r="E34" s="368" t="s">
        <v>5358</v>
      </c>
      <c r="F34" s="208">
        <v>16.0</v>
      </c>
      <c r="G34" s="208" t="s">
        <v>1269</v>
      </c>
      <c r="H34" s="208"/>
    </row>
    <row r="35">
      <c r="B35" s="367" t="s">
        <v>2905</v>
      </c>
      <c r="C35" s="208" t="b">
        <v>0</v>
      </c>
      <c r="D35" s="369" t="str">
        <f t="shared" si="1"/>
        <v/>
      </c>
      <c r="E35" s="368" t="s">
        <v>5359</v>
      </c>
      <c r="F35" s="208">
        <v>1.0</v>
      </c>
      <c r="G35" s="208" t="s">
        <v>5360</v>
      </c>
      <c r="H35" s="208"/>
    </row>
    <row r="36">
      <c r="B36" s="367"/>
      <c r="C36" s="208" t="b">
        <v>0</v>
      </c>
      <c r="D36" s="369" t="str">
        <f t="shared" si="1"/>
        <v/>
      </c>
      <c r="E36" s="368" t="s">
        <v>5361</v>
      </c>
      <c r="F36" s="208">
        <v>64.0</v>
      </c>
      <c r="G36" s="208" t="s">
        <v>2474</v>
      </c>
      <c r="H36" s="208"/>
    </row>
    <row r="37">
      <c r="B37" s="367"/>
      <c r="C37" s="208" t="b">
        <v>0</v>
      </c>
      <c r="D37" s="369" t="str">
        <f t="shared" si="1"/>
        <v/>
      </c>
      <c r="E37" s="368" t="s">
        <v>5362</v>
      </c>
      <c r="F37" s="208">
        <v>1.0</v>
      </c>
      <c r="G37" s="208" t="s">
        <v>2146</v>
      </c>
      <c r="H37" s="208"/>
    </row>
    <row r="38">
      <c r="B38" s="370"/>
      <c r="C38" s="208" t="b">
        <v>0</v>
      </c>
      <c r="D38" s="369" t="str">
        <f t="shared" si="1"/>
        <v/>
      </c>
      <c r="E38" s="368" t="s">
        <v>5363</v>
      </c>
      <c r="F38" s="208">
        <v>64.0</v>
      </c>
      <c r="G38" s="208" t="s">
        <v>5364</v>
      </c>
      <c r="H38" s="208"/>
    </row>
    <row r="39">
      <c r="B39" s="370"/>
      <c r="C39" s="208" t="b">
        <v>0</v>
      </c>
      <c r="D39" s="369" t="str">
        <f t="shared" si="1"/>
        <v/>
      </c>
      <c r="E39" s="368" t="s">
        <v>5365</v>
      </c>
      <c r="F39" s="208">
        <v>64.0</v>
      </c>
      <c r="G39" s="208" t="s">
        <v>5366</v>
      </c>
      <c r="H39" s="208"/>
    </row>
    <row r="40">
      <c r="B40" s="370"/>
      <c r="C40" s="208" t="b">
        <v>0</v>
      </c>
      <c r="D40" s="369" t="str">
        <f t="shared" si="1"/>
        <v/>
      </c>
      <c r="E40" s="368" t="s">
        <v>5367</v>
      </c>
      <c r="F40" s="208">
        <v>64.0</v>
      </c>
      <c r="G40" s="208" t="s">
        <v>2859</v>
      </c>
      <c r="H40" s="208"/>
    </row>
    <row r="41">
      <c r="B41" s="367"/>
      <c r="C41" s="208" t="b">
        <v>0</v>
      </c>
      <c r="D41" s="369" t="str">
        <f t="shared" si="1"/>
        <v/>
      </c>
      <c r="E41" s="368" t="s">
        <v>5368</v>
      </c>
      <c r="F41" s="208">
        <v>64.0</v>
      </c>
      <c r="G41" s="208" t="s">
        <v>5369</v>
      </c>
      <c r="H41" s="208"/>
    </row>
    <row r="42">
      <c r="B42" s="370"/>
      <c r="C42" s="208" t="b">
        <v>0</v>
      </c>
      <c r="D42" s="369" t="str">
        <f t="shared" si="1"/>
        <v/>
      </c>
      <c r="E42" s="368" t="s">
        <v>5370</v>
      </c>
      <c r="F42" s="208">
        <v>64.0</v>
      </c>
      <c r="G42" s="208" t="s">
        <v>1053</v>
      </c>
      <c r="H42" s="208"/>
    </row>
    <row r="43">
      <c r="B43" s="370"/>
      <c r="C43" s="208" t="b">
        <v>0</v>
      </c>
      <c r="D43" s="369" t="str">
        <f t="shared" si="1"/>
        <v/>
      </c>
      <c r="E43" s="368" t="s">
        <v>5371</v>
      </c>
      <c r="F43" s="208">
        <v>64.0</v>
      </c>
      <c r="G43" s="208" t="s">
        <v>5372</v>
      </c>
      <c r="H43" s="208"/>
    </row>
    <row r="44">
      <c r="B44" s="367"/>
      <c r="C44" s="208" t="b">
        <v>0</v>
      </c>
      <c r="D44" s="369" t="str">
        <f t="shared" si="1"/>
        <v/>
      </c>
      <c r="E44" s="368" t="s">
        <v>5373</v>
      </c>
      <c r="F44" s="208">
        <v>64.0</v>
      </c>
      <c r="G44" s="208" t="s">
        <v>5374</v>
      </c>
      <c r="H44" s="208"/>
    </row>
    <row r="45">
      <c r="B45" s="367"/>
      <c r="C45" s="208" t="b">
        <v>0</v>
      </c>
      <c r="D45" s="369" t="str">
        <f t="shared" si="1"/>
        <v/>
      </c>
      <c r="E45" s="368" t="s">
        <v>5375</v>
      </c>
      <c r="F45" s="208">
        <v>1.0</v>
      </c>
      <c r="G45" s="208" t="s">
        <v>5376</v>
      </c>
      <c r="H45" s="208"/>
    </row>
    <row r="46">
      <c r="B46" s="367"/>
      <c r="C46" s="208" t="b">
        <v>0</v>
      </c>
      <c r="D46" s="369" t="str">
        <f t="shared" si="1"/>
        <v/>
      </c>
      <c r="E46" s="368" t="s">
        <v>5377</v>
      </c>
      <c r="F46" s="208">
        <v>64.0</v>
      </c>
      <c r="G46" s="208" t="s">
        <v>5378</v>
      </c>
      <c r="H46" s="208"/>
    </row>
    <row r="47">
      <c r="B47" s="367"/>
      <c r="C47" s="208" t="b">
        <v>0</v>
      </c>
      <c r="D47" s="369" t="str">
        <f t="shared" si="1"/>
        <v/>
      </c>
      <c r="E47" s="368" t="s">
        <v>5379</v>
      </c>
      <c r="F47" s="208">
        <v>64.0</v>
      </c>
      <c r="G47" s="208" t="s">
        <v>5380</v>
      </c>
      <c r="H47" s="208"/>
    </row>
    <row r="48">
      <c r="B48" s="367"/>
      <c r="C48" s="208" t="b">
        <v>0</v>
      </c>
      <c r="D48" s="369" t="str">
        <f t="shared" si="1"/>
        <v/>
      </c>
      <c r="E48" s="368" t="s">
        <v>5381</v>
      </c>
      <c r="F48" s="208">
        <v>64.0</v>
      </c>
      <c r="G48" s="208" t="s">
        <v>5382</v>
      </c>
      <c r="H48" s="208"/>
    </row>
    <row r="49">
      <c r="B49" s="367"/>
      <c r="C49" s="208" t="b">
        <v>0</v>
      </c>
      <c r="D49" s="369" t="str">
        <f t="shared" si="1"/>
        <v/>
      </c>
      <c r="E49" s="368" t="s">
        <v>5383</v>
      </c>
      <c r="F49" s="208">
        <v>16.0</v>
      </c>
      <c r="G49" s="208" t="s">
        <v>5384</v>
      </c>
      <c r="H49" s="208"/>
    </row>
    <row r="50">
      <c r="B50" s="367"/>
      <c r="C50" s="208" t="b">
        <v>0</v>
      </c>
      <c r="D50" s="369" t="str">
        <f t="shared" si="1"/>
        <v/>
      </c>
      <c r="E50" s="368" t="s">
        <v>5385</v>
      </c>
      <c r="F50" s="208">
        <v>64.0</v>
      </c>
      <c r="G50" s="208" t="s">
        <v>5386</v>
      </c>
      <c r="H50" s="208"/>
    </row>
    <row r="51">
      <c r="B51" s="367"/>
      <c r="C51" s="208" t="b">
        <v>0</v>
      </c>
      <c r="D51" s="369" t="str">
        <f t="shared" si="1"/>
        <v/>
      </c>
      <c r="E51" s="368" t="s">
        <v>5387</v>
      </c>
      <c r="F51" s="208">
        <v>64.0</v>
      </c>
      <c r="G51" s="208" t="s">
        <v>5388</v>
      </c>
      <c r="H51" s="208"/>
    </row>
    <row r="52">
      <c r="B52" s="367"/>
      <c r="C52" s="208" t="b">
        <v>0</v>
      </c>
      <c r="D52" s="369" t="str">
        <f t="shared" si="1"/>
        <v/>
      </c>
      <c r="E52" s="368" t="s">
        <v>5389</v>
      </c>
      <c r="F52" s="208">
        <v>64.0</v>
      </c>
      <c r="G52" s="208" t="s">
        <v>5390</v>
      </c>
      <c r="H52" s="208"/>
    </row>
    <row r="53">
      <c r="B53" s="367"/>
      <c r="C53" s="208" t="b">
        <v>0</v>
      </c>
      <c r="D53" s="369" t="str">
        <f t="shared" si="1"/>
        <v/>
      </c>
      <c r="E53" s="368" t="s">
        <v>5391</v>
      </c>
      <c r="F53" s="208">
        <v>64.0</v>
      </c>
      <c r="G53" s="208" t="s">
        <v>5392</v>
      </c>
      <c r="H53" s="208"/>
    </row>
    <row r="54">
      <c r="B54" s="367"/>
      <c r="C54" s="208" t="b">
        <v>0</v>
      </c>
      <c r="D54" s="369" t="str">
        <f t="shared" si="1"/>
        <v/>
      </c>
      <c r="E54" s="368" t="s">
        <v>5393</v>
      </c>
      <c r="F54" s="208">
        <v>64.0</v>
      </c>
      <c r="G54" s="208" t="s">
        <v>5394</v>
      </c>
      <c r="H54" s="208"/>
    </row>
    <row r="55">
      <c r="B55" s="367"/>
      <c r="C55" s="208" t="b">
        <v>0</v>
      </c>
      <c r="D55" s="369" t="str">
        <f t="shared" si="1"/>
        <v/>
      </c>
      <c r="E55" s="368" t="s">
        <v>5395</v>
      </c>
      <c r="F55" s="208">
        <v>1.0</v>
      </c>
      <c r="G55" s="208" t="s">
        <v>5396</v>
      </c>
      <c r="H55" s="208"/>
    </row>
    <row r="56">
      <c r="B56" s="367"/>
      <c r="C56" s="208" t="b">
        <v>0</v>
      </c>
      <c r="D56" s="369" t="str">
        <f t="shared" si="1"/>
        <v/>
      </c>
      <c r="E56" s="368" t="s">
        <v>5397</v>
      </c>
      <c r="F56" s="208">
        <v>16.0</v>
      </c>
      <c r="G56" s="208" t="s">
        <v>5398</v>
      </c>
      <c r="H56" s="208"/>
    </row>
    <row r="57">
      <c r="B57" s="367"/>
      <c r="C57" s="208" t="b">
        <v>0</v>
      </c>
      <c r="D57" s="369" t="str">
        <f t="shared" si="1"/>
        <v/>
      </c>
      <c r="E57" s="368" t="s">
        <v>5399</v>
      </c>
      <c r="F57" s="208">
        <v>64.0</v>
      </c>
      <c r="G57" s="208" t="s">
        <v>5400</v>
      </c>
      <c r="H57" s="208"/>
    </row>
    <row r="58">
      <c r="B58" s="367"/>
      <c r="C58" s="208" t="b">
        <v>0</v>
      </c>
      <c r="D58" s="369" t="str">
        <f t="shared" si="1"/>
        <v/>
      </c>
      <c r="E58" s="368" t="s">
        <v>5401</v>
      </c>
      <c r="F58" s="208">
        <v>64.0</v>
      </c>
      <c r="G58" s="208" t="s">
        <v>5402</v>
      </c>
      <c r="H58" s="208"/>
    </row>
    <row r="59">
      <c r="B59" s="367"/>
      <c r="C59" s="208" t="b">
        <v>0</v>
      </c>
      <c r="D59" s="369" t="str">
        <f t="shared" si="1"/>
        <v/>
      </c>
      <c r="E59" s="368" t="s">
        <v>5403</v>
      </c>
      <c r="F59" s="208">
        <v>64.0</v>
      </c>
      <c r="G59" s="208" t="s">
        <v>5404</v>
      </c>
      <c r="H59" s="208"/>
    </row>
    <row r="60">
      <c r="B60" s="367"/>
      <c r="C60" s="208" t="b">
        <v>0</v>
      </c>
      <c r="D60" s="369" t="str">
        <f t="shared" si="1"/>
        <v/>
      </c>
      <c r="E60" s="368" t="s">
        <v>5405</v>
      </c>
      <c r="F60" s="208">
        <v>64.0</v>
      </c>
      <c r="G60" s="208" t="s">
        <v>838</v>
      </c>
      <c r="H60" s="208"/>
    </row>
    <row r="61">
      <c r="B61" s="367"/>
      <c r="C61" s="208" t="b">
        <v>0</v>
      </c>
      <c r="D61" s="369" t="str">
        <f t="shared" si="1"/>
        <v/>
      </c>
      <c r="E61" s="368" t="s">
        <v>5406</v>
      </c>
      <c r="F61" s="208">
        <v>64.0</v>
      </c>
      <c r="G61" s="208" t="s">
        <v>4084</v>
      </c>
      <c r="H61" s="208"/>
    </row>
    <row r="62">
      <c r="B62" s="367"/>
      <c r="C62" s="208" t="b">
        <v>0</v>
      </c>
      <c r="D62" s="369" t="str">
        <f t="shared" si="1"/>
        <v/>
      </c>
      <c r="E62" s="368" t="s">
        <v>5407</v>
      </c>
      <c r="F62" s="208">
        <v>64.0</v>
      </c>
      <c r="G62" s="208" t="s">
        <v>4451</v>
      </c>
      <c r="H62" s="208"/>
    </row>
    <row r="63">
      <c r="B63" s="367" t="s">
        <v>1343</v>
      </c>
      <c r="C63" s="208" t="b">
        <v>0</v>
      </c>
      <c r="D63" s="369" t="str">
        <f t="shared" si="1"/>
        <v/>
      </c>
      <c r="E63" s="368" t="s">
        <v>5408</v>
      </c>
      <c r="F63" s="208">
        <v>64.0</v>
      </c>
      <c r="G63" s="208" t="s">
        <v>1889</v>
      </c>
      <c r="H63" s="208"/>
    </row>
    <row r="64">
      <c r="B64" s="367"/>
      <c r="C64" s="208" t="b">
        <v>0</v>
      </c>
      <c r="D64" s="369" t="str">
        <f t="shared" si="1"/>
        <v/>
      </c>
      <c r="E64" s="368" t="s">
        <v>5409</v>
      </c>
      <c r="F64" s="208">
        <v>64.0</v>
      </c>
      <c r="G64" s="208" t="s">
        <v>1584</v>
      </c>
      <c r="H64" s="208"/>
    </row>
    <row r="65">
      <c r="B65" s="367"/>
      <c r="C65" s="208" t="b">
        <v>0</v>
      </c>
      <c r="D65" s="369" t="str">
        <f t="shared" si="1"/>
        <v/>
      </c>
      <c r="E65" s="368" t="s">
        <v>5410</v>
      </c>
      <c r="F65" s="208">
        <v>64.0</v>
      </c>
      <c r="G65" s="208" t="s">
        <v>1880</v>
      </c>
      <c r="H65" s="208"/>
    </row>
    <row r="66">
      <c r="B66" s="367"/>
      <c r="C66" s="208" t="b">
        <v>0</v>
      </c>
      <c r="D66" s="369" t="str">
        <f t="shared" si="1"/>
        <v/>
      </c>
      <c r="E66" s="368" t="s">
        <v>5411</v>
      </c>
      <c r="F66" s="208">
        <v>64.0</v>
      </c>
      <c r="G66" s="208" t="s">
        <v>5412</v>
      </c>
      <c r="H66" s="208"/>
    </row>
    <row r="67">
      <c r="B67" s="367"/>
      <c r="C67" s="208" t="b">
        <v>0</v>
      </c>
      <c r="D67" s="369" t="str">
        <f t="shared" si="1"/>
        <v/>
      </c>
      <c r="E67" s="368" t="s">
        <v>5413</v>
      </c>
      <c r="F67" s="208">
        <v>64.0</v>
      </c>
      <c r="G67" s="208" t="s">
        <v>1574</v>
      </c>
      <c r="H67" s="208"/>
    </row>
    <row r="68">
      <c r="B68" s="367"/>
      <c r="C68" s="208" t="b">
        <v>0</v>
      </c>
      <c r="D68" s="369" t="str">
        <f t="shared" si="1"/>
        <v/>
      </c>
      <c r="E68" s="368" t="s">
        <v>5414</v>
      </c>
      <c r="F68" s="208">
        <v>1.0</v>
      </c>
      <c r="G68" s="208" t="s">
        <v>1459</v>
      </c>
      <c r="H68" s="208"/>
    </row>
    <row r="69">
      <c r="B69" s="367" t="s">
        <v>3218</v>
      </c>
      <c r="C69" s="208" t="b">
        <v>0</v>
      </c>
      <c r="D69" s="369" t="str">
        <f t="shared" si="1"/>
        <v/>
      </c>
      <c r="E69" s="368" t="s">
        <v>5415</v>
      </c>
      <c r="F69" s="208">
        <v>64.0</v>
      </c>
      <c r="G69" s="208" t="s">
        <v>3021</v>
      </c>
      <c r="H69" s="208"/>
    </row>
    <row r="70">
      <c r="B70" s="370"/>
      <c r="C70" s="208" t="b">
        <v>0</v>
      </c>
      <c r="D70" s="369" t="str">
        <f t="shared" si="1"/>
        <v/>
      </c>
      <c r="E70" s="368" t="s">
        <v>5416</v>
      </c>
      <c r="F70" s="208">
        <v>64.0</v>
      </c>
      <c r="G70" s="208" t="s">
        <v>215</v>
      </c>
      <c r="H70" s="208"/>
    </row>
    <row r="71">
      <c r="B71" s="367"/>
      <c r="C71" s="208" t="b">
        <v>0</v>
      </c>
      <c r="D71" s="369" t="str">
        <f t="shared" si="1"/>
        <v/>
      </c>
      <c r="E71" s="368" t="s">
        <v>5417</v>
      </c>
      <c r="F71" s="208">
        <v>1.0</v>
      </c>
      <c r="G71" s="208" t="s">
        <v>1832</v>
      </c>
      <c r="H71" s="208"/>
    </row>
    <row r="72">
      <c r="B72" s="367"/>
      <c r="C72" s="208" t="b">
        <v>0</v>
      </c>
      <c r="D72" s="369" t="str">
        <f t="shared" si="1"/>
        <v/>
      </c>
      <c r="E72" s="368" t="s">
        <v>5418</v>
      </c>
      <c r="F72" s="208">
        <v>64.0</v>
      </c>
      <c r="G72" s="208" t="s">
        <v>5419</v>
      </c>
      <c r="H72" s="208"/>
    </row>
    <row r="73">
      <c r="B73" s="367"/>
      <c r="C73" s="208" t="b">
        <v>0</v>
      </c>
      <c r="D73" s="369" t="str">
        <f t="shared" si="1"/>
        <v/>
      </c>
      <c r="E73" s="368" t="s">
        <v>5420</v>
      </c>
      <c r="F73" s="208">
        <v>1.0</v>
      </c>
      <c r="G73" s="208" t="s">
        <v>5421</v>
      </c>
      <c r="H73" s="208"/>
    </row>
    <row r="74">
      <c r="B74" s="367"/>
      <c r="C74" s="208" t="b">
        <v>0</v>
      </c>
      <c r="D74" s="369" t="str">
        <f t="shared" si="1"/>
        <v/>
      </c>
      <c r="E74" s="368" t="s">
        <v>5422</v>
      </c>
      <c r="F74" s="208">
        <v>64.0</v>
      </c>
      <c r="G74" s="208" t="s">
        <v>5423</v>
      </c>
      <c r="H74" s="208"/>
    </row>
    <row r="75">
      <c r="B75" s="367"/>
      <c r="C75" s="208" t="b">
        <v>0</v>
      </c>
      <c r="D75" s="369" t="str">
        <f t="shared" si="1"/>
        <v/>
      </c>
      <c r="E75" s="368" t="s">
        <v>5424</v>
      </c>
      <c r="F75" s="208">
        <v>64.0</v>
      </c>
      <c r="G75" s="208" t="s">
        <v>5425</v>
      </c>
      <c r="H75" s="208"/>
    </row>
    <row r="76">
      <c r="B76" s="367"/>
      <c r="C76" s="208" t="b">
        <v>0</v>
      </c>
      <c r="D76" s="369" t="str">
        <f t="shared" si="1"/>
        <v/>
      </c>
      <c r="E76" s="368" t="s">
        <v>5426</v>
      </c>
      <c r="F76" s="208">
        <v>64.0</v>
      </c>
      <c r="G76" s="208" t="s">
        <v>5427</v>
      </c>
      <c r="H76" s="208"/>
    </row>
    <row r="77">
      <c r="B77" s="367"/>
      <c r="C77" s="208" t="b">
        <v>0</v>
      </c>
      <c r="D77" s="369" t="str">
        <f t="shared" si="1"/>
        <v/>
      </c>
      <c r="E77" s="368" t="s">
        <v>5428</v>
      </c>
      <c r="F77" s="208">
        <v>16.0</v>
      </c>
      <c r="G77" s="208" t="s">
        <v>5429</v>
      </c>
      <c r="H77" s="208"/>
    </row>
    <row r="78">
      <c r="B78" s="367"/>
      <c r="C78" s="208" t="b">
        <v>0</v>
      </c>
      <c r="D78" s="369" t="str">
        <f t="shared" si="1"/>
        <v/>
      </c>
      <c r="E78" s="368" t="s">
        <v>5430</v>
      </c>
      <c r="F78" s="208">
        <v>64.0</v>
      </c>
      <c r="G78" s="208" t="s">
        <v>5431</v>
      </c>
      <c r="H78" s="208"/>
    </row>
    <row r="79">
      <c r="B79" s="367"/>
      <c r="C79" s="208" t="b">
        <v>0</v>
      </c>
      <c r="D79" s="369" t="str">
        <f t="shared" si="1"/>
        <v/>
      </c>
      <c r="E79" s="368" t="s">
        <v>5432</v>
      </c>
      <c r="F79" s="208">
        <v>64.0</v>
      </c>
      <c r="G79" s="208" t="s">
        <v>1088</v>
      </c>
      <c r="H79" s="208"/>
    </row>
    <row r="80">
      <c r="B80" s="367"/>
      <c r="C80" s="208" t="b">
        <v>0</v>
      </c>
      <c r="D80" s="369" t="str">
        <f t="shared" si="1"/>
        <v/>
      </c>
      <c r="E80" s="368" t="s">
        <v>5433</v>
      </c>
      <c r="F80" s="208">
        <v>64.0</v>
      </c>
      <c r="G80" s="208" t="s">
        <v>5434</v>
      </c>
      <c r="H80" s="208"/>
    </row>
    <row r="81">
      <c r="B81" s="367"/>
      <c r="C81" s="208" t="b">
        <v>0</v>
      </c>
      <c r="D81" s="369" t="str">
        <f t="shared" si="1"/>
        <v/>
      </c>
      <c r="E81" s="368" t="s">
        <v>5435</v>
      </c>
      <c r="F81" s="208">
        <v>64.0</v>
      </c>
      <c r="G81" s="208" t="s">
        <v>5436</v>
      </c>
      <c r="H81" s="208"/>
    </row>
    <row r="82">
      <c r="B82" s="367"/>
      <c r="C82" s="208" t="b">
        <v>0</v>
      </c>
      <c r="D82" s="369" t="str">
        <f t="shared" si="1"/>
        <v/>
      </c>
      <c r="E82" s="368" t="s">
        <v>5437</v>
      </c>
      <c r="F82" s="208">
        <v>64.0</v>
      </c>
      <c r="G82" s="208" t="s">
        <v>1043</v>
      </c>
      <c r="H82" s="208"/>
    </row>
    <row r="83">
      <c r="B83" s="367"/>
      <c r="C83" s="208" t="b">
        <v>0</v>
      </c>
      <c r="D83" s="369" t="str">
        <f t="shared" si="1"/>
        <v/>
      </c>
      <c r="E83" s="368" t="s">
        <v>5438</v>
      </c>
      <c r="F83" s="208">
        <v>16.0</v>
      </c>
      <c r="G83" s="208" t="s">
        <v>5439</v>
      </c>
      <c r="H83" s="208"/>
    </row>
    <row r="84">
      <c r="B84" s="367"/>
      <c r="C84" s="208" t="b">
        <v>0</v>
      </c>
      <c r="D84" s="369" t="str">
        <f t="shared" si="1"/>
        <v/>
      </c>
      <c r="E84" s="368" t="s">
        <v>5440</v>
      </c>
      <c r="F84" s="208">
        <v>64.0</v>
      </c>
      <c r="G84" s="208" t="s">
        <v>5441</v>
      </c>
      <c r="H84" s="208"/>
    </row>
    <row r="85">
      <c r="B85" s="367"/>
      <c r="C85" s="208" t="b">
        <v>0</v>
      </c>
      <c r="D85" s="369" t="str">
        <f t="shared" si="1"/>
        <v/>
      </c>
      <c r="E85" s="368" t="s">
        <v>5442</v>
      </c>
      <c r="F85" s="208">
        <v>64.0</v>
      </c>
      <c r="G85" s="208" t="s">
        <v>5443</v>
      </c>
      <c r="H85" s="208"/>
    </row>
    <row r="86">
      <c r="B86" s="367"/>
      <c r="C86" s="208" t="b">
        <v>0</v>
      </c>
      <c r="D86" s="369" t="str">
        <f t="shared" si="1"/>
        <v/>
      </c>
      <c r="E86" s="368" t="s">
        <v>5444</v>
      </c>
      <c r="F86" s="208">
        <v>64.0</v>
      </c>
      <c r="G86" s="208" t="s">
        <v>5445</v>
      </c>
      <c r="H86" s="208"/>
    </row>
    <row r="87">
      <c r="B87" s="367"/>
      <c r="C87" s="208" t="b">
        <v>0</v>
      </c>
      <c r="D87" s="369" t="str">
        <f t="shared" si="1"/>
        <v/>
      </c>
      <c r="E87" s="368" t="s">
        <v>5446</v>
      </c>
      <c r="F87" s="208">
        <v>64.0</v>
      </c>
      <c r="G87" s="208" t="s">
        <v>5447</v>
      </c>
      <c r="H87" s="208"/>
    </row>
    <row r="88">
      <c r="B88" s="367"/>
      <c r="C88" s="208" t="b">
        <v>0</v>
      </c>
      <c r="D88" s="369" t="str">
        <f t="shared" si="1"/>
        <v/>
      </c>
      <c r="E88" s="368" t="s">
        <v>5448</v>
      </c>
      <c r="F88" s="208">
        <v>16.0</v>
      </c>
      <c r="G88" s="208" t="s">
        <v>2803</v>
      </c>
      <c r="H88" s="208"/>
    </row>
    <row r="89">
      <c r="B89" s="367"/>
      <c r="C89" s="208" t="b">
        <v>0</v>
      </c>
      <c r="D89" s="369" t="str">
        <f t="shared" si="1"/>
        <v/>
      </c>
      <c r="E89" s="368" t="s">
        <v>5449</v>
      </c>
      <c r="F89" s="208">
        <v>1.0</v>
      </c>
      <c r="G89" s="208" t="s">
        <v>5450</v>
      </c>
      <c r="H89" s="208"/>
    </row>
    <row r="90">
      <c r="B90" s="367"/>
      <c r="C90" s="208" t="b">
        <v>0</v>
      </c>
      <c r="D90" s="369" t="str">
        <f t="shared" si="1"/>
        <v/>
      </c>
      <c r="E90" s="368" t="s">
        <v>5451</v>
      </c>
      <c r="F90" s="208">
        <v>64.0</v>
      </c>
      <c r="G90" s="208" t="s">
        <v>945</v>
      </c>
      <c r="H90" s="208"/>
    </row>
    <row r="91">
      <c r="B91" s="367"/>
      <c r="C91" s="208" t="b">
        <v>0</v>
      </c>
      <c r="D91" s="369" t="str">
        <f t="shared" si="1"/>
        <v/>
      </c>
      <c r="E91" s="368" t="s">
        <v>5452</v>
      </c>
      <c r="F91" s="208">
        <v>64.0</v>
      </c>
      <c r="G91" s="208" t="s">
        <v>5453</v>
      </c>
      <c r="H91" s="208"/>
    </row>
    <row r="92">
      <c r="B92" s="367"/>
      <c r="C92" s="208" t="b">
        <v>0</v>
      </c>
      <c r="D92" s="369" t="str">
        <f t="shared" si="1"/>
        <v/>
      </c>
      <c r="E92" s="368" t="s">
        <v>5454</v>
      </c>
      <c r="F92" s="208">
        <v>64.0</v>
      </c>
      <c r="G92" s="208" t="s">
        <v>5455</v>
      </c>
      <c r="H92" s="208"/>
    </row>
    <row r="93">
      <c r="B93" s="367"/>
      <c r="C93" s="208" t="b">
        <v>0</v>
      </c>
      <c r="D93" s="369" t="str">
        <f t="shared" si="1"/>
        <v/>
      </c>
      <c r="E93" s="368" t="s">
        <v>5456</v>
      </c>
      <c r="F93" s="208">
        <v>64.0</v>
      </c>
      <c r="G93" s="208" t="s">
        <v>245</v>
      </c>
      <c r="H93" s="208"/>
    </row>
    <row r="94">
      <c r="B94" s="367"/>
      <c r="C94" s="208" t="b">
        <v>0</v>
      </c>
      <c r="D94" s="369" t="str">
        <f t="shared" si="1"/>
        <v/>
      </c>
      <c r="E94" s="368" t="s">
        <v>5457</v>
      </c>
      <c r="F94" s="208">
        <v>64.0</v>
      </c>
      <c r="G94" s="208" t="s">
        <v>5458</v>
      </c>
      <c r="H94" s="208"/>
    </row>
    <row r="95">
      <c r="B95" s="367"/>
      <c r="C95" s="208" t="b">
        <v>0</v>
      </c>
      <c r="D95" s="369" t="str">
        <f t="shared" si="1"/>
        <v/>
      </c>
      <c r="E95" s="368" t="s">
        <v>5459</v>
      </c>
      <c r="F95" s="208">
        <v>64.0</v>
      </c>
      <c r="G95" s="208" t="s">
        <v>5460</v>
      </c>
      <c r="H95" s="208"/>
    </row>
    <row r="96">
      <c r="B96" s="367"/>
      <c r="C96" s="208" t="b">
        <v>0</v>
      </c>
      <c r="D96" s="369" t="str">
        <f t="shared" si="1"/>
        <v/>
      </c>
      <c r="E96" s="368" t="s">
        <v>5461</v>
      </c>
      <c r="F96" s="208">
        <v>1.0</v>
      </c>
      <c r="G96" s="208" t="s">
        <v>5462</v>
      </c>
      <c r="H96" s="208"/>
    </row>
    <row r="97">
      <c r="B97" s="367"/>
      <c r="C97" s="208" t="b">
        <v>0</v>
      </c>
      <c r="D97" s="369" t="str">
        <f t="shared" si="1"/>
        <v/>
      </c>
      <c r="E97" s="368" t="s">
        <v>5463</v>
      </c>
      <c r="F97" s="208">
        <v>64.0</v>
      </c>
      <c r="G97" s="208" t="s">
        <v>3785</v>
      </c>
      <c r="H97" s="208"/>
    </row>
    <row r="98">
      <c r="B98" s="367"/>
      <c r="C98" s="208" t="b">
        <v>0</v>
      </c>
      <c r="D98" s="369" t="str">
        <f t="shared" si="1"/>
        <v/>
      </c>
      <c r="E98" s="368" t="s">
        <v>5464</v>
      </c>
      <c r="F98" s="208">
        <v>64.0</v>
      </c>
      <c r="G98" s="208" t="s">
        <v>5465</v>
      </c>
      <c r="H98" s="208"/>
    </row>
    <row r="99">
      <c r="B99" s="367"/>
      <c r="C99" s="208" t="b">
        <v>0</v>
      </c>
      <c r="D99" s="369" t="str">
        <f t="shared" si="1"/>
        <v/>
      </c>
      <c r="E99" s="368" t="s">
        <v>5466</v>
      </c>
      <c r="F99" s="208">
        <v>64.0</v>
      </c>
      <c r="G99" s="208" t="s">
        <v>5467</v>
      </c>
      <c r="H99" s="208"/>
    </row>
    <row r="100">
      <c r="B100" s="367"/>
      <c r="C100" s="208" t="b">
        <v>0</v>
      </c>
      <c r="D100" s="369" t="str">
        <f t="shared" si="1"/>
        <v/>
      </c>
      <c r="E100" s="368" t="s">
        <v>5468</v>
      </c>
      <c r="F100" s="208">
        <v>64.0</v>
      </c>
      <c r="G100" s="208" t="s">
        <v>260</v>
      </c>
      <c r="H100" s="208"/>
    </row>
    <row r="101">
      <c r="B101" s="367"/>
      <c r="C101" s="208" t="b">
        <v>0</v>
      </c>
      <c r="D101" s="369" t="str">
        <f t="shared" si="1"/>
        <v/>
      </c>
      <c r="E101" s="368" t="s">
        <v>5469</v>
      </c>
      <c r="F101" s="208">
        <v>64.0</v>
      </c>
      <c r="G101" s="208" t="s">
        <v>4306</v>
      </c>
      <c r="H101" s="208"/>
    </row>
    <row r="102">
      <c r="B102" s="367"/>
      <c r="C102" s="208" t="b">
        <v>0</v>
      </c>
      <c r="D102" s="369" t="str">
        <f t="shared" si="1"/>
        <v/>
      </c>
      <c r="E102" s="368" t="s">
        <v>5470</v>
      </c>
      <c r="F102" s="208">
        <v>64.0</v>
      </c>
      <c r="G102" s="208" t="s">
        <v>5471</v>
      </c>
      <c r="H102" s="208"/>
    </row>
    <row r="103">
      <c r="B103" s="367"/>
      <c r="C103" s="208" t="b">
        <v>0</v>
      </c>
      <c r="D103" s="369" t="str">
        <f t="shared" si="1"/>
        <v/>
      </c>
      <c r="E103" s="368" t="s">
        <v>5472</v>
      </c>
      <c r="F103" s="208">
        <v>64.0</v>
      </c>
      <c r="G103" s="208" t="s">
        <v>5473</v>
      </c>
      <c r="H103" s="208"/>
    </row>
    <row r="104">
      <c r="B104" s="367"/>
      <c r="C104" s="208" t="b">
        <v>0</v>
      </c>
      <c r="D104" s="369" t="str">
        <f t="shared" si="1"/>
        <v/>
      </c>
      <c r="E104" s="368" t="s">
        <v>5474</v>
      </c>
      <c r="F104" s="208">
        <v>64.0</v>
      </c>
      <c r="G104" s="208" t="s">
        <v>5475</v>
      </c>
      <c r="H104" s="208"/>
    </row>
    <row r="105">
      <c r="B105" s="367" t="s">
        <v>2905</v>
      </c>
      <c r="C105" s="208" t="b">
        <v>0</v>
      </c>
      <c r="D105" s="369" t="str">
        <f t="shared" si="1"/>
        <v/>
      </c>
      <c r="E105" s="368" t="s">
        <v>5476</v>
      </c>
      <c r="F105" s="208">
        <v>1.0</v>
      </c>
      <c r="G105" s="208" t="s">
        <v>5477</v>
      </c>
      <c r="H105" s="208"/>
    </row>
    <row r="106">
      <c r="B106" s="367"/>
      <c r="C106" s="208" t="b">
        <v>0</v>
      </c>
      <c r="D106" s="369" t="str">
        <f t="shared" si="1"/>
        <v/>
      </c>
      <c r="E106" s="368" t="s">
        <v>5478</v>
      </c>
      <c r="F106" s="208">
        <v>64.0</v>
      </c>
      <c r="G106" s="208" t="s">
        <v>1264</v>
      </c>
      <c r="H106" s="208"/>
    </row>
    <row r="107">
      <c r="B107" s="367"/>
      <c r="C107" s="208" t="b">
        <v>0</v>
      </c>
      <c r="D107" s="369" t="str">
        <f t="shared" si="1"/>
        <v/>
      </c>
      <c r="E107" s="368" t="s">
        <v>5479</v>
      </c>
      <c r="F107" s="208">
        <v>64.0</v>
      </c>
      <c r="G107" s="208" t="s">
        <v>2764</v>
      </c>
      <c r="H107" s="208"/>
    </row>
    <row r="108">
      <c r="B108" s="367"/>
      <c r="C108" s="208" t="b">
        <v>0</v>
      </c>
      <c r="D108" s="369" t="str">
        <f t="shared" si="1"/>
        <v/>
      </c>
      <c r="E108" s="368" t="s">
        <v>5480</v>
      </c>
      <c r="F108" s="208">
        <v>64.0</v>
      </c>
      <c r="G108" s="208" t="s">
        <v>2580</v>
      </c>
      <c r="H108" s="208"/>
    </row>
    <row r="109">
      <c r="B109" s="367"/>
      <c r="C109" s="208" t="b">
        <v>0</v>
      </c>
      <c r="D109" s="369" t="str">
        <f t="shared" si="1"/>
        <v/>
      </c>
      <c r="E109" s="368" t="s">
        <v>5481</v>
      </c>
      <c r="F109" s="208">
        <v>16.0</v>
      </c>
      <c r="G109" s="208" t="s">
        <v>3244</v>
      </c>
      <c r="H109" s="208"/>
    </row>
    <row r="110">
      <c r="B110" s="367"/>
      <c r="C110" s="208" t="b">
        <v>0</v>
      </c>
      <c r="D110" s="369" t="str">
        <f t="shared" si="1"/>
        <v/>
      </c>
      <c r="E110" s="368" t="s">
        <v>5482</v>
      </c>
      <c r="F110" s="208">
        <v>1.0</v>
      </c>
      <c r="G110" s="208" t="s">
        <v>5483</v>
      </c>
      <c r="H110" s="208"/>
    </row>
    <row r="111">
      <c r="B111" s="367"/>
      <c r="C111" s="208" t="b">
        <v>0</v>
      </c>
      <c r="D111" s="369" t="str">
        <f t="shared" si="1"/>
        <v/>
      </c>
      <c r="E111" s="368" t="s">
        <v>5484</v>
      </c>
      <c r="F111" s="208">
        <v>64.0</v>
      </c>
      <c r="G111" s="208" t="s">
        <v>5485</v>
      </c>
      <c r="H111" s="208"/>
    </row>
    <row r="112">
      <c r="B112" s="367"/>
      <c r="C112" s="208" t="b">
        <v>0</v>
      </c>
      <c r="D112" s="369" t="str">
        <f t="shared" si="1"/>
        <v/>
      </c>
      <c r="E112" s="368" t="s">
        <v>5486</v>
      </c>
      <c r="F112" s="208">
        <v>64.0</v>
      </c>
      <c r="G112" s="208" t="s">
        <v>3120</v>
      </c>
      <c r="H112" s="208"/>
    </row>
    <row r="113">
      <c r="B113" s="367"/>
      <c r="C113" s="208" t="b">
        <v>0</v>
      </c>
      <c r="D113" s="369" t="str">
        <f t="shared" si="1"/>
        <v/>
      </c>
      <c r="E113" s="368" t="s">
        <v>5487</v>
      </c>
      <c r="F113" s="208">
        <v>64.0</v>
      </c>
      <c r="G113" s="208" t="s">
        <v>5488</v>
      </c>
      <c r="H113" s="208"/>
    </row>
    <row r="114">
      <c r="B114" s="367"/>
      <c r="C114" s="208" t="b">
        <v>0</v>
      </c>
      <c r="D114" s="369" t="str">
        <f t="shared" si="1"/>
        <v/>
      </c>
      <c r="E114" s="368" t="s">
        <v>5489</v>
      </c>
      <c r="F114" s="208">
        <v>64.0</v>
      </c>
      <c r="G114" s="208" t="s">
        <v>5490</v>
      </c>
      <c r="H114" s="208"/>
    </row>
    <row r="115">
      <c r="B115" s="367"/>
      <c r="C115" s="208" t="b">
        <v>0</v>
      </c>
      <c r="D115" s="369" t="str">
        <f t="shared" si="1"/>
        <v/>
      </c>
      <c r="E115" s="368" t="s">
        <v>5491</v>
      </c>
      <c r="F115" s="208">
        <v>64.0</v>
      </c>
      <c r="G115" s="208" t="s">
        <v>3105</v>
      </c>
      <c r="H115" s="208"/>
    </row>
    <row r="116">
      <c r="B116" s="367"/>
      <c r="C116" s="208" t="b">
        <v>0</v>
      </c>
      <c r="D116" s="369" t="str">
        <f t="shared" si="1"/>
        <v/>
      </c>
      <c r="E116" s="368" t="s">
        <v>5492</v>
      </c>
      <c r="F116" s="208">
        <v>64.0</v>
      </c>
      <c r="G116" s="208" t="s">
        <v>5493</v>
      </c>
      <c r="H116" s="208"/>
    </row>
    <row r="117">
      <c r="B117" s="367"/>
      <c r="C117" s="208" t="b">
        <v>0</v>
      </c>
      <c r="D117" s="369" t="str">
        <f t="shared" si="1"/>
        <v/>
      </c>
      <c r="E117" s="368" t="s">
        <v>5494</v>
      </c>
      <c r="F117" s="208">
        <v>64.0</v>
      </c>
      <c r="G117" s="208" t="s">
        <v>2126</v>
      </c>
      <c r="H117" s="208"/>
    </row>
    <row r="118">
      <c r="B118" s="370"/>
      <c r="C118" s="208" t="b">
        <v>0</v>
      </c>
      <c r="D118" s="369" t="str">
        <f t="shared" si="1"/>
        <v/>
      </c>
      <c r="E118" s="368" t="s">
        <v>5495</v>
      </c>
      <c r="F118" s="208">
        <v>64.0</v>
      </c>
      <c r="G118" s="208" t="s">
        <v>5496</v>
      </c>
      <c r="H118" s="208"/>
    </row>
    <row r="119">
      <c r="B119" s="367"/>
      <c r="C119" s="208" t="b">
        <v>0</v>
      </c>
      <c r="D119" s="369" t="str">
        <f t="shared" si="1"/>
        <v/>
      </c>
      <c r="E119" s="368" t="s">
        <v>5497</v>
      </c>
      <c r="F119" s="208">
        <v>1.0</v>
      </c>
      <c r="G119" s="208" t="s">
        <v>5498</v>
      </c>
      <c r="H119" s="208"/>
    </row>
    <row r="120">
      <c r="B120" s="367"/>
      <c r="C120" s="208" t="b">
        <v>0</v>
      </c>
      <c r="D120" s="369" t="str">
        <f t="shared" si="1"/>
        <v/>
      </c>
      <c r="E120" s="368" t="s">
        <v>5499</v>
      </c>
      <c r="F120" s="208">
        <v>64.0</v>
      </c>
      <c r="G120" s="208" t="s">
        <v>5500</v>
      </c>
      <c r="H120" s="208"/>
    </row>
    <row r="121">
      <c r="B121" s="367"/>
      <c r="C121" s="208" t="b">
        <v>0</v>
      </c>
      <c r="D121" s="369" t="str">
        <f t="shared" si="1"/>
        <v/>
      </c>
      <c r="E121" s="368" t="s">
        <v>5501</v>
      </c>
      <c r="F121" s="208">
        <v>64.0</v>
      </c>
      <c r="G121" s="208" t="s">
        <v>5502</v>
      </c>
      <c r="H121" s="208"/>
    </row>
    <row r="122">
      <c r="B122" s="367"/>
      <c r="C122" s="208" t="b">
        <v>0</v>
      </c>
      <c r="D122" s="369" t="str">
        <f t="shared" si="1"/>
        <v/>
      </c>
      <c r="E122" s="368" t="s">
        <v>5503</v>
      </c>
      <c r="F122" s="208">
        <v>64.0</v>
      </c>
      <c r="G122" s="208" t="s">
        <v>5504</v>
      </c>
      <c r="H122" s="208"/>
    </row>
    <row r="123">
      <c r="B123" s="367"/>
      <c r="C123" s="208" t="b">
        <v>0</v>
      </c>
      <c r="D123" s="369" t="str">
        <f t="shared" si="1"/>
        <v/>
      </c>
      <c r="E123" s="368" t="s">
        <v>5505</v>
      </c>
      <c r="F123" s="208">
        <v>64.0</v>
      </c>
      <c r="G123" s="208" t="s">
        <v>5506</v>
      </c>
      <c r="H123" s="208"/>
    </row>
    <row r="124">
      <c r="B124" s="367" t="s">
        <v>993</v>
      </c>
      <c r="C124" s="208" t="b">
        <v>0</v>
      </c>
      <c r="D124" s="369" t="str">
        <f t="shared" si="1"/>
        <v/>
      </c>
      <c r="E124" s="368" t="s">
        <v>5507</v>
      </c>
      <c r="F124" s="208">
        <v>1.0</v>
      </c>
      <c r="G124" s="208" t="s">
        <v>5508</v>
      </c>
      <c r="H124" s="208"/>
    </row>
    <row r="125">
      <c r="B125" s="370"/>
      <c r="C125" s="208" t="b">
        <v>0</v>
      </c>
      <c r="D125" s="369" t="str">
        <f t="shared" si="1"/>
        <v/>
      </c>
      <c r="E125" s="368" t="s">
        <v>5509</v>
      </c>
      <c r="F125" s="208">
        <v>64.0</v>
      </c>
      <c r="G125" s="208" t="s">
        <v>2024</v>
      </c>
      <c r="H125" s="208"/>
    </row>
    <row r="126">
      <c r="B126" s="367" t="s">
        <v>5510</v>
      </c>
      <c r="C126" s="208" t="b">
        <v>0</v>
      </c>
      <c r="D126" s="369" t="str">
        <f t="shared" si="1"/>
        <v/>
      </c>
      <c r="E126" s="368" t="s">
        <v>5511</v>
      </c>
      <c r="F126" s="208">
        <v>64.0</v>
      </c>
      <c r="G126" s="208" t="s">
        <v>2345</v>
      </c>
      <c r="H126" s="208"/>
    </row>
    <row r="127">
      <c r="B127" s="367"/>
      <c r="C127" s="208" t="b">
        <v>0</v>
      </c>
      <c r="D127" s="369" t="str">
        <f t="shared" si="1"/>
        <v/>
      </c>
      <c r="E127" s="368" t="s">
        <v>5512</v>
      </c>
      <c r="F127" s="208">
        <v>64.0</v>
      </c>
      <c r="G127" s="208" t="s">
        <v>1565</v>
      </c>
      <c r="H127" s="208"/>
    </row>
    <row r="128">
      <c r="B128" s="367"/>
      <c r="C128" s="208" t="b">
        <v>0</v>
      </c>
      <c r="D128" s="369" t="str">
        <f t="shared" si="1"/>
        <v/>
      </c>
      <c r="E128" s="368" t="s">
        <v>5513</v>
      </c>
      <c r="F128" s="208">
        <v>64.0</v>
      </c>
      <c r="G128" s="208" t="s">
        <v>5514</v>
      </c>
      <c r="H128" s="208"/>
    </row>
    <row r="129">
      <c r="B129" s="367"/>
      <c r="C129" s="208" t="b">
        <v>0</v>
      </c>
      <c r="D129" s="369" t="str">
        <f t="shared" si="1"/>
        <v/>
      </c>
      <c r="E129" s="368" t="s">
        <v>5515</v>
      </c>
      <c r="F129" s="208">
        <v>64.0</v>
      </c>
      <c r="G129" s="208" t="s">
        <v>3628</v>
      </c>
      <c r="H129" s="208"/>
    </row>
    <row r="130">
      <c r="B130" s="367"/>
      <c r="C130" s="208" t="b">
        <v>0</v>
      </c>
      <c r="D130" s="369" t="str">
        <f t="shared" si="1"/>
        <v/>
      </c>
      <c r="E130" s="368" t="s">
        <v>5516</v>
      </c>
      <c r="F130" s="208">
        <v>1.0</v>
      </c>
      <c r="G130" s="208" t="s">
        <v>1946</v>
      </c>
      <c r="H130" s="208"/>
    </row>
    <row r="131">
      <c r="B131" s="367"/>
      <c r="C131" s="208" t="b">
        <v>0</v>
      </c>
      <c r="D131" s="369" t="str">
        <f t="shared" si="1"/>
        <v/>
      </c>
      <c r="E131" s="368" t="s">
        <v>5517</v>
      </c>
      <c r="F131" s="208">
        <v>64.0</v>
      </c>
      <c r="G131" s="208" t="s">
        <v>1672</v>
      </c>
      <c r="H131" s="208"/>
    </row>
    <row r="132">
      <c r="B132" s="367" t="s">
        <v>5518</v>
      </c>
      <c r="C132" s="208" t="b">
        <v>0</v>
      </c>
      <c r="D132" s="369" t="str">
        <f t="shared" si="1"/>
        <v/>
      </c>
      <c r="E132" s="368" t="s">
        <v>5519</v>
      </c>
      <c r="F132" s="208">
        <v>64.0</v>
      </c>
      <c r="G132" s="208" t="s">
        <v>5131</v>
      </c>
      <c r="H132" s="208"/>
    </row>
    <row r="133">
      <c r="B133" s="367" t="s">
        <v>5518</v>
      </c>
      <c r="C133" s="208" t="b">
        <v>0</v>
      </c>
      <c r="D133" s="369" t="str">
        <f t="shared" si="1"/>
        <v/>
      </c>
      <c r="E133" s="368" t="s">
        <v>5520</v>
      </c>
      <c r="F133" s="208">
        <v>64.0</v>
      </c>
      <c r="G133" s="208" t="s">
        <v>5521</v>
      </c>
      <c r="H133" s="208"/>
    </row>
    <row r="134">
      <c r="B134" s="367" t="s">
        <v>5518</v>
      </c>
      <c r="C134" s="208" t="b">
        <v>0</v>
      </c>
      <c r="D134" s="369" t="str">
        <f t="shared" si="1"/>
        <v/>
      </c>
      <c r="E134" s="368" t="s">
        <v>5522</v>
      </c>
      <c r="F134" s="208">
        <v>64.0</v>
      </c>
      <c r="G134" s="208" t="s">
        <v>5523</v>
      </c>
      <c r="H134" s="208"/>
    </row>
    <row r="135">
      <c r="B135" s="367"/>
      <c r="C135" s="208" t="b">
        <v>0</v>
      </c>
      <c r="D135" s="369" t="str">
        <f t="shared" si="1"/>
        <v/>
      </c>
      <c r="E135" s="368" t="s">
        <v>5524</v>
      </c>
      <c r="F135" s="208">
        <v>64.0</v>
      </c>
      <c r="G135" s="208" t="s">
        <v>1465</v>
      </c>
      <c r="H135" s="208"/>
    </row>
    <row r="136">
      <c r="B136" s="367" t="s">
        <v>993</v>
      </c>
      <c r="C136" s="208" t="b">
        <v>0</v>
      </c>
      <c r="D136" s="369" t="str">
        <f t="shared" si="1"/>
        <v/>
      </c>
      <c r="E136" s="368" t="s">
        <v>5525</v>
      </c>
      <c r="F136" s="208">
        <v>64.0</v>
      </c>
      <c r="G136" s="208" t="s">
        <v>3321</v>
      </c>
      <c r="H136" s="208"/>
    </row>
    <row r="137">
      <c r="B137" s="367" t="s">
        <v>2905</v>
      </c>
      <c r="C137" s="208" t="b">
        <v>0</v>
      </c>
      <c r="D137" s="369" t="str">
        <f t="shared" si="1"/>
        <v/>
      </c>
      <c r="E137" s="368" t="s">
        <v>5526</v>
      </c>
      <c r="F137" s="208">
        <v>1.0</v>
      </c>
      <c r="G137" s="208" t="s">
        <v>5527</v>
      </c>
      <c r="H137" s="208"/>
    </row>
    <row r="138">
      <c r="B138" s="367"/>
      <c r="C138" s="208" t="b">
        <v>0</v>
      </c>
      <c r="D138" s="369" t="str">
        <f t="shared" si="1"/>
        <v/>
      </c>
      <c r="E138" s="368" t="s">
        <v>5528</v>
      </c>
      <c r="F138" s="208">
        <v>64.0</v>
      </c>
      <c r="G138" s="208" t="s">
        <v>3193</v>
      </c>
      <c r="H138" s="208"/>
    </row>
    <row r="139">
      <c r="B139" s="367"/>
      <c r="C139" s="208" t="b">
        <v>0</v>
      </c>
      <c r="D139" s="369" t="str">
        <f t="shared" si="1"/>
        <v/>
      </c>
      <c r="E139" s="368" t="s">
        <v>5529</v>
      </c>
      <c r="F139" s="208">
        <v>64.0</v>
      </c>
      <c r="G139" s="208" t="s">
        <v>5530</v>
      </c>
      <c r="H139" s="208"/>
    </row>
    <row r="140">
      <c r="B140" s="367"/>
      <c r="C140" s="208" t="b">
        <v>0</v>
      </c>
      <c r="D140" s="369" t="str">
        <f t="shared" si="1"/>
        <v/>
      </c>
      <c r="E140" s="368" t="s">
        <v>5531</v>
      </c>
      <c r="F140" s="208">
        <v>64.0</v>
      </c>
      <c r="G140" s="208" t="s">
        <v>5532</v>
      </c>
      <c r="H140" s="208"/>
    </row>
    <row r="141">
      <c r="B141" s="367"/>
      <c r="C141" s="208" t="b">
        <v>0</v>
      </c>
      <c r="D141" s="369" t="str">
        <f t="shared" si="1"/>
        <v/>
      </c>
      <c r="E141" s="368" t="s">
        <v>5533</v>
      </c>
      <c r="F141" s="208">
        <v>64.0</v>
      </c>
      <c r="G141" s="208" t="s">
        <v>5534</v>
      </c>
      <c r="H141" s="208"/>
    </row>
    <row r="142">
      <c r="B142" s="367"/>
      <c r="C142" s="208" t="b">
        <v>0</v>
      </c>
      <c r="D142" s="369" t="str">
        <f t="shared" si="1"/>
        <v/>
      </c>
      <c r="E142" s="368" t="s">
        <v>5535</v>
      </c>
      <c r="F142" s="208">
        <v>64.0</v>
      </c>
      <c r="G142" s="208" t="s">
        <v>5536</v>
      </c>
      <c r="H142" s="208"/>
    </row>
    <row r="143">
      <c r="B143" s="367"/>
      <c r="C143" s="208" t="b">
        <v>0</v>
      </c>
      <c r="D143" s="369" t="str">
        <f t="shared" si="1"/>
        <v/>
      </c>
      <c r="E143" s="368" t="s">
        <v>5537</v>
      </c>
      <c r="F143" s="208">
        <v>64.0</v>
      </c>
      <c r="G143" s="208" t="s">
        <v>1167</v>
      </c>
      <c r="H143" s="208"/>
    </row>
    <row r="144">
      <c r="B144" s="367"/>
      <c r="C144" s="208" t="b">
        <v>0</v>
      </c>
      <c r="D144" s="369" t="str">
        <f t="shared" si="1"/>
        <v/>
      </c>
      <c r="E144" s="368" t="s">
        <v>5538</v>
      </c>
      <c r="F144" s="208">
        <v>16.0</v>
      </c>
      <c r="G144" s="208" t="s">
        <v>5539</v>
      </c>
      <c r="H144" s="208"/>
    </row>
    <row r="145">
      <c r="B145" s="367"/>
      <c r="C145" s="208" t="b">
        <v>0</v>
      </c>
      <c r="D145" s="369" t="str">
        <f t="shared" si="1"/>
        <v/>
      </c>
      <c r="E145" s="368" t="s">
        <v>5540</v>
      </c>
      <c r="F145" s="208">
        <v>1.0</v>
      </c>
      <c r="G145" s="208" t="s">
        <v>5541</v>
      </c>
      <c r="H145" s="208"/>
    </row>
    <row r="146">
      <c r="B146" s="367"/>
      <c r="C146" s="208" t="b">
        <v>0</v>
      </c>
      <c r="D146" s="369" t="str">
        <f t="shared" si="1"/>
        <v/>
      </c>
      <c r="E146" s="368" t="s">
        <v>5542</v>
      </c>
      <c r="F146" s="208">
        <v>64.0</v>
      </c>
      <c r="G146" s="208" t="s">
        <v>5543</v>
      </c>
      <c r="H146" s="208"/>
    </row>
    <row r="147">
      <c r="B147" s="367"/>
      <c r="C147" s="208" t="b">
        <v>0</v>
      </c>
      <c r="D147" s="369" t="str">
        <f t="shared" si="1"/>
        <v/>
      </c>
      <c r="E147" s="368" t="s">
        <v>5544</v>
      </c>
      <c r="F147" s="208">
        <v>64.0</v>
      </c>
      <c r="G147" s="208" t="s">
        <v>2014</v>
      </c>
      <c r="H147" s="208"/>
    </row>
    <row r="148">
      <c r="B148" s="367"/>
      <c r="C148" s="208" t="b">
        <v>0</v>
      </c>
      <c r="D148" s="369" t="str">
        <f t="shared" si="1"/>
        <v/>
      </c>
      <c r="E148" s="368" t="s">
        <v>5545</v>
      </c>
      <c r="F148" s="208">
        <v>64.0</v>
      </c>
      <c r="G148" s="208" t="s">
        <v>5546</v>
      </c>
      <c r="H148" s="208"/>
    </row>
    <row r="149">
      <c r="B149" s="367"/>
      <c r="C149" s="208" t="b">
        <v>0</v>
      </c>
      <c r="D149" s="369" t="str">
        <f t="shared" si="1"/>
        <v/>
      </c>
      <c r="E149" s="368" t="s">
        <v>5547</v>
      </c>
      <c r="F149" s="208">
        <v>64.0</v>
      </c>
      <c r="G149" s="208" t="s">
        <v>1493</v>
      </c>
      <c r="H149" s="208"/>
    </row>
    <row r="150">
      <c r="B150" s="367"/>
      <c r="C150" s="208" t="b">
        <v>0</v>
      </c>
      <c r="D150" s="369" t="str">
        <f t="shared" si="1"/>
        <v/>
      </c>
      <c r="E150" s="368" t="s">
        <v>5548</v>
      </c>
      <c r="F150" s="208">
        <v>64.0</v>
      </c>
      <c r="G150" s="208" t="s">
        <v>5028</v>
      </c>
      <c r="H150" s="208"/>
    </row>
    <row r="151">
      <c r="B151" s="367"/>
      <c r="C151" s="208" t="b">
        <v>0</v>
      </c>
      <c r="D151" s="369" t="str">
        <f t="shared" si="1"/>
        <v/>
      </c>
      <c r="E151" s="368" t="s">
        <v>5549</v>
      </c>
      <c r="F151" s="208">
        <v>64.0</v>
      </c>
      <c r="G151" s="208" t="s">
        <v>5550</v>
      </c>
      <c r="H151" s="208"/>
    </row>
    <row r="152">
      <c r="B152" s="367"/>
      <c r="C152" s="208" t="b">
        <v>0</v>
      </c>
      <c r="D152" s="369" t="str">
        <f t="shared" si="1"/>
        <v/>
      </c>
      <c r="E152" s="368" t="s">
        <v>5551</v>
      </c>
      <c r="F152" s="208">
        <v>64.0</v>
      </c>
      <c r="G152" s="208" t="s">
        <v>5552</v>
      </c>
      <c r="H152" s="208"/>
    </row>
    <row r="153">
      <c r="B153" s="367"/>
      <c r="C153" s="208" t="b">
        <v>0</v>
      </c>
      <c r="D153" s="369" t="str">
        <f t="shared" si="1"/>
        <v/>
      </c>
      <c r="E153" s="368" t="s">
        <v>5553</v>
      </c>
      <c r="F153" s="208">
        <v>64.0</v>
      </c>
      <c r="G153" s="208" t="s">
        <v>5554</v>
      </c>
      <c r="H153" s="208"/>
    </row>
    <row r="154">
      <c r="B154" s="367"/>
      <c r="C154" s="208" t="b">
        <v>0</v>
      </c>
      <c r="D154" s="369" t="str">
        <f t="shared" si="1"/>
        <v/>
      </c>
      <c r="E154" s="368" t="s">
        <v>5555</v>
      </c>
      <c r="F154" s="208">
        <v>1.0</v>
      </c>
      <c r="G154" s="208" t="s">
        <v>5556</v>
      </c>
      <c r="H154" s="208"/>
    </row>
    <row r="155">
      <c r="B155" s="367"/>
      <c r="C155" s="208" t="b">
        <v>0</v>
      </c>
      <c r="D155" s="369" t="str">
        <f t="shared" si="1"/>
        <v/>
      </c>
      <c r="E155" s="368" t="s">
        <v>5557</v>
      </c>
      <c r="F155" s="208">
        <v>64.0</v>
      </c>
      <c r="G155" s="208" t="s">
        <v>5558</v>
      </c>
      <c r="H155" s="208"/>
    </row>
    <row r="156">
      <c r="B156" s="367"/>
      <c r="C156" s="208" t="b">
        <v>0</v>
      </c>
      <c r="D156" s="369" t="str">
        <f t="shared" si="1"/>
        <v/>
      </c>
      <c r="E156" s="368" t="s">
        <v>5559</v>
      </c>
      <c r="F156" s="208">
        <v>64.0</v>
      </c>
      <c r="G156" s="208" t="s">
        <v>5560</v>
      </c>
      <c r="H156" s="208"/>
    </row>
    <row r="157">
      <c r="B157" s="367"/>
      <c r="C157" s="208" t="b">
        <v>0</v>
      </c>
      <c r="D157" s="369" t="str">
        <f t="shared" si="1"/>
        <v/>
      </c>
      <c r="E157" s="368" t="s">
        <v>5561</v>
      </c>
      <c r="F157" s="208">
        <v>64.0</v>
      </c>
      <c r="G157" s="208" t="s">
        <v>5562</v>
      </c>
      <c r="H157" s="208"/>
    </row>
    <row r="158">
      <c r="B158" s="367"/>
      <c r="C158" s="208" t="b">
        <v>0</v>
      </c>
      <c r="D158" s="369" t="str">
        <f t="shared" si="1"/>
        <v/>
      </c>
      <c r="E158" s="368" t="s">
        <v>5563</v>
      </c>
      <c r="F158" s="208">
        <v>64.0</v>
      </c>
      <c r="G158" s="208" t="s">
        <v>5564</v>
      </c>
      <c r="H158" s="208"/>
    </row>
    <row r="159">
      <c r="B159" s="367"/>
      <c r="C159" s="208" t="b">
        <v>0</v>
      </c>
      <c r="D159" s="369" t="str">
        <f t="shared" si="1"/>
        <v/>
      </c>
      <c r="E159" s="368" t="s">
        <v>5565</v>
      </c>
      <c r="F159" s="208">
        <v>1.0</v>
      </c>
      <c r="G159" s="208" t="s">
        <v>2035</v>
      </c>
      <c r="H159" s="208"/>
    </row>
    <row r="160">
      <c r="B160" s="367" t="s">
        <v>5518</v>
      </c>
      <c r="C160" s="208" t="b">
        <v>0</v>
      </c>
      <c r="D160" s="369" t="str">
        <f t="shared" si="1"/>
        <v/>
      </c>
      <c r="E160" s="368" t="s">
        <v>5566</v>
      </c>
      <c r="F160" s="208">
        <v>64.0</v>
      </c>
      <c r="G160" s="208" t="s">
        <v>5567</v>
      </c>
      <c r="H160" s="208"/>
    </row>
    <row r="161">
      <c r="B161" s="367" t="s">
        <v>5518</v>
      </c>
      <c r="C161" s="208" t="b">
        <v>0</v>
      </c>
      <c r="D161" s="369" t="str">
        <f t="shared" si="1"/>
        <v/>
      </c>
      <c r="E161" s="368" t="s">
        <v>5568</v>
      </c>
      <c r="F161" s="208">
        <v>64.0</v>
      </c>
      <c r="G161" s="208" t="s">
        <v>5569</v>
      </c>
      <c r="H161" s="208"/>
    </row>
    <row r="162">
      <c r="B162" s="367" t="s">
        <v>5518</v>
      </c>
      <c r="C162" s="208" t="b">
        <v>0</v>
      </c>
      <c r="D162" s="369" t="str">
        <f t="shared" si="1"/>
        <v/>
      </c>
      <c r="E162" s="368" t="s">
        <v>5570</v>
      </c>
      <c r="F162" s="208">
        <v>64.0</v>
      </c>
      <c r="G162" s="208" t="s">
        <v>5571</v>
      </c>
      <c r="H162" s="208"/>
    </row>
    <row r="163">
      <c r="B163" s="367"/>
      <c r="C163" s="208" t="b">
        <v>0</v>
      </c>
      <c r="D163" s="369" t="str">
        <f t="shared" si="1"/>
        <v/>
      </c>
      <c r="E163" s="368" t="s">
        <v>5572</v>
      </c>
      <c r="F163" s="208">
        <v>16.0</v>
      </c>
      <c r="G163" s="208" t="s">
        <v>2170</v>
      </c>
      <c r="H163" s="208"/>
    </row>
    <row r="164">
      <c r="B164" s="372" t="s">
        <v>2905</v>
      </c>
      <c r="C164" s="208" t="b">
        <v>0</v>
      </c>
      <c r="D164" s="369" t="str">
        <f t="shared" si="1"/>
        <v/>
      </c>
      <c r="E164" s="368" t="s">
        <v>5573</v>
      </c>
      <c r="F164" s="208">
        <v>1.0</v>
      </c>
      <c r="G164" s="208" t="s">
        <v>5574</v>
      </c>
      <c r="H164" s="208"/>
    </row>
    <row r="165">
      <c r="B165" s="367"/>
      <c r="C165" s="208" t="b">
        <v>0</v>
      </c>
      <c r="D165" s="369" t="str">
        <f t="shared" si="1"/>
        <v/>
      </c>
      <c r="E165" s="368" t="s">
        <v>5575</v>
      </c>
      <c r="F165" s="208">
        <v>64.0</v>
      </c>
      <c r="G165" s="208" t="s">
        <v>1448</v>
      </c>
      <c r="H165" s="208"/>
    </row>
    <row r="166">
      <c r="B166" s="367"/>
      <c r="C166" s="208" t="b">
        <v>0</v>
      </c>
      <c r="D166" s="369" t="str">
        <f t="shared" si="1"/>
        <v/>
      </c>
      <c r="E166" s="368" t="s">
        <v>5576</v>
      </c>
      <c r="F166" s="208">
        <v>1.0</v>
      </c>
      <c r="G166" s="208" t="s">
        <v>949</v>
      </c>
      <c r="H166" s="208"/>
    </row>
    <row r="167">
      <c r="B167" s="367"/>
      <c r="C167" s="208" t="b">
        <v>0</v>
      </c>
      <c r="D167" s="369" t="str">
        <f t="shared" si="1"/>
        <v/>
      </c>
      <c r="E167" s="368" t="s">
        <v>5577</v>
      </c>
      <c r="F167" s="208">
        <v>64.0</v>
      </c>
      <c r="G167" s="208" t="s">
        <v>640</v>
      </c>
      <c r="H167" s="208"/>
    </row>
    <row r="168">
      <c r="B168" s="367"/>
      <c r="C168" s="208" t="b">
        <v>0</v>
      </c>
      <c r="D168" s="369" t="str">
        <f t="shared" si="1"/>
        <v/>
      </c>
      <c r="E168" s="368" t="s">
        <v>5578</v>
      </c>
      <c r="F168" s="208">
        <v>64.0</v>
      </c>
      <c r="G168" s="208" t="s">
        <v>3595</v>
      </c>
      <c r="H168" s="208"/>
    </row>
    <row r="169">
      <c r="B169" s="367"/>
      <c r="C169" s="208" t="b">
        <v>0</v>
      </c>
      <c r="D169" s="369" t="str">
        <f t="shared" si="1"/>
        <v/>
      </c>
      <c r="E169" s="368" t="s">
        <v>5579</v>
      </c>
      <c r="F169" s="208">
        <v>64.0</v>
      </c>
      <c r="G169" s="208" t="s">
        <v>911</v>
      </c>
      <c r="H169" s="208"/>
    </row>
    <row r="170">
      <c r="B170" s="367" t="s">
        <v>117</v>
      </c>
      <c r="C170" s="208" t="b">
        <v>0</v>
      </c>
      <c r="D170" s="369" t="str">
        <f t="shared" si="1"/>
        <v/>
      </c>
      <c r="E170" s="368" t="s">
        <v>5580</v>
      </c>
      <c r="F170" s="208">
        <v>64.0</v>
      </c>
      <c r="G170" s="208" t="s">
        <v>940</v>
      </c>
      <c r="H170" s="208"/>
    </row>
    <row r="171">
      <c r="B171" s="367"/>
      <c r="C171" s="208" t="b">
        <v>0</v>
      </c>
      <c r="D171" s="369" t="str">
        <f t="shared" si="1"/>
        <v/>
      </c>
      <c r="E171" s="368" t="s">
        <v>5581</v>
      </c>
      <c r="F171" s="208">
        <v>64.0</v>
      </c>
      <c r="G171" s="208" t="s">
        <v>1588</v>
      </c>
      <c r="H171" s="208"/>
    </row>
    <row r="172">
      <c r="B172" s="367"/>
      <c r="C172" s="208" t="b">
        <v>0</v>
      </c>
      <c r="D172" s="369" t="str">
        <f t="shared" si="1"/>
        <v/>
      </c>
      <c r="E172" s="368" t="s">
        <v>5582</v>
      </c>
      <c r="F172" s="208">
        <v>1.0</v>
      </c>
      <c r="G172" s="208" t="s">
        <v>1621</v>
      </c>
      <c r="H172" s="208"/>
    </row>
    <row r="173">
      <c r="B173" s="367"/>
      <c r="C173" s="208" t="b">
        <v>0</v>
      </c>
      <c r="D173" s="369" t="str">
        <f t="shared" si="1"/>
        <v/>
      </c>
      <c r="E173" s="368" t="s">
        <v>5583</v>
      </c>
      <c r="F173" s="208">
        <v>64.0</v>
      </c>
      <c r="G173" s="208" t="s">
        <v>3240</v>
      </c>
      <c r="H173" s="208"/>
    </row>
    <row r="174">
      <c r="B174" s="367"/>
      <c r="C174" s="208" t="b">
        <v>0</v>
      </c>
      <c r="D174" s="369" t="str">
        <f t="shared" si="1"/>
        <v/>
      </c>
      <c r="E174" s="368" t="s">
        <v>5584</v>
      </c>
      <c r="F174" s="208">
        <v>64.0</v>
      </c>
      <c r="G174" s="208" t="s">
        <v>1518</v>
      </c>
      <c r="H174" s="208"/>
    </row>
    <row r="175">
      <c r="B175" s="367"/>
      <c r="C175" s="208" t="b">
        <v>0</v>
      </c>
      <c r="D175" s="369" t="str">
        <f t="shared" si="1"/>
        <v/>
      </c>
      <c r="E175" s="368" t="s">
        <v>5585</v>
      </c>
      <c r="F175" s="208">
        <v>64.0</v>
      </c>
      <c r="G175" s="208" t="s">
        <v>1296</v>
      </c>
      <c r="H175" s="208"/>
    </row>
    <row r="176">
      <c r="B176" s="367"/>
      <c r="C176" s="208" t="b">
        <v>0</v>
      </c>
      <c r="D176" s="369" t="str">
        <f t="shared" si="1"/>
        <v/>
      </c>
      <c r="E176" s="368" t="s">
        <v>5586</v>
      </c>
      <c r="F176" s="208">
        <v>64.0</v>
      </c>
      <c r="G176" s="208" t="s">
        <v>1247</v>
      </c>
      <c r="H176" s="208"/>
    </row>
    <row r="177">
      <c r="B177" s="367" t="s">
        <v>3218</v>
      </c>
      <c r="C177" s="208" t="b">
        <v>0</v>
      </c>
      <c r="D177" s="369" t="str">
        <f t="shared" si="1"/>
        <v/>
      </c>
      <c r="E177" s="368" t="s">
        <v>5587</v>
      </c>
      <c r="F177" s="208">
        <v>1.0</v>
      </c>
      <c r="G177" s="208" t="s">
        <v>339</v>
      </c>
      <c r="H177" s="208"/>
    </row>
    <row r="178">
      <c r="B178" s="367" t="s">
        <v>3218</v>
      </c>
      <c r="C178" s="208" t="b">
        <v>0</v>
      </c>
      <c r="D178" s="369" t="str">
        <f t="shared" si="1"/>
        <v/>
      </c>
      <c r="E178" s="368" t="s">
        <v>5588</v>
      </c>
      <c r="F178" s="208">
        <v>1.0</v>
      </c>
      <c r="G178" s="208" t="s">
        <v>1274</v>
      </c>
      <c r="H178" s="208"/>
    </row>
    <row r="179">
      <c r="B179" s="367" t="s">
        <v>3218</v>
      </c>
      <c r="C179" s="208" t="b">
        <v>0</v>
      </c>
      <c r="D179" s="369" t="str">
        <f t="shared" si="1"/>
        <v/>
      </c>
      <c r="E179" s="368" t="s">
        <v>5589</v>
      </c>
      <c r="F179" s="208">
        <v>1.0</v>
      </c>
      <c r="G179" s="208" t="s">
        <v>204</v>
      </c>
      <c r="H179" s="208"/>
    </row>
    <row r="180">
      <c r="B180" s="367" t="s">
        <v>3218</v>
      </c>
      <c r="C180" s="208" t="b">
        <v>0</v>
      </c>
      <c r="D180" s="369" t="str">
        <f t="shared" si="1"/>
        <v/>
      </c>
      <c r="E180" s="368" t="s">
        <v>5590</v>
      </c>
      <c r="F180" s="208">
        <v>1.0</v>
      </c>
      <c r="G180" s="208" t="s">
        <v>597</v>
      </c>
      <c r="H180" s="208"/>
    </row>
    <row r="181">
      <c r="B181" s="367"/>
      <c r="C181" s="208" t="b">
        <v>0</v>
      </c>
      <c r="D181" s="369" t="str">
        <f t="shared" si="1"/>
        <v/>
      </c>
      <c r="E181" s="368" t="s">
        <v>5591</v>
      </c>
      <c r="F181" s="208">
        <v>64.0</v>
      </c>
      <c r="G181" s="208" t="s">
        <v>452</v>
      </c>
      <c r="H181" s="208"/>
    </row>
    <row r="182">
      <c r="B182" s="367"/>
      <c r="C182" s="208" t="b">
        <v>0</v>
      </c>
      <c r="D182" s="369" t="str">
        <f t="shared" si="1"/>
        <v/>
      </c>
      <c r="E182" s="368" t="s">
        <v>5592</v>
      </c>
      <c r="F182" s="208">
        <v>1.0</v>
      </c>
      <c r="G182" s="208" t="s">
        <v>5593</v>
      </c>
      <c r="H182" s="208"/>
    </row>
    <row r="183">
      <c r="B183" s="367"/>
      <c r="C183" s="208" t="b">
        <v>0</v>
      </c>
      <c r="D183" s="369" t="str">
        <f t="shared" si="1"/>
        <v/>
      </c>
      <c r="E183" s="368" t="s">
        <v>5594</v>
      </c>
      <c r="F183" s="208">
        <v>64.0</v>
      </c>
      <c r="G183" s="208" t="s">
        <v>5595</v>
      </c>
      <c r="H183" s="208"/>
    </row>
    <row r="184">
      <c r="B184" s="367"/>
      <c r="C184" s="208" t="b">
        <v>0</v>
      </c>
      <c r="D184" s="369" t="str">
        <f t="shared" si="1"/>
        <v/>
      </c>
      <c r="E184" s="368" t="s">
        <v>5596</v>
      </c>
      <c r="F184" s="208">
        <v>1.0</v>
      </c>
      <c r="G184" s="208" t="s">
        <v>5597</v>
      </c>
      <c r="H184" s="208"/>
    </row>
    <row r="185">
      <c r="B185" s="367"/>
      <c r="C185" s="208" t="b">
        <v>0</v>
      </c>
      <c r="D185" s="369" t="str">
        <f t="shared" si="1"/>
        <v/>
      </c>
      <c r="E185" s="368" t="s">
        <v>5598</v>
      </c>
      <c r="F185" s="208">
        <v>64.0</v>
      </c>
      <c r="G185" s="208" t="s">
        <v>5599</v>
      </c>
      <c r="H185" s="208"/>
    </row>
    <row r="186">
      <c r="B186" s="367"/>
      <c r="C186" s="208" t="b">
        <v>0</v>
      </c>
      <c r="D186" s="369" t="str">
        <f t="shared" si="1"/>
        <v/>
      </c>
      <c r="E186" s="368" t="s">
        <v>5600</v>
      </c>
      <c r="F186" s="208">
        <v>64.0</v>
      </c>
      <c r="G186" s="208" t="s">
        <v>5601</v>
      </c>
      <c r="H186" s="208"/>
    </row>
    <row r="187">
      <c r="B187" s="367"/>
      <c r="C187" s="208" t="b">
        <v>0</v>
      </c>
      <c r="D187" s="369" t="str">
        <f t="shared" si="1"/>
        <v/>
      </c>
      <c r="E187" s="368" t="s">
        <v>5602</v>
      </c>
      <c r="F187" s="208">
        <v>64.0</v>
      </c>
      <c r="G187" s="208" t="s">
        <v>5603</v>
      </c>
      <c r="H187" s="208"/>
    </row>
    <row r="188">
      <c r="B188" s="367"/>
      <c r="C188" s="208" t="b">
        <v>0</v>
      </c>
      <c r="D188" s="369" t="str">
        <f t="shared" si="1"/>
        <v/>
      </c>
      <c r="E188" s="368" t="s">
        <v>5604</v>
      </c>
      <c r="F188" s="208">
        <v>16.0</v>
      </c>
      <c r="G188" s="208" t="s">
        <v>5605</v>
      </c>
      <c r="H188" s="208"/>
    </row>
    <row r="189">
      <c r="B189" s="367"/>
      <c r="C189" s="208" t="b">
        <v>0</v>
      </c>
      <c r="D189" s="369" t="str">
        <f t="shared" si="1"/>
        <v/>
      </c>
      <c r="E189" s="368" t="s">
        <v>5606</v>
      </c>
      <c r="F189" s="208">
        <v>64.0</v>
      </c>
      <c r="G189" s="208" t="s">
        <v>4977</v>
      </c>
      <c r="H189" s="208"/>
    </row>
    <row r="190">
      <c r="B190" s="367"/>
      <c r="C190" s="208" t="b">
        <v>0</v>
      </c>
      <c r="D190" s="369" t="str">
        <f t="shared" si="1"/>
        <v/>
      </c>
      <c r="E190" s="368" t="s">
        <v>5607</v>
      </c>
      <c r="F190" s="208">
        <v>64.0</v>
      </c>
      <c r="G190" s="208" t="s">
        <v>5608</v>
      </c>
      <c r="H190" s="208"/>
    </row>
    <row r="191">
      <c r="B191" s="367"/>
      <c r="C191" s="208" t="b">
        <v>0</v>
      </c>
      <c r="D191" s="369" t="str">
        <f t="shared" si="1"/>
        <v/>
      </c>
      <c r="E191" s="368" t="s">
        <v>5609</v>
      </c>
      <c r="F191" s="208">
        <v>64.0</v>
      </c>
      <c r="G191" s="208" t="s">
        <v>5610</v>
      </c>
      <c r="H191" s="208"/>
    </row>
    <row r="192">
      <c r="B192" s="367"/>
      <c r="C192" s="208" t="b">
        <v>0</v>
      </c>
      <c r="D192" s="369" t="str">
        <f t="shared" si="1"/>
        <v/>
      </c>
      <c r="E192" s="368" t="s">
        <v>5611</v>
      </c>
      <c r="F192" s="208">
        <v>64.0</v>
      </c>
      <c r="G192" s="208" t="s">
        <v>5612</v>
      </c>
      <c r="H192" s="208"/>
    </row>
    <row r="193">
      <c r="B193" s="367"/>
      <c r="C193" s="208" t="b">
        <v>0</v>
      </c>
      <c r="D193" s="369" t="str">
        <f t="shared" si="1"/>
        <v/>
      </c>
      <c r="E193" s="368" t="s">
        <v>5613</v>
      </c>
      <c r="F193" s="208">
        <v>64.0</v>
      </c>
      <c r="G193" s="208" t="s">
        <v>1073</v>
      </c>
      <c r="H193" s="208"/>
    </row>
    <row r="194">
      <c r="B194" s="367"/>
      <c r="C194" s="208" t="b">
        <v>0</v>
      </c>
      <c r="D194" s="369" t="str">
        <f t="shared" si="1"/>
        <v/>
      </c>
      <c r="E194" s="368" t="s">
        <v>5614</v>
      </c>
      <c r="F194" s="208">
        <v>16.0</v>
      </c>
      <c r="G194" s="208" t="s">
        <v>5615</v>
      </c>
      <c r="H194" s="208"/>
    </row>
    <row r="195">
      <c r="B195" s="367"/>
      <c r="C195" s="208" t="b">
        <v>0</v>
      </c>
      <c r="D195" s="369" t="str">
        <f t="shared" si="1"/>
        <v/>
      </c>
      <c r="E195" s="368" t="s">
        <v>5616</v>
      </c>
      <c r="F195" s="208">
        <v>64.0</v>
      </c>
      <c r="G195" s="208" t="s">
        <v>5617</v>
      </c>
      <c r="H195" s="208"/>
    </row>
    <row r="196">
      <c r="B196" s="367"/>
      <c r="C196" s="208" t="b">
        <v>0</v>
      </c>
      <c r="D196" s="369" t="str">
        <f t="shared" si="1"/>
        <v/>
      </c>
      <c r="E196" s="368" t="s">
        <v>5618</v>
      </c>
      <c r="F196" s="208">
        <v>64.0</v>
      </c>
      <c r="G196" s="208" t="s">
        <v>5619</v>
      </c>
      <c r="H196" s="208"/>
    </row>
    <row r="197">
      <c r="B197" s="367"/>
      <c r="C197" s="208" t="b">
        <v>0</v>
      </c>
      <c r="D197" s="369" t="str">
        <f t="shared" si="1"/>
        <v/>
      </c>
      <c r="E197" s="368" t="s">
        <v>5620</v>
      </c>
      <c r="F197" s="208">
        <v>64.0</v>
      </c>
      <c r="G197" s="208" t="s">
        <v>5621</v>
      </c>
      <c r="H197" s="208"/>
    </row>
    <row r="198">
      <c r="B198" s="367"/>
      <c r="C198" s="208" t="b">
        <v>0</v>
      </c>
      <c r="D198" s="369" t="str">
        <f t="shared" si="1"/>
        <v/>
      </c>
      <c r="E198" s="368" t="s">
        <v>5622</v>
      </c>
      <c r="F198" s="208">
        <v>64.0</v>
      </c>
      <c r="G198" s="208" t="s">
        <v>5623</v>
      </c>
      <c r="H198" s="208"/>
    </row>
    <row r="199">
      <c r="B199" s="367"/>
      <c r="C199" s="208" t="b">
        <v>0</v>
      </c>
      <c r="D199" s="369" t="str">
        <f t="shared" si="1"/>
        <v/>
      </c>
      <c r="E199" s="368" t="s">
        <v>5624</v>
      </c>
      <c r="F199" s="208">
        <v>64.0</v>
      </c>
      <c r="G199" s="208" t="s">
        <v>832</v>
      </c>
      <c r="H199" s="208"/>
    </row>
    <row r="200">
      <c r="B200" s="367"/>
      <c r="C200" s="208" t="b">
        <v>0</v>
      </c>
      <c r="D200" s="369" t="str">
        <f t="shared" si="1"/>
        <v/>
      </c>
      <c r="E200" s="368" t="s">
        <v>5625</v>
      </c>
      <c r="F200" s="208">
        <v>1.0</v>
      </c>
      <c r="G200" s="208" t="s">
        <v>317</v>
      </c>
      <c r="H200" s="208"/>
    </row>
    <row r="201">
      <c r="B201" s="367"/>
      <c r="C201" s="208" t="b">
        <v>0</v>
      </c>
      <c r="D201" s="369" t="str">
        <f t="shared" si="1"/>
        <v/>
      </c>
      <c r="E201" s="368" t="s">
        <v>5626</v>
      </c>
      <c r="F201" s="208">
        <v>64.0</v>
      </c>
      <c r="G201" s="208" t="s">
        <v>2621</v>
      </c>
      <c r="H201" s="208"/>
    </row>
    <row r="202">
      <c r="B202" s="367"/>
      <c r="C202" s="208" t="b">
        <v>0</v>
      </c>
      <c r="D202" s="369" t="str">
        <f t="shared" si="1"/>
        <v/>
      </c>
      <c r="E202" s="368" t="s">
        <v>5627</v>
      </c>
      <c r="F202" s="208">
        <v>64.0</v>
      </c>
      <c r="G202" s="208" t="s">
        <v>5628</v>
      </c>
      <c r="H202" s="208"/>
    </row>
    <row r="203">
      <c r="B203" s="367"/>
      <c r="C203" s="208" t="b">
        <v>0</v>
      </c>
      <c r="D203" s="369" t="str">
        <f t="shared" si="1"/>
        <v/>
      </c>
      <c r="E203" s="368" t="s">
        <v>5629</v>
      </c>
      <c r="F203" s="208">
        <v>64.0</v>
      </c>
      <c r="G203" s="208" t="s">
        <v>848</v>
      </c>
      <c r="H203" s="208"/>
    </row>
    <row r="204">
      <c r="B204" s="370"/>
      <c r="C204" s="208" t="b">
        <v>0</v>
      </c>
      <c r="D204" s="369" t="str">
        <f t="shared" si="1"/>
        <v/>
      </c>
      <c r="E204" s="368" t="s">
        <v>5630</v>
      </c>
      <c r="F204" s="208">
        <v>64.0</v>
      </c>
      <c r="G204" s="208" t="s">
        <v>5631</v>
      </c>
      <c r="H204" s="208"/>
    </row>
    <row r="205">
      <c r="B205" s="367"/>
      <c r="C205" s="208" t="b">
        <v>0</v>
      </c>
      <c r="D205" s="369" t="str">
        <f t="shared" si="1"/>
        <v/>
      </c>
      <c r="E205" s="368" t="s">
        <v>5632</v>
      </c>
      <c r="F205" s="208">
        <v>64.0</v>
      </c>
      <c r="G205" s="208" t="s">
        <v>5633</v>
      </c>
      <c r="H205" s="208"/>
    </row>
    <row r="206">
      <c r="B206" s="367"/>
      <c r="C206" s="208" t="b">
        <v>0</v>
      </c>
      <c r="D206" s="369" t="str">
        <f t="shared" si="1"/>
        <v/>
      </c>
      <c r="E206" s="368" t="s">
        <v>5634</v>
      </c>
      <c r="F206" s="208">
        <v>64.0</v>
      </c>
      <c r="G206" s="208" t="s">
        <v>5635</v>
      </c>
      <c r="H206" s="208"/>
    </row>
    <row r="207">
      <c r="B207" s="367"/>
      <c r="C207" s="208" t="b">
        <v>0</v>
      </c>
      <c r="D207" s="369" t="str">
        <f t="shared" si="1"/>
        <v/>
      </c>
      <c r="E207" s="368" t="s">
        <v>5636</v>
      </c>
      <c r="F207" s="208">
        <v>64.0</v>
      </c>
      <c r="G207" s="208" t="s">
        <v>5637</v>
      </c>
      <c r="H207" s="208"/>
    </row>
    <row r="208">
      <c r="B208" s="367"/>
      <c r="C208" s="208" t="b">
        <v>0</v>
      </c>
      <c r="D208" s="369" t="str">
        <f t="shared" si="1"/>
        <v/>
      </c>
      <c r="E208" s="368" t="s">
        <v>5638</v>
      </c>
      <c r="F208" s="208">
        <v>64.0</v>
      </c>
      <c r="G208" s="208" t="s">
        <v>1236</v>
      </c>
      <c r="H208" s="208"/>
    </row>
    <row r="209">
      <c r="B209" s="367"/>
      <c r="C209" s="208" t="b">
        <v>0</v>
      </c>
      <c r="D209" s="369" t="str">
        <f t="shared" si="1"/>
        <v/>
      </c>
      <c r="E209" s="368" t="s">
        <v>5639</v>
      </c>
      <c r="F209" s="208">
        <v>64.0</v>
      </c>
      <c r="G209" s="208" t="s">
        <v>5640</v>
      </c>
      <c r="H209" s="208"/>
    </row>
    <row r="210">
      <c r="B210" s="367"/>
      <c r="C210" s="208" t="b">
        <v>0</v>
      </c>
      <c r="D210" s="369" t="str">
        <f t="shared" si="1"/>
        <v/>
      </c>
      <c r="E210" s="368" t="s">
        <v>5641</v>
      </c>
      <c r="F210" s="208">
        <v>64.0</v>
      </c>
      <c r="G210" s="208" t="s">
        <v>1211</v>
      </c>
      <c r="H210" s="208"/>
    </row>
    <row r="211">
      <c r="B211" s="367"/>
      <c r="C211" s="208" t="b">
        <v>0</v>
      </c>
      <c r="D211" s="369" t="str">
        <f t="shared" si="1"/>
        <v/>
      </c>
      <c r="E211" s="368" t="s">
        <v>5642</v>
      </c>
      <c r="F211" s="208">
        <v>64.0</v>
      </c>
      <c r="G211" s="208" t="s">
        <v>5156</v>
      </c>
      <c r="H211" s="208"/>
    </row>
    <row r="212">
      <c r="B212" s="370"/>
      <c r="C212" s="208" t="b">
        <v>0</v>
      </c>
      <c r="D212" s="369" t="str">
        <f t="shared" si="1"/>
        <v/>
      </c>
      <c r="E212" s="368" t="s">
        <v>5643</v>
      </c>
      <c r="F212" s="208">
        <v>64.0</v>
      </c>
      <c r="G212" s="208" t="s">
        <v>3311</v>
      </c>
      <c r="H212" s="208"/>
    </row>
    <row r="213">
      <c r="B213" s="370"/>
      <c r="C213" s="208" t="b">
        <v>0</v>
      </c>
      <c r="D213" s="369" t="str">
        <f t="shared" si="1"/>
        <v/>
      </c>
      <c r="E213" s="368" t="s">
        <v>5644</v>
      </c>
      <c r="F213" s="208">
        <v>64.0</v>
      </c>
      <c r="G213" s="208" t="s">
        <v>1220</v>
      </c>
      <c r="H213" s="208"/>
    </row>
    <row r="214">
      <c r="B214" s="367" t="s">
        <v>5645</v>
      </c>
      <c r="C214" s="208" t="b">
        <v>0</v>
      </c>
      <c r="D214" s="369" t="str">
        <f t="shared" si="1"/>
        <v/>
      </c>
      <c r="E214" s="368" t="s">
        <v>5646</v>
      </c>
      <c r="F214" s="208">
        <v>64.0</v>
      </c>
      <c r="G214" s="208" t="s">
        <v>4707</v>
      </c>
      <c r="H214" s="208"/>
    </row>
    <row r="215">
      <c r="B215" s="367" t="s">
        <v>5645</v>
      </c>
      <c r="C215" s="208" t="b">
        <v>0</v>
      </c>
      <c r="D215" s="369" t="str">
        <f t="shared" si="1"/>
        <v/>
      </c>
      <c r="E215" s="368" t="s">
        <v>5647</v>
      </c>
      <c r="F215" s="208">
        <v>64.0</v>
      </c>
      <c r="G215" s="208" t="s">
        <v>4701</v>
      </c>
      <c r="H215" s="208"/>
    </row>
    <row r="216">
      <c r="B216" s="367"/>
      <c r="C216" s="208" t="b">
        <v>0</v>
      </c>
      <c r="D216" s="369" t="str">
        <f t="shared" si="1"/>
        <v/>
      </c>
      <c r="E216" s="368" t="s">
        <v>5648</v>
      </c>
      <c r="F216" s="208">
        <v>64.0</v>
      </c>
      <c r="G216" s="208" t="s">
        <v>5649</v>
      </c>
      <c r="H216" s="208"/>
    </row>
    <row r="217">
      <c r="B217" s="367"/>
      <c r="C217" s="208" t="b">
        <v>0</v>
      </c>
      <c r="D217" s="369" t="str">
        <f t="shared" si="1"/>
        <v/>
      </c>
      <c r="E217" s="368" t="s">
        <v>5650</v>
      </c>
      <c r="F217" s="208">
        <v>64.0</v>
      </c>
      <c r="G217" s="208" t="s">
        <v>1161</v>
      </c>
      <c r="H217" s="208"/>
    </row>
    <row r="218">
      <c r="B218" s="367"/>
      <c r="C218" s="208" t="b">
        <v>0</v>
      </c>
      <c r="D218" s="369" t="str">
        <f t="shared" si="1"/>
        <v/>
      </c>
      <c r="E218" s="368" t="s">
        <v>5651</v>
      </c>
      <c r="F218" s="208">
        <v>64.0</v>
      </c>
      <c r="G218" s="208" t="s">
        <v>624</v>
      </c>
      <c r="H218" s="208"/>
    </row>
    <row r="219">
      <c r="B219" s="367"/>
      <c r="C219" s="208" t="b">
        <v>0</v>
      </c>
      <c r="D219" s="369" t="str">
        <f t="shared" si="1"/>
        <v/>
      </c>
      <c r="E219" s="368" t="s">
        <v>5652</v>
      </c>
      <c r="F219" s="208">
        <v>64.0</v>
      </c>
      <c r="G219" s="208" t="s">
        <v>433</v>
      </c>
      <c r="H219" s="208"/>
    </row>
    <row r="220">
      <c r="B220" s="367" t="s">
        <v>5110</v>
      </c>
      <c r="C220" s="208" t="b">
        <v>0</v>
      </c>
      <c r="D220" s="369" t="str">
        <f t="shared" si="1"/>
        <v/>
      </c>
      <c r="E220" s="368" t="s">
        <v>5653</v>
      </c>
      <c r="F220" s="208">
        <v>64.0</v>
      </c>
      <c r="G220" s="208" t="s">
        <v>438</v>
      </c>
      <c r="H220" s="208"/>
    </row>
    <row r="221">
      <c r="B221" s="367" t="s">
        <v>5110</v>
      </c>
      <c r="C221" s="208" t="b">
        <v>0</v>
      </c>
      <c r="D221" s="369" t="str">
        <f t="shared" si="1"/>
        <v/>
      </c>
      <c r="E221" s="368" t="s">
        <v>5654</v>
      </c>
      <c r="F221" s="208">
        <v>64.0</v>
      </c>
      <c r="G221" s="208" t="s">
        <v>5655</v>
      </c>
      <c r="H221" s="208"/>
    </row>
    <row r="222">
      <c r="B222" s="367"/>
      <c r="C222" s="208" t="b">
        <v>0</v>
      </c>
      <c r="D222" s="369" t="str">
        <f t="shared" si="1"/>
        <v/>
      </c>
      <c r="E222" s="368" t="s">
        <v>5656</v>
      </c>
      <c r="F222" s="208">
        <v>64.0</v>
      </c>
      <c r="G222" s="208" t="s">
        <v>5657</v>
      </c>
      <c r="H222" s="208"/>
    </row>
    <row r="223">
      <c r="B223" s="367" t="s">
        <v>1343</v>
      </c>
      <c r="C223" s="208" t="b">
        <v>0</v>
      </c>
      <c r="D223" s="369" t="str">
        <f>image(CONCATENATE("https://nerothe.com/img/1.21/minecraft_",G223,"_smithing_template.png"))</f>
        <v/>
      </c>
      <c r="E223" s="368" t="s">
        <v>5658</v>
      </c>
      <c r="F223" s="208">
        <v>64.0</v>
      </c>
      <c r="G223" s="208" t="s">
        <v>5659</v>
      </c>
      <c r="H223" s="208"/>
    </row>
    <row r="224">
      <c r="B224" s="367"/>
      <c r="C224" s="208" t="b">
        <v>0</v>
      </c>
      <c r="D224" s="369" t="str">
        <f t="shared" ref="D224:D388" si="2">image(CONCATENATE("https://nerothe.com/img/1.21/minecraft_",G224,".png"))</f>
        <v/>
      </c>
      <c r="E224" s="368" t="s">
        <v>5660</v>
      </c>
      <c r="F224" s="208">
        <v>64.0</v>
      </c>
      <c r="G224" s="208" t="s">
        <v>5661</v>
      </c>
      <c r="H224" s="208"/>
    </row>
    <row r="225">
      <c r="B225" s="367"/>
      <c r="C225" s="208" t="b">
        <v>0</v>
      </c>
      <c r="D225" s="369" t="str">
        <f t="shared" si="2"/>
        <v/>
      </c>
      <c r="E225" s="368" t="s">
        <v>5662</v>
      </c>
      <c r="F225" s="208">
        <v>64.0</v>
      </c>
      <c r="G225" s="208" t="s">
        <v>5663</v>
      </c>
      <c r="H225" s="208"/>
    </row>
    <row r="226">
      <c r="B226" s="367"/>
      <c r="C226" s="208" t="b">
        <v>0</v>
      </c>
      <c r="D226" s="369" t="str">
        <f t="shared" si="2"/>
        <v/>
      </c>
      <c r="E226" s="368" t="s">
        <v>5664</v>
      </c>
      <c r="F226" s="208">
        <v>64.0</v>
      </c>
      <c r="G226" s="208" t="s">
        <v>5665</v>
      </c>
      <c r="H226" s="208"/>
    </row>
    <row r="227">
      <c r="B227" s="367"/>
      <c r="C227" s="208" t="b">
        <v>0</v>
      </c>
      <c r="D227" s="369" t="str">
        <f t="shared" si="2"/>
        <v/>
      </c>
      <c r="E227" s="368" t="s">
        <v>5666</v>
      </c>
      <c r="F227" s="208">
        <v>64.0</v>
      </c>
      <c r="G227" s="208" t="s">
        <v>5667</v>
      </c>
      <c r="H227" s="208"/>
    </row>
    <row r="228">
      <c r="B228" s="367"/>
      <c r="C228" s="208" t="b">
        <v>0</v>
      </c>
      <c r="D228" s="369" t="str">
        <f t="shared" si="2"/>
        <v/>
      </c>
      <c r="E228" s="368" t="s">
        <v>5668</v>
      </c>
      <c r="F228" s="208">
        <v>64.0</v>
      </c>
      <c r="G228" s="208" t="s">
        <v>192</v>
      </c>
      <c r="H228" s="208"/>
    </row>
    <row r="229">
      <c r="B229" s="367"/>
      <c r="C229" s="208" t="b">
        <v>0</v>
      </c>
      <c r="D229" s="369" t="str">
        <f t="shared" si="2"/>
        <v/>
      </c>
      <c r="E229" s="368" t="s">
        <v>5669</v>
      </c>
      <c r="F229" s="208">
        <v>64.0</v>
      </c>
      <c r="G229" s="208" t="s">
        <v>5670</v>
      </c>
      <c r="H229" s="208"/>
    </row>
    <row r="230">
      <c r="B230" s="367"/>
      <c r="C230" s="208" t="b">
        <v>0</v>
      </c>
      <c r="D230" s="369" t="str">
        <f t="shared" si="2"/>
        <v/>
      </c>
      <c r="E230" s="368" t="s">
        <v>5671</v>
      </c>
      <c r="F230" s="208">
        <v>64.0</v>
      </c>
      <c r="G230" s="208" t="s">
        <v>5672</v>
      </c>
      <c r="H230" s="208"/>
    </row>
    <row r="231">
      <c r="B231" s="367"/>
      <c r="C231" s="208" t="b">
        <v>0</v>
      </c>
      <c r="D231" s="369" t="str">
        <f t="shared" si="2"/>
        <v/>
      </c>
      <c r="E231" s="368" t="s">
        <v>5673</v>
      </c>
      <c r="F231" s="208">
        <v>64.0</v>
      </c>
      <c r="G231" s="208" t="s">
        <v>822</v>
      </c>
      <c r="H231" s="208"/>
    </row>
    <row r="232">
      <c r="B232" s="367"/>
      <c r="C232" s="208" t="b">
        <v>0</v>
      </c>
      <c r="D232" s="369" t="str">
        <f t="shared" si="2"/>
        <v/>
      </c>
      <c r="E232" s="368" t="s">
        <v>5674</v>
      </c>
      <c r="F232" s="208">
        <v>64.0</v>
      </c>
      <c r="G232" s="208" t="s">
        <v>311</v>
      </c>
      <c r="H232" s="208"/>
    </row>
    <row r="233">
      <c r="B233" s="367"/>
      <c r="C233" s="208" t="b">
        <v>0</v>
      </c>
      <c r="D233" s="369" t="str">
        <f t="shared" si="2"/>
        <v/>
      </c>
      <c r="E233" s="368" t="s">
        <v>5675</v>
      </c>
      <c r="F233" s="208">
        <v>64.0</v>
      </c>
      <c r="G233" s="208" t="s">
        <v>1483</v>
      </c>
      <c r="H233" s="208"/>
    </row>
    <row r="234">
      <c r="B234" s="367"/>
      <c r="C234" s="208" t="b">
        <v>0</v>
      </c>
      <c r="D234" s="369" t="str">
        <f t="shared" si="2"/>
        <v/>
      </c>
      <c r="E234" s="368" t="s">
        <v>5676</v>
      </c>
      <c r="F234" s="208">
        <v>64.0</v>
      </c>
      <c r="G234" s="208" t="s">
        <v>2180</v>
      </c>
      <c r="H234" s="208"/>
    </row>
    <row r="235">
      <c r="B235" s="367"/>
      <c r="C235" s="208" t="b">
        <v>0</v>
      </c>
      <c r="D235" s="369" t="str">
        <f t="shared" si="2"/>
        <v/>
      </c>
      <c r="E235" s="368" t="s">
        <v>5677</v>
      </c>
      <c r="F235" s="208">
        <v>1.0</v>
      </c>
      <c r="G235" s="208" t="s">
        <v>5678</v>
      </c>
      <c r="H235" s="208"/>
    </row>
    <row r="236">
      <c r="B236" s="367"/>
      <c r="C236" s="208" t="b">
        <v>0</v>
      </c>
      <c r="D236" s="369" t="str">
        <f t="shared" si="2"/>
        <v/>
      </c>
      <c r="E236" s="368" t="s">
        <v>5679</v>
      </c>
      <c r="F236" s="208">
        <v>64.0</v>
      </c>
      <c r="G236" s="208" t="s">
        <v>3435</v>
      </c>
      <c r="H236" s="208"/>
    </row>
    <row r="237">
      <c r="B237" s="367"/>
      <c r="C237" s="208" t="b">
        <v>0</v>
      </c>
      <c r="D237" s="369" t="str">
        <f t="shared" si="2"/>
        <v/>
      </c>
      <c r="E237" s="368" t="s">
        <v>5680</v>
      </c>
      <c r="F237" s="208">
        <v>64.0</v>
      </c>
      <c r="G237" s="208" t="s">
        <v>619</v>
      </c>
      <c r="H237" s="208"/>
    </row>
    <row r="238">
      <c r="B238" s="367"/>
      <c r="C238" s="208" t="b">
        <v>0</v>
      </c>
      <c r="D238" s="369" t="str">
        <f t="shared" si="2"/>
        <v/>
      </c>
      <c r="E238" s="368" t="s">
        <v>5681</v>
      </c>
      <c r="F238" s="208">
        <v>64.0</v>
      </c>
      <c r="G238" s="208" t="s">
        <v>1552</v>
      </c>
      <c r="H238" s="208"/>
    </row>
    <row r="239">
      <c r="B239" s="367"/>
      <c r="C239" s="208" t="b">
        <v>0</v>
      </c>
      <c r="D239" s="369" t="str">
        <f t="shared" si="2"/>
        <v/>
      </c>
      <c r="E239" s="368" t="s">
        <v>5682</v>
      </c>
      <c r="F239" s="208">
        <v>64.0</v>
      </c>
      <c r="G239" s="208" t="s">
        <v>4887</v>
      </c>
      <c r="H239" s="208"/>
    </row>
    <row r="240">
      <c r="B240" s="367"/>
      <c r="C240" s="208" t="b">
        <v>0</v>
      </c>
      <c r="D240" s="369" t="str">
        <f t="shared" si="2"/>
        <v/>
      </c>
      <c r="E240" s="368" t="s">
        <v>5683</v>
      </c>
      <c r="F240" s="208">
        <v>64.0</v>
      </c>
      <c r="G240" s="208" t="s">
        <v>1684</v>
      </c>
      <c r="H240" s="208"/>
    </row>
    <row r="241">
      <c r="B241" s="367"/>
      <c r="C241" s="208" t="b">
        <v>0</v>
      </c>
      <c r="D241" s="369" t="str">
        <f t="shared" si="2"/>
        <v/>
      </c>
      <c r="E241" s="368" t="s">
        <v>5684</v>
      </c>
      <c r="F241" s="208">
        <v>64.0</v>
      </c>
      <c r="G241" s="208" t="s">
        <v>1752</v>
      </c>
      <c r="H241" s="208"/>
    </row>
    <row r="242">
      <c r="B242" s="367"/>
      <c r="C242" s="208" t="b">
        <v>0</v>
      </c>
      <c r="D242" s="369" t="str">
        <f t="shared" si="2"/>
        <v/>
      </c>
      <c r="E242" s="368" t="s">
        <v>5685</v>
      </c>
      <c r="F242" s="208">
        <v>64.0</v>
      </c>
      <c r="G242" s="208" t="s">
        <v>2176</v>
      </c>
      <c r="H242" s="208"/>
    </row>
    <row r="243">
      <c r="B243" s="367"/>
      <c r="C243" s="208" t="b">
        <v>0</v>
      </c>
      <c r="D243" s="369" t="str">
        <f t="shared" si="2"/>
        <v/>
      </c>
      <c r="E243" s="368" t="s">
        <v>5686</v>
      </c>
      <c r="F243" s="208">
        <v>64.0</v>
      </c>
      <c r="G243" s="208" t="s">
        <v>1791</v>
      </c>
      <c r="H243" s="208"/>
    </row>
    <row r="244">
      <c r="B244" s="367"/>
      <c r="C244" s="208" t="b">
        <v>0</v>
      </c>
      <c r="D244" s="369" t="str">
        <f t="shared" si="2"/>
        <v/>
      </c>
      <c r="E244" s="368" t="s">
        <v>5687</v>
      </c>
      <c r="F244" s="208">
        <v>64.0</v>
      </c>
      <c r="G244" s="208" t="s">
        <v>1615</v>
      </c>
      <c r="H244" s="208"/>
    </row>
    <row r="245">
      <c r="B245" s="367"/>
      <c r="C245" s="208" t="b">
        <v>0</v>
      </c>
      <c r="D245" s="369" t="str">
        <f t="shared" si="2"/>
        <v/>
      </c>
      <c r="E245" s="368" t="s">
        <v>5688</v>
      </c>
      <c r="F245" s="208">
        <v>64.0</v>
      </c>
      <c r="G245" s="208" t="s">
        <v>1639</v>
      </c>
      <c r="H245" s="208"/>
    </row>
    <row r="246">
      <c r="B246" s="367"/>
      <c r="C246" s="208" t="b">
        <v>0</v>
      </c>
      <c r="D246" s="369" t="str">
        <f t="shared" si="2"/>
        <v/>
      </c>
      <c r="E246" s="368" t="s">
        <v>5689</v>
      </c>
      <c r="F246" s="208">
        <v>64.0</v>
      </c>
      <c r="G246" s="208" t="s">
        <v>5690</v>
      </c>
      <c r="H246" s="208"/>
    </row>
    <row r="247">
      <c r="B247" s="367"/>
      <c r="C247" s="208" t="b">
        <v>0</v>
      </c>
      <c r="D247" s="369" t="str">
        <f t="shared" si="2"/>
        <v/>
      </c>
      <c r="E247" s="368" t="s">
        <v>5691</v>
      </c>
      <c r="F247" s="208">
        <v>64.0</v>
      </c>
      <c r="G247" s="208" t="s">
        <v>1488</v>
      </c>
      <c r="H247" s="208"/>
    </row>
    <row r="248">
      <c r="B248" s="367"/>
      <c r="C248" s="208" t="b">
        <v>0</v>
      </c>
      <c r="D248" s="369" t="str">
        <f t="shared" si="2"/>
        <v/>
      </c>
      <c r="E248" s="368" t="s">
        <v>5692</v>
      </c>
      <c r="F248" s="208">
        <v>64.0</v>
      </c>
      <c r="G248" s="208" t="s">
        <v>473</v>
      </c>
      <c r="H248" s="208"/>
    </row>
    <row r="249">
      <c r="B249" s="370"/>
      <c r="C249" s="208" t="b">
        <v>0</v>
      </c>
      <c r="D249" s="369" t="str">
        <f t="shared" si="2"/>
        <v/>
      </c>
      <c r="E249" s="368" t="s">
        <v>5693</v>
      </c>
      <c r="F249" s="208">
        <v>64.0</v>
      </c>
      <c r="G249" s="208" t="s">
        <v>991</v>
      </c>
      <c r="H249" s="208"/>
    </row>
    <row r="250">
      <c r="B250" s="370"/>
      <c r="C250" s="208" t="b">
        <v>0</v>
      </c>
      <c r="D250" s="369" t="str">
        <f t="shared" si="2"/>
        <v/>
      </c>
      <c r="E250" s="368" t="s">
        <v>5694</v>
      </c>
      <c r="F250" s="208">
        <v>64.0</v>
      </c>
      <c r="G250" s="208" t="s">
        <v>5695</v>
      </c>
      <c r="H250" s="208"/>
    </row>
    <row r="251">
      <c r="B251" s="370"/>
      <c r="C251" s="208" t="b">
        <v>0</v>
      </c>
      <c r="D251" s="369" t="str">
        <f t="shared" si="2"/>
        <v/>
      </c>
      <c r="E251" s="368" t="s">
        <v>5696</v>
      </c>
      <c r="F251" s="208">
        <v>64.0</v>
      </c>
      <c r="G251" s="208" t="s">
        <v>495</v>
      </c>
      <c r="H251" s="208"/>
    </row>
    <row r="252">
      <c r="B252" s="367"/>
      <c r="C252" s="208" t="b">
        <v>0</v>
      </c>
      <c r="D252" s="369" t="str">
        <f t="shared" si="2"/>
        <v/>
      </c>
      <c r="E252" s="368" t="s">
        <v>5697</v>
      </c>
      <c r="F252" s="208">
        <v>64.0</v>
      </c>
      <c r="G252" s="208" t="s">
        <v>462</v>
      </c>
      <c r="H252" s="208"/>
    </row>
    <row r="253">
      <c r="B253" s="367" t="s">
        <v>5110</v>
      </c>
      <c r="C253" s="208" t="b">
        <v>0</v>
      </c>
      <c r="D253" s="369" t="str">
        <f t="shared" si="2"/>
        <v/>
      </c>
      <c r="E253" s="368" t="s">
        <v>5698</v>
      </c>
      <c r="F253" s="208">
        <v>64.0</v>
      </c>
      <c r="G253" s="208" t="s">
        <v>5699</v>
      </c>
      <c r="H253" s="208"/>
    </row>
    <row r="254">
      <c r="B254" s="370"/>
      <c r="C254" s="208" t="b">
        <v>0</v>
      </c>
      <c r="D254" s="369" t="str">
        <f t="shared" si="2"/>
        <v/>
      </c>
      <c r="E254" s="368" t="s">
        <v>5700</v>
      </c>
      <c r="F254" s="208">
        <v>64.0</v>
      </c>
      <c r="G254" s="208" t="s">
        <v>5701</v>
      </c>
      <c r="H254" s="208"/>
    </row>
    <row r="255">
      <c r="B255" s="370"/>
      <c r="C255" s="208" t="b">
        <v>0</v>
      </c>
      <c r="D255" s="369" t="str">
        <f t="shared" si="2"/>
        <v/>
      </c>
      <c r="E255" s="368" t="s">
        <v>5702</v>
      </c>
      <c r="F255" s="208">
        <v>64.0</v>
      </c>
      <c r="G255" s="208" t="s">
        <v>3111</v>
      </c>
      <c r="H255" s="208"/>
    </row>
    <row r="256">
      <c r="B256" s="367"/>
      <c r="C256" s="208" t="b">
        <v>0</v>
      </c>
      <c r="D256" s="369" t="str">
        <f t="shared" si="2"/>
        <v/>
      </c>
      <c r="E256" s="368" t="s">
        <v>5703</v>
      </c>
      <c r="F256" s="208">
        <v>64.0</v>
      </c>
      <c r="G256" s="208" t="s">
        <v>5704</v>
      </c>
      <c r="H256" s="208"/>
    </row>
    <row r="257">
      <c r="B257" s="367"/>
      <c r="C257" s="208" t="b">
        <v>0</v>
      </c>
      <c r="D257" s="369" t="str">
        <f t="shared" si="2"/>
        <v/>
      </c>
      <c r="E257" s="368" t="s">
        <v>5705</v>
      </c>
      <c r="F257" s="208">
        <v>64.0</v>
      </c>
      <c r="G257" s="208" t="s">
        <v>5706</v>
      </c>
      <c r="H257" s="208"/>
    </row>
    <row r="258">
      <c r="B258" s="367"/>
      <c r="C258" s="208" t="b">
        <v>0</v>
      </c>
      <c r="D258" s="369" t="str">
        <f t="shared" si="2"/>
        <v/>
      </c>
      <c r="E258" s="368" t="s">
        <v>5707</v>
      </c>
      <c r="F258" s="208">
        <v>64.0</v>
      </c>
      <c r="G258" s="208" t="s">
        <v>5708</v>
      </c>
      <c r="H258" s="208"/>
    </row>
    <row r="259">
      <c r="B259" s="367"/>
      <c r="C259" s="208" t="b">
        <v>0</v>
      </c>
      <c r="D259" s="369" t="str">
        <f t="shared" si="2"/>
        <v/>
      </c>
      <c r="E259" s="368" t="s">
        <v>5709</v>
      </c>
      <c r="F259" s="208">
        <v>64.0</v>
      </c>
      <c r="G259" s="208" t="s">
        <v>5710</v>
      </c>
      <c r="H259" s="208"/>
    </row>
    <row r="260">
      <c r="B260" s="367"/>
      <c r="C260" s="208" t="b">
        <v>0</v>
      </c>
      <c r="D260" s="369" t="str">
        <f t="shared" si="2"/>
        <v/>
      </c>
      <c r="E260" s="368" t="s">
        <v>5711</v>
      </c>
      <c r="F260" s="208">
        <v>64.0</v>
      </c>
      <c r="G260" s="208" t="s">
        <v>1202</v>
      </c>
      <c r="H260" s="208"/>
    </row>
    <row r="261">
      <c r="B261" s="370"/>
      <c r="C261" s="208" t="b">
        <v>0</v>
      </c>
      <c r="D261" s="369" t="str">
        <f t="shared" si="2"/>
        <v/>
      </c>
      <c r="E261" s="368" t="s">
        <v>5712</v>
      </c>
      <c r="F261" s="208">
        <v>64.0</v>
      </c>
      <c r="G261" s="208" t="s">
        <v>3494</v>
      </c>
      <c r="H261" s="208"/>
    </row>
    <row r="262">
      <c r="B262" s="367"/>
      <c r="C262" s="208" t="b">
        <v>0</v>
      </c>
      <c r="D262" s="369" t="str">
        <f t="shared" si="2"/>
        <v/>
      </c>
      <c r="E262" s="368" t="s">
        <v>5713</v>
      </c>
      <c r="F262" s="208">
        <v>64.0</v>
      </c>
      <c r="G262" s="208" t="s">
        <v>3499</v>
      </c>
      <c r="H262" s="208"/>
    </row>
    <row r="263">
      <c r="B263" s="367"/>
      <c r="C263" s="208" t="b">
        <v>0</v>
      </c>
      <c r="D263" s="369" t="str">
        <f t="shared" si="2"/>
        <v/>
      </c>
      <c r="E263" s="368" t="s">
        <v>5714</v>
      </c>
      <c r="F263" s="208">
        <v>1.0</v>
      </c>
      <c r="G263" s="208" t="s">
        <v>901</v>
      </c>
      <c r="H263" s="208"/>
    </row>
    <row r="264">
      <c r="B264" s="367" t="s">
        <v>28</v>
      </c>
      <c r="C264" s="208" t="b">
        <v>0</v>
      </c>
      <c r="D264" s="369" t="str">
        <f t="shared" si="2"/>
        <v/>
      </c>
      <c r="E264" s="368" t="s">
        <v>57</v>
      </c>
      <c r="F264" s="208">
        <v>64.0</v>
      </c>
      <c r="G264" s="208" t="s">
        <v>2438</v>
      </c>
      <c r="H264" s="208"/>
    </row>
    <row r="265">
      <c r="B265" s="367"/>
      <c r="C265" s="208" t="b">
        <v>0</v>
      </c>
      <c r="D265" s="369" t="str">
        <f t="shared" si="2"/>
        <v/>
      </c>
      <c r="E265" s="368" t="s">
        <v>5715</v>
      </c>
      <c r="F265" s="208">
        <v>64.0</v>
      </c>
      <c r="G265" s="208" t="s">
        <v>5716</v>
      </c>
      <c r="H265" s="208"/>
    </row>
    <row r="266">
      <c r="B266" s="367"/>
      <c r="C266" s="208" t="b">
        <v>0</v>
      </c>
      <c r="D266" s="369" t="str">
        <f t="shared" si="2"/>
        <v/>
      </c>
      <c r="E266" s="368" t="s">
        <v>5717</v>
      </c>
      <c r="F266" s="208">
        <v>64.0</v>
      </c>
      <c r="G266" s="208" t="s">
        <v>5718</v>
      </c>
      <c r="H266" s="208"/>
    </row>
    <row r="267">
      <c r="B267" s="367"/>
      <c r="C267" s="208" t="b">
        <v>0</v>
      </c>
      <c r="D267" s="369" t="str">
        <f t="shared" si="2"/>
        <v/>
      </c>
      <c r="E267" s="368" t="s">
        <v>5719</v>
      </c>
      <c r="F267" s="208">
        <v>64.0</v>
      </c>
      <c r="G267" s="208" t="s">
        <v>5720</v>
      </c>
      <c r="H267" s="208"/>
    </row>
    <row r="268">
      <c r="B268" s="367"/>
      <c r="C268" s="208" t="b">
        <v>0</v>
      </c>
      <c r="D268" s="369" t="str">
        <f t="shared" si="2"/>
        <v/>
      </c>
      <c r="E268" s="368" t="s">
        <v>5721</v>
      </c>
      <c r="F268" s="208">
        <v>64.0</v>
      </c>
      <c r="G268" s="208" t="s">
        <v>5722</v>
      </c>
      <c r="H268" s="208"/>
    </row>
    <row r="269">
      <c r="B269" s="370"/>
      <c r="C269" s="208" t="b">
        <v>0</v>
      </c>
      <c r="D269" s="369" t="str">
        <f t="shared" si="2"/>
        <v/>
      </c>
      <c r="E269" s="368" t="s">
        <v>5723</v>
      </c>
      <c r="F269" s="208">
        <v>64.0</v>
      </c>
      <c r="G269" s="208" t="s">
        <v>4095</v>
      </c>
      <c r="H269" s="208"/>
    </row>
    <row r="270">
      <c r="B270" s="367"/>
      <c r="C270" s="208" t="b">
        <v>0</v>
      </c>
      <c r="D270" s="369" t="str">
        <f t="shared" si="2"/>
        <v/>
      </c>
      <c r="E270" s="368" t="s">
        <v>5724</v>
      </c>
      <c r="F270" s="208">
        <v>16.0</v>
      </c>
      <c r="G270" s="208" t="s">
        <v>5725</v>
      </c>
      <c r="H270" s="208"/>
    </row>
    <row r="271">
      <c r="B271" s="367"/>
      <c r="C271" s="208" t="b">
        <v>0</v>
      </c>
      <c r="D271" s="369" t="str">
        <f t="shared" si="2"/>
        <v/>
      </c>
      <c r="E271" s="368" t="s">
        <v>5726</v>
      </c>
      <c r="F271" s="208">
        <v>64.0</v>
      </c>
      <c r="G271" s="208" t="s">
        <v>5727</v>
      </c>
      <c r="H271" s="208"/>
    </row>
    <row r="272">
      <c r="B272" s="367"/>
      <c r="C272" s="208" t="b">
        <v>0</v>
      </c>
      <c r="D272" s="369" t="str">
        <f t="shared" si="2"/>
        <v/>
      </c>
      <c r="E272" s="368" t="s">
        <v>5728</v>
      </c>
      <c r="F272" s="208">
        <v>64.0</v>
      </c>
      <c r="G272" s="208" t="s">
        <v>4739</v>
      </c>
      <c r="H272" s="208"/>
    </row>
    <row r="273">
      <c r="B273" s="367"/>
      <c r="C273" s="208" t="b">
        <v>0</v>
      </c>
      <c r="D273" s="369" t="str">
        <f t="shared" si="2"/>
        <v/>
      </c>
      <c r="E273" s="368" t="s">
        <v>5729</v>
      </c>
      <c r="F273" s="208">
        <v>64.0</v>
      </c>
      <c r="G273" s="208" t="s">
        <v>4065</v>
      </c>
      <c r="H273" s="208"/>
    </row>
    <row r="274">
      <c r="B274" s="367"/>
      <c r="C274" s="208" t="b">
        <v>0</v>
      </c>
      <c r="D274" s="369" t="str">
        <f t="shared" si="2"/>
        <v/>
      </c>
      <c r="E274" s="368" t="s">
        <v>5730</v>
      </c>
      <c r="F274" s="208">
        <v>64.0</v>
      </c>
      <c r="G274" s="208" t="s">
        <v>5731</v>
      </c>
      <c r="H274" s="208"/>
    </row>
    <row r="275">
      <c r="B275" s="370"/>
      <c r="C275" s="208" t="b">
        <v>0</v>
      </c>
      <c r="D275" s="369" t="str">
        <f t="shared" si="2"/>
        <v/>
      </c>
      <c r="E275" s="368" t="s">
        <v>5732</v>
      </c>
      <c r="F275" s="208">
        <v>64.0</v>
      </c>
      <c r="G275" s="208" t="s">
        <v>4052</v>
      </c>
      <c r="H275" s="208"/>
    </row>
    <row r="276">
      <c r="B276" s="367"/>
      <c r="C276" s="208" t="b">
        <v>0</v>
      </c>
      <c r="D276" s="369" t="str">
        <f t="shared" si="2"/>
        <v/>
      </c>
      <c r="E276" s="368" t="s">
        <v>5733</v>
      </c>
      <c r="F276" s="208">
        <v>16.0</v>
      </c>
      <c r="G276" s="208" t="s">
        <v>5734</v>
      </c>
      <c r="H276" s="208"/>
    </row>
    <row r="277">
      <c r="B277" s="367"/>
      <c r="C277" s="208" t="b">
        <v>0</v>
      </c>
      <c r="D277" s="369" t="str">
        <f t="shared" si="2"/>
        <v/>
      </c>
      <c r="E277" s="368" t="s">
        <v>5735</v>
      </c>
      <c r="F277" s="208">
        <v>64.0</v>
      </c>
      <c r="G277" s="208" t="s">
        <v>5736</v>
      </c>
      <c r="H277" s="208"/>
    </row>
    <row r="278">
      <c r="B278" s="367"/>
      <c r="C278" s="208" t="b">
        <v>0</v>
      </c>
      <c r="D278" s="369" t="str">
        <f t="shared" si="2"/>
        <v/>
      </c>
      <c r="E278" s="368" t="s">
        <v>5737</v>
      </c>
      <c r="F278" s="208">
        <v>64.0</v>
      </c>
      <c r="G278" s="208" t="s">
        <v>5738</v>
      </c>
      <c r="H278" s="208"/>
    </row>
    <row r="279">
      <c r="B279" s="370"/>
      <c r="C279" s="208" t="b">
        <v>0</v>
      </c>
      <c r="D279" s="369" t="str">
        <f t="shared" si="2"/>
        <v/>
      </c>
      <c r="E279" s="368" t="s">
        <v>5739</v>
      </c>
      <c r="F279" s="208">
        <v>64.0</v>
      </c>
      <c r="G279" s="208" t="s">
        <v>4044</v>
      </c>
      <c r="H279" s="208"/>
    </row>
    <row r="280">
      <c r="B280" s="367"/>
      <c r="C280" s="208" t="b">
        <v>0</v>
      </c>
      <c r="D280" s="369" t="str">
        <f t="shared" si="2"/>
        <v/>
      </c>
      <c r="E280" s="368" t="s">
        <v>5740</v>
      </c>
      <c r="F280" s="208">
        <v>64.0</v>
      </c>
      <c r="G280" s="208" t="s">
        <v>5741</v>
      </c>
      <c r="H280" s="208"/>
    </row>
    <row r="281">
      <c r="B281" s="367"/>
      <c r="C281" s="208" t="b">
        <v>0</v>
      </c>
      <c r="D281" s="369" t="str">
        <f t="shared" si="2"/>
        <v/>
      </c>
      <c r="E281" s="368" t="s">
        <v>5742</v>
      </c>
      <c r="F281" s="208">
        <v>1.0</v>
      </c>
      <c r="G281" s="208" t="s">
        <v>2535</v>
      </c>
      <c r="H281" s="208"/>
    </row>
    <row r="282">
      <c r="B282" s="367"/>
      <c r="C282" s="208" t="b">
        <v>0</v>
      </c>
      <c r="D282" s="369" t="str">
        <f t="shared" si="2"/>
        <v/>
      </c>
      <c r="E282" s="368" t="s">
        <v>5743</v>
      </c>
      <c r="F282" s="208">
        <v>64.0</v>
      </c>
      <c r="G282" s="208" t="s">
        <v>2873</v>
      </c>
      <c r="H282" s="208"/>
    </row>
    <row r="283">
      <c r="B283" s="367"/>
      <c r="C283" s="208" t="b">
        <v>0</v>
      </c>
      <c r="D283" s="369" t="str">
        <f t="shared" si="2"/>
        <v/>
      </c>
      <c r="E283" s="368" t="s">
        <v>5744</v>
      </c>
      <c r="F283" s="208">
        <v>64.0</v>
      </c>
      <c r="G283" s="208" t="s">
        <v>491</v>
      </c>
      <c r="H283" s="208"/>
    </row>
    <row r="284">
      <c r="B284" s="367"/>
      <c r="C284" s="208" t="b">
        <v>0</v>
      </c>
      <c r="D284" s="369" t="str">
        <f t="shared" si="2"/>
        <v/>
      </c>
      <c r="E284" s="368" t="s">
        <v>5745</v>
      </c>
      <c r="F284" s="208">
        <v>64.0</v>
      </c>
      <c r="G284" s="208" t="s">
        <v>5746</v>
      </c>
      <c r="H284" s="208"/>
    </row>
    <row r="285">
      <c r="B285" s="367"/>
      <c r="C285" s="208" t="b">
        <v>0</v>
      </c>
      <c r="D285" s="369" t="str">
        <f t="shared" si="2"/>
        <v/>
      </c>
      <c r="E285" s="368" t="s">
        <v>5747</v>
      </c>
      <c r="F285" s="208">
        <v>64.0</v>
      </c>
      <c r="G285" s="208" t="s">
        <v>5748</v>
      </c>
      <c r="H285" s="208"/>
    </row>
    <row r="286">
      <c r="B286" s="367"/>
      <c r="C286" s="208" t="b">
        <v>0</v>
      </c>
      <c r="D286" s="369" t="str">
        <f t="shared" si="2"/>
        <v/>
      </c>
      <c r="E286" s="368" t="s">
        <v>5749</v>
      </c>
      <c r="F286" s="208">
        <v>64.0</v>
      </c>
      <c r="G286" s="208" t="s">
        <v>5750</v>
      </c>
      <c r="H286" s="208"/>
    </row>
    <row r="287">
      <c r="B287" s="367"/>
      <c r="C287" s="208" t="b">
        <v>0</v>
      </c>
      <c r="D287" s="369" t="str">
        <f t="shared" si="2"/>
        <v/>
      </c>
      <c r="E287" s="368" t="s">
        <v>5751</v>
      </c>
      <c r="F287" s="208">
        <v>64.0</v>
      </c>
      <c r="G287" s="208" t="s">
        <v>5752</v>
      </c>
      <c r="H287" s="208"/>
    </row>
    <row r="288">
      <c r="B288" s="367"/>
      <c r="C288" s="208" t="b">
        <v>0</v>
      </c>
      <c r="D288" s="369" t="str">
        <f t="shared" si="2"/>
        <v/>
      </c>
      <c r="E288" s="368" t="s">
        <v>5753</v>
      </c>
      <c r="F288" s="208">
        <v>64.0</v>
      </c>
      <c r="G288" s="208" t="s">
        <v>5754</v>
      </c>
      <c r="H288" s="208"/>
    </row>
    <row r="289">
      <c r="B289" s="367"/>
      <c r="C289" s="208" t="b">
        <v>0</v>
      </c>
      <c r="D289" s="369" t="str">
        <f t="shared" si="2"/>
        <v/>
      </c>
      <c r="E289" s="368" t="s">
        <v>5755</v>
      </c>
      <c r="F289" s="208">
        <v>64.0</v>
      </c>
      <c r="G289" s="208" t="s">
        <v>5756</v>
      </c>
      <c r="H289" s="208"/>
    </row>
    <row r="290">
      <c r="B290" s="367"/>
      <c r="C290" s="208" t="b">
        <v>0</v>
      </c>
      <c r="D290" s="369" t="str">
        <f t="shared" si="2"/>
        <v/>
      </c>
      <c r="E290" s="368" t="s">
        <v>5757</v>
      </c>
      <c r="F290" s="208">
        <v>16.0</v>
      </c>
      <c r="G290" s="208" t="s">
        <v>887</v>
      </c>
      <c r="H290" s="208"/>
    </row>
    <row r="291">
      <c r="B291" s="367"/>
      <c r="C291" s="208" t="b">
        <v>0</v>
      </c>
      <c r="D291" s="369" t="str">
        <f t="shared" si="2"/>
        <v/>
      </c>
      <c r="E291" s="368" t="s">
        <v>5758</v>
      </c>
      <c r="F291" s="208">
        <v>1.0</v>
      </c>
      <c r="G291" s="208" t="s">
        <v>5759</v>
      </c>
      <c r="H291" s="208"/>
    </row>
    <row r="292">
      <c r="B292" s="367"/>
      <c r="C292" s="208" t="b">
        <v>0</v>
      </c>
      <c r="D292" s="369" t="str">
        <f t="shared" si="2"/>
        <v/>
      </c>
      <c r="E292" s="368" t="s">
        <v>5760</v>
      </c>
      <c r="F292" s="208">
        <v>64.0</v>
      </c>
      <c r="G292" s="208" t="s">
        <v>5761</v>
      </c>
      <c r="H292" s="208"/>
    </row>
    <row r="293">
      <c r="B293" s="367"/>
      <c r="C293" s="208" t="b">
        <v>0</v>
      </c>
      <c r="D293" s="369" t="str">
        <f t="shared" si="2"/>
        <v/>
      </c>
      <c r="E293" s="368" t="s">
        <v>5762</v>
      </c>
      <c r="F293" s="208">
        <v>64.0</v>
      </c>
      <c r="G293" s="208" t="s">
        <v>3855</v>
      </c>
      <c r="H293" s="208"/>
    </row>
    <row r="294">
      <c r="B294" s="367"/>
      <c r="C294" s="208" t="b">
        <v>0</v>
      </c>
      <c r="D294" s="369" t="str">
        <f t="shared" si="2"/>
        <v/>
      </c>
      <c r="E294" s="368" t="s">
        <v>5763</v>
      </c>
      <c r="F294" s="208">
        <v>64.0</v>
      </c>
      <c r="G294" s="208" t="s">
        <v>5764</v>
      </c>
      <c r="H294" s="208"/>
    </row>
    <row r="295">
      <c r="B295" s="367"/>
      <c r="C295" s="208" t="b">
        <v>0</v>
      </c>
      <c r="D295" s="369" t="str">
        <f t="shared" si="2"/>
        <v/>
      </c>
      <c r="E295" s="368" t="s">
        <v>5765</v>
      </c>
      <c r="F295" s="208">
        <v>64.0</v>
      </c>
      <c r="G295" s="208" t="s">
        <v>5766</v>
      </c>
      <c r="H295" s="208"/>
    </row>
    <row r="296">
      <c r="B296" s="367"/>
      <c r="C296" s="208" t="b">
        <v>0</v>
      </c>
      <c r="D296" s="369" t="str">
        <f t="shared" si="2"/>
        <v/>
      </c>
      <c r="E296" s="368" t="s">
        <v>5767</v>
      </c>
      <c r="F296" s="208">
        <v>64.0</v>
      </c>
      <c r="G296" s="208" t="s">
        <v>5768</v>
      </c>
      <c r="H296" s="208"/>
    </row>
    <row r="297">
      <c r="B297" s="367"/>
      <c r="C297" s="208" t="b">
        <v>0</v>
      </c>
      <c r="D297" s="369" t="str">
        <f t="shared" si="2"/>
        <v/>
      </c>
      <c r="E297" s="368" t="s">
        <v>5769</v>
      </c>
      <c r="F297" s="208">
        <v>64.0</v>
      </c>
      <c r="G297" s="208" t="s">
        <v>5770</v>
      </c>
      <c r="H297" s="208"/>
    </row>
    <row r="298">
      <c r="B298" s="367"/>
      <c r="C298" s="208" t="b">
        <v>0</v>
      </c>
      <c r="D298" s="369" t="str">
        <f t="shared" si="2"/>
        <v/>
      </c>
      <c r="E298" s="368" t="s">
        <v>5771</v>
      </c>
      <c r="F298" s="208">
        <v>1.0</v>
      </c>
      <c r="G298" s="208" t="s">
        <v>3610</v>
      </c>
      <c r="H298" s="208"/>
    </row>
    <row r="299">
      <c r="B299" s="367"/>
      <c r="C299" s="208" t="b">
        <v>0</v>
      </c>
      <c r="D299" s="369" t="str">
        <f t="shared" si="2"/>
        <v/>
      </c>
      <c r="E299" s="368" t="s">
        <v>5772</v>
      </c>
      <c r="F299" s="208">
        <v>64.0</v>
      </c>
      <c r="G299" s="208" t="s">
        <v>2557</v>
      </c>
      <c r="H299" s="208"/>
    </row>
    <row r="300">
      <c r="B300" s="367"/>
      <c r="C300" s="208" t="b">
        <v>0</v>
      </c>
      <c r="D300" s="369" t="str">
        <f t="shared" si="2"/>
        <v/>
      </c>
      <c r="E300" s="368" t="s">
        <v>5773</v>
      </c>
      <c r="F300" s="208">
        <v>64.0</v>
      </c>
      <c r="G300" s="208" t="s">
        <v>5774</v>
      </c>
      <c r="H300" s="208"/>
    </row>
    <row r="301">
      <c r="B301" s="367"/>
      <c r="C301" s="208" t="b">
        <v>0</v>
      </c>
      <c r="D301" s="369" t="str">
        <f t="shared" si="2"/>
        <v/>
      </c>
      <c r="E301" s="368" t="s">
        <v>5775</v>
      </c>
      <c r="F301" s="208">
        <v>64.0</v>
      </c>
      <c r="G301" s="208" t="s">
        <v>5776</v>
      </c>
      <c r="H301" s="208"/>
    </row>
    <row r="302">
      <c r="B302" s="367"/>
      <c r="C302" s="208" t="b">
        <v>0</v>
      </c>
      <c r="D302" s="369" t="str">
        <f t="shared" si="2"/>
        <v/>
      </c>
      <c r="E302" s="368" t="s">
        <v>5777</v>
      </c>
      <c r="F302" s="208">
        <v>64.0</v>
      </c>
      <c r="G302" s="208" t="s">
        <v>5778</v>
      </c>
      <c r="H302" s="208"/>
    </row>
    <row r="303">
      <c r="B303" s="367"/>
      <c r="C303" s="208" t="b">
        <v>0</v>
      </c>
      <c r="D303" s="369" t="str">
        <f t="shared" si="2"/>
        <v/>
      </c>
      <c r="E303" s="368" t="s">
        <v>5779</v>
      </c>
      <c r="F303" s="208">
        <v>64.0</v>
      </c>
      <c r="G303" s="208" t="s">
        <v>3767</v>
      </c>
      <c r="H303" s="208"/>
    </row>
    <row r="304">
      <c r="B304" s="370"/>
      <c r="C304" s="208" t="b">
        <v>0</v>
      </c>
      <c r="D304" s="369" t="str">
        <f t="shared" si="2"/>
        <v/>
      </c>
      <c r="E304" s="368" t="s">
        <v>5780</v>
      </c>
      <c r="F304" s="208">
        <v>64.0</v>
      </c>
      <c r="G304" s="208" t="s">
        <v>5781</v>
      </c>
      <c r="H304" s="208"/>
    </row>
    <row r="305">
      <c r="B305" s="372" t="s">
        <v>2905</v>
      </c>
      <c r="C305" s="208" t="b">
        <v>0</v>
      </c>
      <c r="D305" s="369" t="str">
        <f t="shared" si="2"/>
        <v/>
      </c>
      <c r="E305" s="368" t="s">
        <v>5782</v>
      </c>
      <c r="F305" s="208">
        <v>1.0</v>
      </c>
      <c r="G305" s="208" t="s">
        <v>5783</v>
      </c>
      <c r="H305" s="208"/>
    </row>
    <row r="306">
      <c r="B306" s="367"/>
      <c r="C306" s="208" t="b">
        <v>0</v>
      </c>
      <c r="D306" s="369" t="str">
        <f t="shared" si="2"/>
        <v/>
      </c>
      <c r="E306" s="368" t="s">
        <v>5784</v>
      </c>
      <c r="F306" s="208">
        <v>1.0</v>
      </c>
      <c r="G306" s="208" t="s">
        <v>3924</v>
      </c>
      <c r="H306" s="208"/>
    </row>
    <row r="307">
      <c r="B307" s="367"/>
      <c r="C307" s="208" t="b">
        <v>0</v>
      </c>
      <c r="D307" s="369" t="str">
        <f t="shared" si="2"/>
        <v/>
      </c>
      <c r="E307" s="368" t="s">
        <v>5785</v>
      </c>
      <c r="F307" s="208">
        <v>64.0</v>
      </c>
      <c r="G307" s="208" t="s">
        <v>5786</v>
      </c>
      <c r="H307" s="208"/>
    </row>
    <row r="308">
      <c r="B308" s="367"/>
      <c r="C308" s="208" t="b">
        <v>0</v>
      </c>
      <c r="D308" s="369" t="str">
        <f t="shared" si="2"/>
        <v/>
      </c>
      <c r="E308" s="368" t="s">
        <v>5787</v>
      </c>
      <c r="F308" s="208">
        <v>1.0</v>
      </c>
      <c r="G308" s="208" t="s">
        <v>5788</v>
      </c>
      <c r="H308" s="208"/>
    </row>
    <row r="309">
      <c r="B309" s="367"/>
      <c r="C309" s="208" t="b">
        <v>0</v>
      </c>
      <c r="D309" s="369" t="str">
        <f t="shared" si="2"/>
        <v/>
      </c>
      <c r="E309" s="368" t="s">
        <v>5789</v>
      </c>
      <c r="F309" s="208">
        <v>64.0</v>
      </c>
      <c r="G309" s="208" t="s">
        <v>3289</v>
      </c>
      <c r="H309" s="208"/>
    </row>
    <row r="310">
      <c r="B310" s="367"/>
      <c r="C310" s="208" t="b">
        <v>0</v>
      </c>
      <c r="D310" s="369" t="str">
        <f t="shared" si="2"/>
        <v/>
      </c>
      <c r="E310" s="368" t="s">
        <v>5790</v>
      </c>
      <c r="F310" s="208">
        <v>64.0</v>
      </c>
      <c r="G310" s="208" t="s">
        <v>5171</v>
      </c>
      <c r="H310" s="208"/>
    </row>
    <row r="311">
      <c r="B311" s="367"/>
      <c r="C311" s="208" t="b">
        <v>0</v>
      </c>
      <c r="D311" s="369" t="str">
        <f t="shared" si="2"/>
        <v/>
      </c>
      <c r="E311" s="368" t="s">
        <v>5791</v>
      </c>
      <c r="F311" s="208">
        <v>64.0</v>
      </c>
      <c r="G311" s="208" t="s">
        <v>5792</v>
      </c>
      <c r="H311" s="208"/>
    </row>
    <row r="312">
      <c r="B312" s="367"/>
      <c r="C312" s="208" t="b">
        <v>0</v>
      </c>
      <c r="D312" s="369" t="str">
        <f t="shared" si="2"/>
        <v/>
      </c>
      <c r="E312" s="368" t="s">
        <v>5793</v>
      </c>
      <c r="F312" s="208">
        <v>16.0</v>
      </c>
      <c r="G312" s="208" t="s">
        <v>5794</v>
      </c>
      <c r="H312" s="208"/>
    </row>
    <row r="313">
      <c r="B313" s="367"/>
      <c r="C313" s="208" t="b">
        <v>0</v>
      </c>
      <c r="D313" s="369" t="str">
        <f t="shared" si="2"/>
        <v/>
      </c>
      <c r="E313" s="368" t="s">
        <v>5795</v>
      </c>
      <c r="F313" s="208">
        <v>64.0</v>
      </c>
      <c r="G313" s="208" t="s">
        <v>5796</v>
      </c>
      <c r="H313" s="208"/>
    </row>
    <row r="314">
      <c r="B314" s="367"/>
      <c r="C314" s="208" t="b">
        <v>0</v>
      </c>
      <c r="D314" s="369" t="str">
        <f t="shared" si="2"/>
        <v/>
      </c>
      <c r="E314" s="368" t="s">
        <v>5797</v>
      </c>
      <c r="F314" s="208">
        <v>64.0</v>
      </c>
      <c r="G314" s="208" t="s">
        <v>5798</v>
      </c>
      <c r="H314" s="208"/>
    </row>
    <row r="315">
      <c r="B315" s="367"/>
      <c r="C315" s="208" t="b">
        <v>0</v>
      </c>
      <c r="D315" s="369" t="str">
        <f t="shared" si="2"/>
        <v/>
      </c>
      <c r="E315" s="368" t="s">
        <v>5799</v>
      </c>
      <c r="F315" s="208">
        <v>64.0</v>
      </c>
      <c r="G315" s="208" t="s">
        <v>3000</v>
      </c>
      <c r="H315" s="208"/>
    </row>
    <row r="316">
      <c r="B316" s="367"/>
      <c r="C316" s="208" t="b">
        <v>0</v>
      </c>
      <c r="D316" s="369" t="str">
        <f t="shared" si="2"/>
        <v/>
      </c>
      <c r="E316" s="368" t="s">
        <v>5800</v>
      </c>
      <c r="F316" s="208">
        <v>64.0</v>
      </c>
      <c r="G316" s="208" t="s">
        <v>5801</v>
      </c>
      <c r="H316" s="208"/>
    </row>
    <row r="317">
      <c r="B317" s="367"/>
      <c r="C317" s="208" t="b">
        <v>0</v>
      </c>
      <c r="D317" s="369" t="str">
        <f t="shared" si="2"/>
        <v/>
      </c>
      <c r="E317" s="368" t="s">
        <v>5802</v>
      </c>
      <c r="F317" s="208">
        <v>64.0</v>
      </c>
      <c r="G317" s="208" t="s">
        <v>1068</v>
      </c>
      <c r="H317" s="208"/>
    </row>
    <row r="318">
      <c r="B318" s="367"/>
      <c r="C318" s="208" t="b">
        <v>0</v>
      </c>
      <c r="D318" s="369" t="str">
        <f t="shared" si="2"/>
        <v/>
      </c>
      <c r="E318" s="368" t="s">
        <v>5803</v>
      </c>
      <c r="F318" s="208">
        <v>16.0</v>
      </c>
      <c r="G318" s="208" t="s">
        <v>5804</v>
      </c>
      <c r="H318" s="208"/>
    </row>
    <row r="319">
      <c r="B319" s="367"/>
      <c r="C319" s="208" t="b">
        <v>0</v>
      </c>
      <c r="D319" s="369" t="str">
        <f t="shared" si="2"/>
        <v/>
      </c>
      <c r="E319" s="368" t="s">
        <v>5805</v>
      </c>
      <c r="F319" s="208">
        <v>64.0</v>
      </c>
      <c r="G319" s="208" t="s">
        <v>5806</v>
      </c>
      <c r="H319" s="208"/>
    </row>
    <row r="320">
      <c r="B320" s="367"/>
      <c r="C320" s="208" t="b">
        <v>0</v>
      </c>
      <c r="D320" s="369" t="str">
        <f t="shared" si="2"/>
        <v/>
      </c>
      <c r="E320" s="368" t="s">
        <v>5807</v>
      </c>
      <c r="F320" s="208">
        <v>64.0</v>
      </c>
      <c r="G320" s="208" t="s">
        <v>5808</v>
      </c>
      <c r="H320" s="208"/>
    </row>
    <row r="321">
      <c r="B321" s="367"/>
      <c r="C321" s="208" t="b">
        <v>0</v>
      </c>
      <c r="D321" s="369" t="str">
        <f t="shared" si="2"/>
        <v/>
      </c>
      <c r="E321" s="368" t="s">
        <v>5809</v>
      </c>
      <c r="F321" s="208">
        <v>64.0</v>
      </c>
      <c r="G321" s="208" t="s">
        <v>5810</v>
      </c>
      <c r="H321" s="208"/>
    </row>
    <row r="322">
      <c r="B322" s="367"/>
      <c r="C322" s="208" t="b">
        <v>0</v>
      </c>
      <c r="D322" s="369" t="str">
        <f t="shared" si="2"/>
        <v/>
      </c>
      <c r="E322" s="368" t="s">
        <v>5811</v>
      </c>
      <c r="F322" s="208">
        <v>64.0</v>
      </c>
      <c r="G322" s="208" t="s">
        <v>5812</v>
      </c>
      <c r="H322" s="208"/>
    </row>
    <row r="323">
      <c r="B323" s="370"/>
      <c r="C323" s="208" t="b">
        <v>0</v>
      </c>
      <c r="D323" s="369" t="str">
        <f t="shared" si="2"/>
        <v/>
      </c>
      <c r="E323" s="368" t="s">
        <v>5813</v>
      </c>
      <c r="F323" s="208">
        <v>64.0</v>
      </c>
      <c r="G323" s="208" t="s">
        <v>5814</v>
      </c>
      <c r="H323" s="208"/>
    </row>
    <row r="324">
      <c r="B324" s="370"/>
      <c r="C324" s="208" t="b">
        <v>0</v>
      </c>
      <c r="D324" s="369" t="str">
        <f t="shared" si="2"/>
        <v/>
      </c>
      <c r="E324" s="368" t="s">
        <v>5815</v>
      </c>
      <c r="F324" s="208">
        <v>64.0</v>
      </c>
      <c r="G324" s="208" t="s">
        <v>5816</v>
      </c>
      <c r="H324" s="208"/>
    </row>
    <row r="325">
      <c r="B325" s="370"/>
      <c r="C325" s="208" t="b">
        <v>0</v>
      </c>
      <c r="D325" s="369" t="str">
        <f t="shared" si="2"/>
        <v/>
      </c>
      <c r="E325" s="368" t="s">
        <v>5817</v>
      </c>
      <c r="F325" s="208">
        <v>64.0</v>
      </c>
      <c r="G325" s="208" t="s">
        <v>5818</v>
      </c>
      <c r="H325" s="208"/>
    </row>
    <row r="326">
      <c r="B326" s="367"/>
      <c r="C326" s="208" t="b">
        <v>0</v>
      </c>
      <c r="D326" s="369" t="str">
        <f t="shared" si="2"/>
        <v/>
      </c>
      <c r="E326" s="368" t="s">
        <v>5819</v>
      </c>
      <c r="F326" s="208">
        <v>64.0</v>
      </c>
      <c r="G326" s="208" t="s">
        <v>3444</v>
      </c>
      <c r="H326" s="208"/>
    </row>
    <row r="327">
      <c r="B327" s="367"/>
      <c r="C327" s="208" t="b">
        <v>0</v>
      </c>
      <c r="D327" s="369" t="str">
        <f t="shared" si="2"/>
        <v/>
      </c>
      <c r="E327" s="368" t="s">
        <v>5820</v>
      </c>
      <c r="F327" s="208">
        <v>64.0</v>
      </c>
      <c r="G327" s="208" t="s">
        <v>5821</v>
      </c>
      <c r="H327" s="208"/>
    </row>
    <row r="328">
      <c r="B328" s="367"/>
      <c r="C328" s="208" t="b">
        <v>0</v>
      </c>
      <c r="D328" s="369" t="str">
        <f t="shared" si="2"/>
        <v/>
      </c>
      <c r="E328" s="368" t="s">
        <v>5822</v>
      </c>
      <c r="F328" s="208">
        <v>64.0</v>
      </c>
      <c r="G328" s="208" t="s">
        <v>5144</v>
      </c>
      <c r="H328" s="208"/>
    </row>
    <row r="329">
      <c r="B329" s="367"/>
      <c r="C329" s="208" t="b">
        <v>0</v>
      </c>
      <c r="D329" s="369" t="str">
        <f t="shared" si="2"/>
        <v/>
      </c>
      <c r="E329" s="368" t="s">
        <v>5823</v>
      </c>
      <c r="F329" s="208">
        <v>64.0</v>
      </c>
      <c r="G329" s="208" t="s">
        <v>5824</v>
      </c>
      <c r="H329" s="208"/>
    </row>
    <row r="330">
      <c r="B330" s="367"/>
      <c r="C330" s="208" t="b">
        <v>0</v>
      </c>
      <c r="D330" s="369" t="str">
        <f t="shared" si="2"/>
        <v/>
      </c>
      <c r="E330" s="368" t="s">
        <v>5825</v>
      </c>
      <c r="F330" s="208">
        <v>64.0</v>
      </c>
      <c r="G330" s="208" t="s">
        <v>5826</v>
      </c>
      <c r="H330" s="208"/>
    </row>
    <row r="331">
      <c r="B331" s="367"/>
      <c r="C331" s="208" t="b">
        <v>0</v>
      </c>
      <c r="D331" s="369" t="str">
        <f t="shared" si="2"/>
        <v/>
      </c>
      <c r="E331" s="368" t="s">
        <v>5827</v>
      </c>
      <c r="F331" s="208">
        <v>64.0</v>
      </c>
      <c r="G331" s="208" t="s">
        <v>5828</v>
      </c>
      <c r="H331" s="208"/>
    </row>
    <row r="332">
      <c r="B332" s="367"/>
      <c r="C332" s="208" t="b">
        <v>0</v>
      </c>
      <c r="D332" s="369" t="str">
        <f t="shared" si="2"/>
        <v/>
      </c>
      <c r="E332" s="368" t="s">
        <v>5829</v>
      </c>
      <c r="F332" s="208">
        <v>64.0</v>
      </c>
      <c r="G332" s="208" t="s">
        <v>5830</v>
      </c>
      <c r="H332" s="208"/>
    </row>
    <row r="333">
      <c r="B333" s="367"/>
      <c r="C333" s="208" t="b">
        <v>0</v>
      </c>
      <c r="D333" s="369" t="str">
        <f t="shared" si="2"/>
        <v/>
      </c>
      <c r="E333" s="368" t="s">
        <v>5831</v>
      </c>
      <c r="F333" s="208">
        <v>64.0</v>
      </c>
      <c r="G333" s="208" t="s">
        <v>1334</v>
      </c>
      <c r="H333" s="208"/>
    </row>
    <row r="334">
      <c r="B334" s="367"/>
      <c r="C334" s="208" t="b">
        <v>0</v>
      </c>
      <c r="D334" s="369" t="str">
        <f t="shared" si="2"/>
        <v/>
      </c>
      <c r="E334" s="368" t="s">
        <v>5832</v>
      </c>
      <c r="F334" s="208">
        <v>64.0</v>
      </c>
      <c r="G334" s="208" t="s">
        <v>5833</v>
      </c>
      <c r="H334" s="208"/>
    </row>
    <row r="335">
      <c r="B335" s="367"/>
      <c r="C335" s="208" t="b">
        <v>0</v>
      </c>
      <c r="D335" s="369" t="str">
        <f t="shared" si="2"/>
        <v/>
      </c>
      <c r="E335" s="368" t="s">
        <v>5834</v>
      </c>
      <c r="F335" s="208">
        <v>64.0</v>
      </c>
      <c r="G335" s="208" t="s">
        <v>5835</v>
      </c>
      <c r="H335" s="208"/>
    </row>
    <row r="336">
      <c r="B336" s="367"/>
      <c r="C336" s="208" t="b">
        <v>0</v>
      </c>
      <c r="D336" s="369" t="str">
        <f t="shared" si="2"/>
        <v/>
      </c>
      <c r="E336" s="368" t="s">
        <v>5836</v>
      </c>
      <c r="F336" s="208">
        <v>64.0</v>
      </c>
      <c r="G336" s="208" t="s">
        <v>5837</v>
      </c>
      <c r="H336" s="208"/>
    </row>
    <row r="337">
      <c r="B337" s="367"/>
      <c r="C337" s="208" t="b">
        <v>0</v>
      </c>
      <c r="D337" s="369" t="str">
        <f t="shared" si="2"/>
        <v/>
      </c>
      <c r="E337" s="368" t="s">
        <v>5838</v>
      </c>
      <c r="F337" s="208">
        <v>64.0</v>
      </c>
      <c r="G337" s="208" t="s">
        <v>5839</v>
      </c>
      <c r="H337" s="208"/>
    </row>
    <row r="338">
      <c r="B338" s="367"/>
      <c r="C338" s="208" t="b">
        <v>0</v>
      </c>
      <c r="D338" s="369" t="str">
        <f t="shared" si="2"/>
        <v/>
      </c>
      <c r="E338" s="368" t="s">
        <v>5840</v>
      </c>
      <c r="F338" s="208">
        <v>64.0</v>
      </c>
      <c r="G338" s="208" t="s">
        <v>5841</v>
      </c>
      <c r="H338" s="208"/>
    </row>
    <row r="339">
      <c r="B339" s="367"/>
      <c r="C339" s="208" t="b">
        <v>0</v>
      </c>
      <c r="D339" s="369" t="str">
        <f t="shared" si="2"/>
        <v/>
      </c>
      <c r="E339" s="368" t="s">
        <v>5842</v>
      </c>
      <c r="F339" s="208">
        <v>64.0</v>
      </c>
      <c r="G339" s="208" t="s">
        <v>1839</v>
      </c>
      <c r="H339" s="208"/>
    </row>
    <row r="340">
      <c r="B340" s="367"/>
      <c r="C340" s="208" t="b">
        <v>0</v>
      </c>
      <c r="D340" s="369" t="str">
        <f t="shared" si="2"/>
        <v/>
      </c>
      <c r="E340" s="368" t="s">
        <v>5843</v>
      </c>
      <c r="F340" s="208">
        <v>64.0</v>
      </c>
      <c r="G340" s="208" t="s">
        <v>5844</v>
      </c>
      <c r="H340" s="208"/>
    </row>
    <row r="341">
      <c r="B341" s="367"/>
      <c r="C341" s="208" t="b">
        <v>0</v>
      </c>
      <c r="D341" s="369" t="str">
        <f t="shared" si="2"/>
        <v/>
      </c>
      <c r="E341" s="368" t="s">
        <v>5845</v>
      </c>
      <c r="F341" s="208">
        <v>64.0</v>
      </c>
      <c r="G341" s="208" t="s">
        <v>5846</v>
      </c>
      <c r="H341" s="208"/>
    </row>
    <row r="342">
      <c r="B342" s="367"/>
      <c r="C342" s="208" t="b">
        <v>0</v>
      </c>
      <c r="D342" s="369" t="str">
        <f t="shared" si="2"/>
        <v/>
      </c>
      <c r="E342" s="368" t="s">
        <v>5847</v>
      </c>
      <c r="F342" s="208">
        <v>64.0</v>
      </c>
      <c r="G342" s="208" t="s">
        <v>5848</v>
      </c>
      <c r="H342" s="208"/>
    </row>
    <row r="343">
      <c r="B343" s="367"/>
      <c r="C343" s="208" t="b">
        <v>0</v>
      </c>
      <c r="D343" s="369" t="str">
        <f t="shared" si="2"/>
        <v/>
      </c>
      <c r="E343" s="368" t="s">
        <v>5849</v>
      </c>
      <c r="F343" s="208">
        <v>64.0</v>
      </c>
      <c r="G343" s="208" t="s">
        <v>2903</v>
      </c>
      <c r="H343" s="208"/>
    </row>
    <row r="344">
      <c r="B344" s="367"/>
      <c r="C344" s="208" t="b">
        <v>0</v>
      </c>
      <c r="D344" s="369" t="str">
        <f t="shared" si="2"/>
        <v/>
      </c>
      <c r="E344" s="368" t="s">
        <v>5850</v>
      </c>
      <c r="F344" s="208">
        <v>64.0</v>
      </c>
      <c r="G344" s="208" t="s">
        <v>351</v>
      </c>
      <c r="H344" s="208"/>
    </row>
    <row r="345">
      <c r="B345" s="367"/>
      <c r="C345" s="208" t="b">
        <v>0</v>
      </c>
      <c r="D345" s="369" t="str">
        <f t="shared" si="2"/>
        <v/>
      </c>
      <c r="E345" s="368" t="s">
        <v>5851</v>
      </c>
      <c r="F345" s="208">
        <v>64.0</v>
      </c>
      <c r="G345" s="208" t="s">
        <v>5852</v>
      </c>
      <c r="H345" s="208"/>
    </row>
    <row r="346">
      <c r="B346" s="367"/>
      <c r="C346" s="208" t="b">
        <v>0</v>
      </c>
      <c r="D346" s="369" t="str">
        <f t="shared" si="2"/>
        <v/>
      </c>
      <c r="E346" s="368" t="s">
        <v>5853</v>
      </c>
      <c r="F346" s="208">
        <v>64.0</v>
      </c>
      <c r="G346" s="208" t="s">
        <v>5854</v>
      </c>
      <c r="H346" s="208"/>
    </row>
    <row r="347">
      <c r="B347" s="367"/>
      <c r="C347" s="208" t="b">
        <v>0</v>
      </c>
      <c r="D347" s="369" t="str">
        <f t="shared" si="2"/>
        <v/>
      </c>
      <c r="E347" s="368" t="s">
        <v>5855</v>
      </c>
      <c r="F347" s="208">
        <v>64.0</v>
      </c>
      <c r="G347" s="208" t="s">
        <v>5856</v>
      </c>
      <c r="H347" s="208"/>
    </row>
    <row r="348">
      <c r="B348" s="367"/>
      <c r="C348" s="208" t="b">
        <v>0</v>
      </c>
      <c r="D348" s="369" t="str">
        <f t="shared" si="2"/>
        <v/>
      </c>
      <c r="E348" s="368" t="s">
        <v>5857</v>
      </c>
      <c r="F348" s="208">
        <v>64.0</v>
      </c>
      <c r="G348" s="208" t="s">
        <v>5858</v>
      </c>
      <c r="H348" s="208"/>
    </row>
    <row r="349">
      <c r="B349" s="367" t="s">
        <v>1343</v>
      </c>
      <c r="C349" s="208" t="b">
        <v>0</v>
      </c>
      <c r="D349" s="369" t="str">
        <f t="shared" si="2"/>
        <v/>
      </c>
      <c r="E349" s="368" t="s">
        <v>5859</v>
      </c>
      <c r="F349" s="208">
        <v>64.0</v>
      </c>
      <c r="G349" s="208" t="s">
        <v>5860</v>
      </c>
      <c r="H349" s="208"/>
    </row>
    <row r="350">
      <c r="B350" s="367" t="s">
        <v>5110</v>
      </c>
      <c r="C350" s="208" t="b">
        <v>0</v>
      </c>
      <c r="D350" s="369" t="str">
        <f t="shared" si="2"/>
        <v/>
      </c>
      <c r="E350" s="368" t="s">
        <v>5861</v>
      </c>
      <c r="F350" s="208">
        <v>64.0</v>
      </c>
      <c r="G350" s="208" t="s">
        <v>5862</v>
      </c>
      <c r="H350" s="208"/>
    </row>
    <row r="351">
      <c r="B351" s="367" t="s">
        <v>5110</v>
      </c>
      <c r="C351" s="208" t="b">
        <v>0</v>
      </c>
      <c r="D351" s="369" t="str">
        <f t="shared" si="2"/>
        <v/>
      </c>
      <c r="E351" s="368" t="s">
        <v>5863</v>
      </c>
      <c r="F351" s="208">
        <v>64.0</v>
      </c>
      <c r="G351" s="208" t="s">
        <v>697</v>
      </c>
      <c r="H351" s="208"/>
    </row>
    <row r="352">
      <c r="B352" s="370"/>
      <c r="C352" s="208" t="b">
        <v>0</v>
      </c>
      <c r="D352" s="369" t="str">
        <f t="shared" si="2"/>
        <v/>
      </c>
      <c r="E352" s="368" t="s">
        <v>98</v>
      </c>
      <c r="F352" s="208">
        <v>1.0</v>
      </c>
      <c r="G352" s="208" t="s">
        <v>5864</v>
      </c>
      <c r="H352" s="208"/>
    </row>
    <row r="353">
      <c r="B353" s="367" t="s">
        <v>5110</v>
      </c>
      <c r="C353" s="208" t="b">
        <v>0</v>
      </c>
      <c r="D353" s="369" t="str">
        <f t="shared" si="2"/>
        <v/>
      </c>
      <c r="E353" s="368" t="s">
        <v>5865</v>
      </c>
      <c r="F353" s="208">
        <v>64.0</v>
      </c>
      <c r="G353" s="208" t="s">
        <v>5866</v>
      </c>
      <c r="H353" s="208"/>
    </row>
    <row r="354">
      <c r="B354" s="367" t="s">
        <v>5110</v>
      </c>
      <c r="C354" s="208" t="b">
        <v>0</v>
      </c>
      <c r="D354" s="369" t="str">
        <f t="shared" si="2"/>
        <v/>
      </c>
      <c r="E354" s="368" t="s">
        <v>5867</v>
      </c>
      <c r="F354" s="208">
        <v>64.0</v>
      </c>
      <c r="G354" s="208" t="s">
        <v>5868</v>
      </c>
      <c r="H354" s="208"/>
    </row>
    <row r="355">
      <c r="B355" s="367" t="s">
        <v>5110</v>
      </c>
      <c r="C355" s="208" t="b">
        <v>0</v>
      </c>
      <c r="D355" s="369" t="str">
        <f t="shared" si="2"/>
        <v/>
      </c>
      <c r="E355" s="368" t="s">
        <v>5869</v>
      </c>
      <c r="F355" s="208">
        <v>64.0</v>
      </c>
      <c r="G355" s="208" t="s">
        <v>5870</v>
      </c>
      <c r="H355" s="208"/>
    </row>
    <row r="356">
      <c r="B356" s="367" t="s">
        <v>5110</v>
      </c>
      <c r="C356" s="208" t="b">
        <v>0</v>
      </c>
      <c r="D356" s="369" t="str">
        <f t="shared" si="2"/>
        <v/>
      </c>
      <c r="E356" s="368" t="s">
        <v>5871</v>
      </c>
      <c r="F356" s="208">
        <v>64.0</v>
      </c>
      <c r="G356" s="208" t="s">
        <v>725</v>
      </c>
      <c r="H356" s="208"/>
    </row>
    <row r="357">
      <c r="B357" s="367"/>
      <c r="C357" s="208" t="b">
        <v>0</v>
      </c>
      <c r="D357" s="369" t="str">
        <f t="shared" si="2"/>
        <v/>
      </c>
      <c r="E357" s="368" t="s">
        <v>5872</v>
      </c>
      <c r="F357" s="208">
        <v>64.0</v>
      </c>
      <c r="G357" s="208" t="s">
        <v>5873</v>
      </c>
      <c r="H357" s="208"/>
    </row>
    <row r="358">
      <c r="B358" s="367"/>
      <c r="C358" s="208" t="b">
        <v>0</v>
      </c>
      <c r="D358" s="369" t="str">
        <f t="shared" si="2"/>
        <v/>
      </c>
      <c r="E358" s="368" t="s">
        <v>5874</v>
      </c>
      <c r="F358" s="208">
        <v>64.0</v>
      </c>
      <c r="G358" s="208" t="s">
        <v>5875</v>
      </c>
      <c r="H358" s="208"/>
    </row>
    <row r="359">
      <c r="B359" s="367"/>
      <c r="C359" s="208" t="b">
        <v>0</v>
      </c>
      <c r="D359" s="369" t="str">
        <f t="shared" si="2"/>
        <v/>
      </c>
      <c r="E359" s="368" t="s">
        <v>5876</v>
      </c>
      <c r="F359" s="208">
        <v>64.0</v>
      </c>
      <c r="G359" s="208" t="s">
        <v>5877</v>
      </c>
      <c r="H359" s="208"/>
    </row>
    <row r="360">
      <c r="B360" s="367"/>
      <c r="C360" s="208" t="b">
        <v>0</v>
      </c>
      <c r="D360" s="369" t="str">
        <f t="shared" si="2"/>
        <v/>
      </c>
      <c r="E360" s="368" t="s">
        <v>5878</v>
      </c>
      <c r="F360" s="208">
        <v>64.0</v>
      </c>
      <c r="G360" s="208" t="s">
        <v>1225</v>
      </c>
      <c r="H360" s="208"/>
    </row>
    <row r="361">
      <c r="B361" s="367"/>
      <c r="C361" s="208" t="b">
        <v>0</v>
      </c>
      <c r="D361" s="369" t="str">
        <f t="shared" si="2"/>
        <v/>
      </c>
      <c r="E361" s="368" t="s">
        <v>5879</v>
      </c>
      <c r="F361" s="208">
        <v>64.0</v>
      </c>
      <c r="G361" s="208" t="s">
        <v>3395</v>
      </c>
      <c r="H361" s="208"/>
    </row>
    <row r="362">
      <c r="B362" s="367"/>
      <c r="C362" s="208" t="b">
        <v>0</v>
      </c>
      <c r="D362" s="369" t="str">
        <f t="shared" si="2"/>
        <v/>
      </c>
      <c r="E362" s="368" t="s">
        <v>5880</v>
      </c>
      <c r="F362" s="208">
        <v>64.0</v>
      </c>
      <c r="G362" s="208" t="s">
        <v>702</v>
      </c>
      <c r="H362" s="208"/>
    </row>
    <row r="363">
      <c r="B363" s="367"/>
      <c r="C363" s="208" t="b">
        <v>0</v>
      </c>
      <c r="D363" s="369" t="str">
        <f t="shared" si="2"/>
        <v/>
      </c>
      <c r="E363" s="368" t="s">
        <v>5881</v>
      </c>
      <c r="F363" s="208">
        <v>1.0</v>
      </c>
      <c r="G363" s="208" t="s">
        <v>2687</v>
      </c>
      <c r="H363" s="208"/>
    </row>
    <row r="364">
      <c r="B364" s="367" t="s">
        <v>5110</v>
      </c>
      <c r="C364" s="208" t="b">
        <v>0</v>
      </c>
      <c r="D364" s="369" t="str">
        <f t="shared" si="2"/>
        <v/>
      </c>
      <c r="E364" s="368" t="s">
        <v>5882</v>
      </c>
      <c r="F364" s="208">
        <v>64.0</v>
      </c>
      <c r="G364" s="208" t="s">
        <v>711</v>
      </c>
      <c r="H364" s="208"/>
    </row>
    <row r="365">
      <c r="B365" s="367"/>
      <c r="C365" s="208" t="b">
        <v>0</v>
      </c>
      <c r="D365" s="369" t="str">
        <f t="shared" si="2"/>
        <v/>
      </c>
      <c r="E365" s="368" t="s">
        <v>5883</v>
      </c>
      <c r="F365" s="208">
        <v>1.0</v>
      </c>
      <c r="G365" s="208" t="s">
        <v>2970</v>
      </c>
      <c r="H365" s="208"/>
    </row>
    <row r="366">
      <c r="B366" s="367"/>
      <c r="C366" s="208" t="b">
        <v>0</v>
      </c>
      <c r="D366" s="369" t="str">
        <f t="shared" si="2"/>
        <v/>
      </c>
      <c r="E366" s="368" t="s">
        <v>5884</v>
      </c>
      <c r="F366" s="208">
        <v>1.0</v>
      </c>
      <c r="G366" s="208" t="s">
        <v>686</v>
      </c>
      <c r="H366" s="208"/>
    </row>
    <row r="367">
      <c r="B367" s="367"/>
      <c r="C367" s="208" t="b">
        <v>0</v>
      </c>
      <c r="D367" s="369" t="str">
        <f t="shared" si="2"/>
        <v/>
      </c>
      <c r="E367" s="368" t="s">
        <v>5885</v>
      </c>
      <c r="F367" s="208">
        <v>1.0</v>
      </c>
      <c r="G367" s="208" t="s">
        <v>692</v>
      </c>
      <c r="H367" s="208"/>
    </row>
    <row r="368">
      <c r="B368" s="367"/>
      <c r="C368" s="208" t="b">
        <v>0</v>
      </c>
      <c r="D368" s="369" t="str">
        <f t="shared" si="2"/>
        <v/>
      </c>
      <c r="E368" s="368" t="s">
        <v>5886</v>
      </c>
      <c r="F368" s="208">
        <v>1.0</v>
      </c>
      <c r="G368" s="208" t="s">
        <v>1579</v>
      </c>
      <c r="H368" s="208"/>
    </row>
    <row r="369">
      <c r="B369" s="367"/>
      <c r="C369" s="208" t="b">
        <v>0</v>
      </c>
      <c r="D369" s="369" t="str">
        <f t="shared" si="2"/>
        <v/>
      </c>
      <c r="E369" s="368" t="s">
        <v>5887</v>
      </c>
      <c r="F369" s="208">
        <v>1.0</v>
      </c>
      <c r="G369" s="208" t="s">
        <v>1932</v>
      </c>
      <c r="H369" s="208"/>
    </row>
    <row r="370">
      <c r="B370" s="367"/>
      <c r="C370" s="208" t="b">
        <v>0</v>
      </c>
      <c r="D370" s="369" t="str">
        <f t="shared" si="2"/>
        <v/>
      </c>
      <c r="E370" s="368" t="s">
        <v>5888</v>
      </c>
      <c r="F370" s="208">
        <v>1.0</v>
      </c>
      <c r="G370" s="208" t="s">
        <v>3740</v>
      </c>
      <c r="H370" s="208"/>
    </row>
    <row r="371">
      <c r="B371" s="367" t="s">
        <v>1343</v>
      </c>
      <c r="C371" s="208" t="b">
        <v>0</v>
      </c>
      <c r="D371" s="369" t="str">
        <f t="shared" si="2"/>
        <v/>
      </c>
      <c r="E371" s="368" t="s">
        <v>5889</v>
      </c>
      <c r="F371" s="208">
        <v>64.0</v>
      </c>
      <c r="G371" s="208" t="s">
        <v>662</v>
      </c>
      <c r="H371" s="208"/>
    </row>
    <row r="372">
      <c r="B372" s="367"/>
      <c r="C372" s="208" t="b">
        <v>0</v>
      </c>
      <c r="D372" s="369" t="str">
        <f t="shared" si="2"/>
        <v/>
      </c>
      <c r="E372" s="368" t="s">
        <v>5890</v>
      </c>
      <c r="F372" s="208">
        <v>1.0</v>
      </c>
      <c r="G372" s="208" t="s">
        <v>667</v>
      </c>
      <c r="H372" s="208"/>
    </row>
    <row r="373">
      <c r="B373" s="367"/>
      <c r="C373" s="208" t="b">
        <v>0</v>
      </c>
      <c r="D373" s="369" t="str">
        <f t="shared" si="2"/>
        <v/>
      </c>
      <c r="E373" s="368" t="s">
        <v>5891</v>
      </c>
      <c r="F373" s="208">
        <v>1.0</v>
      </c>
      <c r="G373" s="208" t="s">
        <v>678</v>
      </c>
      <c r="H373" s="208"/>
    </row>
    <row r="374">
      <c r="B374" s="367"/>
      <c r="C374" s="208" t="b">
        <v>0</v>
      </c>
      <c r="D374" s="369" t="str">
        <f t="shared" si="2"/>
        <v/>
      </c>
      <c r="E374" s="368" t="s">
        <v>5892</v>
      </c>
      <c r="F374" s="208">
        <v>1.0</v>
      </c>
      <c r="G374" s="208" t="s">
        <v>672</v>
      </c>
      <c r="H374" s="208"/>
    </row>
    <row r="375">
      <c r="B375" s="367"/>
      <c r="C375" s="208" t="b">
        <v>0</v>
      </c>
      <c r="D375" s="369" t="str">
        <f t="shared" si="2"/>
        <v/>
      </c>
      <c r="E375" s="368" t="s">
        <v>5893</v>
      </c>
      <c r="F375" s="208">
        <v>64.0</v>
      </c>
      <c r="G375" s="208" t="s">
        <v>362</v>
      </c>
      <c r="H375" s="208"/>
    </row>
    <row r="376">
      <c r="B376" s="367"/>
      <c r="C376" s="208" t="b">
        <v>0</v>
      </c>
      <c r="D376" s="369" t="str">
        <f t="shared" si="2"/>
        <v/>
      </c>
      <c r="E376" s="368" t="s">
        <v>5894</v>
      </c>
      <c r="F376" s="208">
        <v>64.0</v>
      </c>
      <c r="G376" s="208" t="s">
        <v>5895</v>
      </c>
      <c r="H376" s="208"/>
    </row>
    <row r="377">
      <c r="B377" s="367"/>
      <c r="C377" s="208" t="b">
        <v>0</v>
      </c>
      <c r="D377" s="369" t="str">
        <f t="shared" si="2"/>
        <v/>
      </c>
      <c r="E377" s="368" t="s">
        <v>5896</v>
      </c>
      <c r="F377" s="208">
        <v>64.0</v>
      </c>
      <c r="G377" s="208" t="s">
        <v>5897</v>
      </c>
      <c r="H377" s="208"/>
    </row>
    <row r="378">
      <c r="B378" s="367"/>
      <c r="C378" s="208" t="b">
        <v>0</v>
      </c>
      <c r="D378" s="369" t="str">
        <f t="shared" si="2"/>
        <v/>
      </c>
      <c r="E378" s="368" t="s">
        <v>5898</v>
      </c>
      <c r="F378" s="208">
        <v>64.0</v>
      </c>
      <c r="G378" s="208" t="s">
        <v>5899</v>
      </c>
      <c r="H378" s="208"/>
    </row>
    <row r="379">
      <c r="B379" s="367"/>
      <c r="C379" s="208" t="b">
        <v>0</v>
      </c>
      <c r="D379" s="369" t="str">
        <f t="shared" si="2"/>
        <v/>
      </c>
      <c r="E379" s="368" t="s">
        <v>5900</v>
      </c>
      <c r="F379" s="208">
        <v>64.0</v>
      </c>
      <c r="G379" s="208" t="s">
        <v>5901</v>
      </c>
      <c r="H379" s="208"/>
    </row>
    <row r="380">
      <c r="B380" s="367" t="s">
        <v>117</v>
      </c>
      <c r="C380" s="208" t="b">
        <v>0</v>
      </c>
      <c r="D380" s="369" t="str">
        <f t="shared" si="2"/>
        <v/>
      </c>
      <c r="E380" s="368" t="s">
        <v>5902</v>
      </c>
      <c r="F380" s="208">
        <v>64.0</v>
      </c>
      <c r="G380" s="208" t="s">
        <v>5903</v>
      </c>
      <c r="H380" s="208"/>
    </row>
    <row r="381">
      <c r="B381" s="367"/>
      <c r="C381" s="208" t="b">
        <v>0</v>
      </c>
      <c r="D381" s="369" t="str">
        <f t="shared" si="2"/>
        <v/>
      </c>
      <c r="E381" s="368" t="s">
        <v>5904</v>
      </c>
      <c r="F381" s="208">
        <v>64.0</v>
      </c>
      <c r="G381" s="208" t="s">
        <v>3470</v>
      </c>
      <c r="H381" s="208"/>
    </row>
    <row r="382">
      <c r="B382" s="367"/>
      <c r="C382" s="208" t="b">
        <v>0</v>
      </c>
      <c r="D382" s="369" t="str">
        <f t="shared" si="2"/>
        <v/>
      </c>
      <c r="E382" s="368" t="s">
        <v>5905</v>
      </c>
      <c r="F382" s="208">
        <v>64.0</v>
      </c>
      <c r="G382" s="208" t="s">
        <v>3703</v>
      </c>
      <c r="H382" s="208"/>
    </row>
    <row r="383">
      <c r="B383" s="367"/>
      <c r="C383" s="208" t="b">
        <v>0</v>
      </c>
      <c r="D383" s="369" t="str">
        <f t="shared" si="2"/>
        <v/>
      </c>
      <c r="E383" s="368" t="s">
        <v>5906</v>
      </c>
      <c r="F383" s="208">
        <v>1.0</v>
      </c>
      <c r="G383" s="208" t="s">
        <v>4664</v>
      </c>
      <c r="H383" s="208"/>
    </row>
    <row r="384">
      <c r="B384" s="367" t="s">
        <v>5645</v>
      </c>
      <c r="C384" s="208" t="b">
        <v>0</v>
      </c>
      <c r="D384" s="369" t="str">
        <f t="shared" si="2"/>
        <v/>
      </c>
      <c r="E384" s="368" t="s">
        <v>5907</v>
      </c>
      <c r="F384" s="208">
        <v>64.0</v>
      </c>
      <c r="G384" s="208" t="s">
        <v>4638</v>
      </c>
      <c r="H384" s="208"/>
    </row>
    <row r="385">
      <c r="B385" s="367"/>
      <c r="C385" s="208" t="b">
        <v>0</v>
      </c>
      <c r="D385" s="369" t="str">
        <f t="shared" si="2"/>
        <v/>
      </c>
      <c r="E385" s="368" t="s">
        <v>5908</v>
      </c>
      <c r="F385" s="208">
        <v>64.0</v>
      </c>
      <c r="G385" s="208" t="s">
        <v>1435</v>
      </c>
      <c r="H385" s="208"/>
    </row>
    <row r="386">
      <c r="B386" s="367" t="s">
        <v>5909</v>
      </c>
      <c r="C386" s="208" t="b">
        <v>0</v>
      </c>
      <c r="D386" s="369" t="str">
        <f t="shared" si="2"/>
        <v/>
      </c>
      <c r="E386" s="368" t="s">
        <v>5910</v>
      </c>
      <c r="F386" s="208">
        <v>64.0</v>
      </c>
      <c r="G386" s="208" t="s">
        <v>1425</v>
      </c>
      <c r="H386" s="208"/>
    </row>
    <row r="387">
      <c r="B387" s="367"/>
      <c r="C387" s="208" t="b">
        <v>0</v>
      </c>
      <c r="D387" s="369" t="str">
        <f t="shared" si="2"/>
        <v/>
      </c>
      <c r="E387" s="368" t="s">
        <v>5911</v>
      </c>
      <c r="F387" s="208">
        <v>64.0</v>
      </c>
      <c r="G387" s="208" t="s">
        <v>333</v>
      </c>
      <c r="H387" s="208"/>
    </row>
    <row r="388">
      <c r="B388" s="367"/>
      <c r="C388" s="208" t="b">
        <v>0</v>
      </c>
      <c r="D388" s="369" t="str">
        <f t="shared" si="2"/>
        <v/>
      </c>
      <c r="E388" s="368" t="s">
        <v>5912</v>
      </c>
      <c r="F388" s="208">
        <v>64.0</v>
      </c>
      <c r="G388" s="208" t="s">
        <v>3465</v>
      </c>
      <c r="H388" s="208"/>
    </row>
    <row r="389">
      <c r="B389" s="367" t="s">
        <v>2891</v>
      </c>
      <c r="C389" s="208" t="b">
        <v>0</v>
      </c>
      <c r="D389" s="369" t="str">
        <f>image(CONCATENATE("https://nerothe.com/img/1.21/minecraft_",G389,"_smithing_template.png"))</f>
        <v/>
      </c>
      <c r="E389" s="368" t="s">
        <v>5913</v>
      </c>
      <c r="F389" s="208">
        <v>1.0</v>
      </c>
      <c r="G389" s="208" t="s">
        <v>5914</v>
      </c>
      <c r="H389" s="208"/>
    </row>
    <row r="390">
      <c r="B390" s="367" t="s">
        <v>117</v>
      </c>
      <c r="C390" s="208" t="b">
        <v>0</v>
      </c>
      <c r="D390" s="369" t="str">
        <f t="shared" ref="D390:D419" si="3">image(CONCATENATE("https://nerothe.com/img/1.21/minecraft_",G390,".png"))</f>
        <v/>
      </c>
      <c r="E390" s="368" t="s">
        <v>5915</v>
      </c>
      <c r="F390" s="208">
        <v>64.0</v>
      </c>
      <c r="G390" s="208" t="s">
        <v>402</v>
      </c>
      <c r="H390" s="208"/>
    </row>
    <row r="391">
      <c r="B391" s="367"/>
      <c r="C391" s="208" t="b">
        <v>0</v>
      </c>
      <c r="D391" s="369" t="str">
        <f t="shared" si="3"/>
        <v/>
      </c>
      <c r="E391" s="368" t="s">
        <v>5916</v>
      </c>
      <c r="F391" s="208">
        <v>16.0</v>
      </c>
      <c r="G391" s="208" t="s">
        <v>1757</v>
      </c>
      <c r="H391" s="208"/>
    </row>
    <row r="392">
      <c r="B392" s="367"/>
      <c r="C392" s="208" t="b">
        <v>0</v>
      </c>
      <c r="D392" s="369" t="str">
        <f t="shared" si="3"/>
        <v/>
      </c>
      <c r="E392" s="368" t="s">
        <v>5917</v>
      </c>
      <c r="F392" s="208">
        <v>1.0</v>
      </c>
      <c r="G392" s="208" t="s">
        <v>3947</v>
      </c>
      <c r="H392" s="208"/>
    </row>
    <row r="393">
      <c r="B393" s="367"/>
      <c r="C393" s="208" t="b">
        <v>0</v>
      </c>
      <c r="D393" s="369" t="str">
        <f t="shared" si="3"/>
        <v/>
      </c>
      <c r="E393" s="368" t="s">
        <v>5918</v>
      </c>
      <c r="F393" s="208">
        <v>64.0</v>
      </c>
      <c r="G393" s="208" t="s">
        <v>2073</v>
      </c>
      <c r="H393" s="208"/>
    </row>
    <row r="394">
      <c r="B394" s="367" t="s">
        <v>3218</v>
      </c>
      <c r="C394" s="208" t="b">
        <v>0</v>
      </c>
      <c r="D394" s="369" t="str">
        <f t="shared" si="3"/>
        <v/>
      </c>
      <c r="E394" s="368" t="s">
        <v>5919</v>
      </c>
      <c r="F394" s="208">
        <v>64.0</v>
      </c>
      <c r="G394" s="208" t="s">
        <v>3070</v>
      </c>
      <c r="H394" s="208"/>
    </row>
    <row r="395">
      <c r="B395" s="367" t="s">
        <v>1343</v>
      </c>
      <c r="C395" s="208" t="b">
        <v>0</v>
      </c>
      <c r="D395" s="369" t="str">
        <f t="shared" si="3"/>
        <v/>
      </c>
      <c r="E395" s="368" t="s">
        <v>5920</v>
      </c>
      <c r="F395" s="208">
        <v>64.0</v>
      </c>
      <c r="G395" s="208" t="s">
        <v>721</v>
      </c>
      <c r="H395" s="208"/>
    </row>
    <row r="396">
      <c r="B396" s="367"/>
      <c r="C396" s="208" t="b">
        <v>0</v>
      </c>
      <c r="D396" s="369" t="str">
        <f t="shared" si="3"/>
        <v/>
      </c>
      <c r="E396" s="368" t="s">
        <v>5921</v>
      </c>
      <c r="F396" s="208">
        <v>1.0</v>
      </c>
      <c r="G396" s="208" t="s">
        <v>3221</v>
      </c>
      <c r="H396" s="208"/>
    </row>
    <row r="397">
      <c r="B397" s="367" t="s">
        <v>1343</v>
      </c>
      <c r="C397" s="208" t="b">
        <v>0</v>
      </c>
      <c r="D397" s="369" t="str">
        <f t="shared" si="3"/>
        <v/>
      </c>
      <c r="E397" s="368" t="s">
        <v>5922</v>
      </c>
      <c r="F397" s="208">
        <v>64.0</v>
      </c>
      <c r="G397" s="208" t="s">
        <v>2868</v>
      </c>
      <c r="H397" s="208"/>
    </row>
    <row r="398">
      <c r="B398" s="367"/>
      <c r="C398" s="208" t="b">
        <v>0</v>
      </c>
      <c r="D398" s="369" t="str">
        <f t="shared" si="3"/>
        <v/>
      </c>
      <c r="E398" s="368" t="s">
        <v>5923</v>
      </c>
      <c r="F398" s="208">
        <v>64.0</v>
      </c>
      <c r="G398" s="208" t="s">
        <v>741</v>
      </c>
      <c r="H398" s="208"/>
    </row>
    <row r="399">
      <c r="B399" s="367"/>
      <c r="C399" s="208" t="b">
        <v>0</v>
      </c>
      <c r="D399" s="369" t="str">
        <f t="shared" si="3"/>
        <v/>
      </c>
      <c r="E399" s="368" t="s">
        <v>5924</v>
      </c>
      <c r="F399" s="208">
        <v>64.0</v>
      </c>
      <c r="G399" s="208" t="s">
        <v>4670</v>
      </c>
      <c r="H399" s="208"/>
    </row>
    <row r="400">
      <c r="B400" s="367" t="s">
        <v>5645</v>
      </c>
      <c r="C400" s="208" t="b">
        <v>0</v>
      </c>
      <c r="D400" s="369" t="str">
        <f t="shared" si="3"/>
        <v/>
      </c>
      <c r="E400" s="368" t="s">
        <v>5925</v>
      </c>
      <c r="F400" s="208">
        <v>64.0</v>
      </c>
      <c r="G400" s="208" t="s">
        <v>1009</v>
      </c>
      <c r="H400" s="208"/>
    </row>
    <row r="401">
      <c r="B401" s="367" t="s">
        <v>5645</v>
      </c>
      <c r="C401" s="208" t="b">
        <v>0</v>
      </c>
      <c r="D401" s="369" t="str">
        <f t="shared" si="3"/>
        <v/>
      </c>
      <c r="E401" s="368" t="s">
        <v>5926</v>
      </c>
      <c r="F401" s="208">
        <v>64.0</v>
      </c>
      <c r="G401" s="208" t="s">
        <v>4403</v>
      </c>
      <c r="H401" s="208"/>
    </row>
    <row r="402">
      <c r="B402" s="367" t="s">
        <v>5645</v>
      </c>
      <c r="C402" s="208" t="b">
        <v>0</v>
      </c>
      <c r="D402" s="369" t="str">
        <f t="shared" si="3"/>
        <v/>
      </c>
      <c r="E402" s="368" t="s">
        <v>5927</v>
      </c>
      <c r="F402" s="208">
        <v>64.0</v>
      </c>
      <c r="G402" s="208" t="s">
        <v>5928</v>
      </c>
      <c r="H402" s="208"/>
    </row>
    <row r="403">
      <c r="B403" s="367" t="s">
        <v>5645</v>
      </c>
      <c r="C403" s="208" t="b">
        <v>0</v>
      </c>
      <c r="D403" s="369" t="str">
        <f t="shared" si="3"/>
        <v/>
      </c>
      <c r="E403" s="368" t="s">
        <v>5929</v>
      </c>
      <c r="F403" s="208">
        <v>64.0</v>
      </c>
      <c r="G403" s="208" t="s">
        <v>5930</v>
      </c>
      <c r="H403" s="208"/>
    </row>
    <row r="404">
      <c r="B404" s="367" t="s">
        <v>5645</v>
      </c>
      <c r="C404" s="208" t="b">
        <v>0</v>
      </c>
      <c r="D404" s="369" t="str">
        <f t="shared" si="3"/>
        <v/>
      </c>
      <c r="E404" s="368" t="s">
        <v>5931</v>
      </c>
      <c r="F404" s="208">
        <v>64.0</v>
      </c>
      <c r="G404" s="208" t="s">
        <v>5932</v>
      </c>
      <c r="H404" s="208"/>
    </row>
    <row r="405">
      <c r="B405" s="367" t="s">
        <v>5645</v>
      </c>
      <c r="C405" s="208" t="b">
        <v>0</v>
      </c>
      <c r="D405" s="369" t="str">
        <f t="shared" si="3"/>
        <v/>
      </c>
      <c r="E405" s="368" t="s">
        <v>5933</v>
      </c>
      <c r="F405" s="208">
        <v>64.0</v>
      </c>
      <c r="G405" s="208" t="s">
        <v>4695</v>
      </c>
      <c r="H405" s="208"/>
    </row>
    <row r="406">
      <c r="B406" s="367" t="s">
        <v>5645</v>
      </c>
      <c r="C406" s="208" t="b">
        <v>0</v>
      </c>
      <c r="D406" s="369" t="str">
        <f t="shared" si="3"/>
        <v/>
      </c>
      <c r="E406" s="368" t="s">
        <v>5934</v>
      </c>
      <c r="F406" s="208">
        <v>64.0</v>
      </c>
      <c r="G406" s="208" t="s">
        <v>4003</v>
      </c>
      <c r="H406" s="208"/>
    </row>
    <row r="407">
      <c r="B407" s="367"/>
      <c r="C407" s="208" t="b">
        <v>0</v>
      </c>
      <c r="D407" s="369" t="str">
        <f t="shared" si="3"/>
        <v/>
      </c>
      <c r="E407" s="368" t="s">
        <v>5935</v>
      </c>
      <c r="F407" s="208">
        <v>64.0</v>
      </c>
      <c r="G407" s="208" t="s">
        <v>922</v>
      </c>
      <c r="H407" s="208"/>
    </row>
    <row r="408">
      <c r="B408" s="367"/>
      <c r="C408" s="208" t="b">
        <v>0</v>
      </c>
      <c r="D408" s="369" t="str">
        <f t="shared" si="3"/>
        <v/>
      </c>
      <c r="E408" s="368" t="s">
        <v>5936</v>
      </c>
      <c r="F408" s="208">
        <v>16.0</v>
      </c>
      <c r="G408" s="208" t="s">
        <v>2449</v>
      </c>
      <c r="H408" s="208"/>
    </row>
    <row r="409">
      <c r="B409" s="367" t="s">
        <v>3218</v>
      </c>
      <c r="C409" s="208" t="b">
        <v>0</v>
      </c>
      <c r="D409" s="369" t="str">
        <f t="shared" si="3"/>
        <v/>
      </c>
      <c r="E409" s="368" t="s">
        <v>5937</v>
      </c>
      <c r="F409" s="208">
        <v>64.0</v>
      </c>
      <c r="G409" s="208" t="s">
        <v>3225</v>
      </c>
      <c r="H409" s="208"/>
    </row>
    <row r="410">
      <c r="B410" s="367" t="s">
        <v>2905</v>
      </c>
      <c r="C410" s="208" t="b">
        <v>0</v>
      </c>
      <c r="D410" s="369" t="str">
        <f t="shared" si="3"/>
        <v/>
      </c>
      <c r="E410" s="368" t="s">
        <v>5938</v>
      </c>
      <c r="F410" s="208">
        <v>1.0</v>
      </c>
      <c r="G410" s="208" t="s">
        <v>5939</v>
      </c>
      <c r="H410" s="208"/>
    </row>
    <row r="411">
      <c r="B411" s="370"/>
      <c r="C411" s="208" t="b">
        <v>0</v>
      </c>
      <c r="D411" s="369" t="str">
        <f t="shared" si="3"/>
        <v/>
      </c>
      <c r="E411" s="368" t="s">
        <v>5940</v>
      </c>
      <c r="F411" s="208">
        <v>64.0</v>
      </c>
      <c r="G411" s="208" t="s">
        <v>5941</v>
      </c>
      <c r="H411" s="208"/>
    </row>
    <row r="412">
      <c r="B412" s="367"/>
      <c r="C412" s="208" t="b">
        <v>0</v>
      </c>
      <c r="D412" s="369" t="str">
        <f t="shared" si="3"/>
        <v/>
      </c>
      <c r="E412" s="368" t="s">
        <v>5942</v>
      </c>
      <c r="F412" s="208">
        <v>64.0</v>
      </c>
      <c r="G412" s="208" t="s">
        <v>5943</v>
      </c>
      <c r="H412" s="208"/>
    </row>
    <row r="413">
      <c r="B413" s="370"/>
      <c r="C413" s="208" t="b">
        <v>0</v>
      </c>
      <c r="D413" s="369" t="str">
        <f t="shared" si="3"/>
        <v/>
      </c>
      <c r="E413" s="368" t="s">
        <v>5944</v>
      </c>
      <c r="F413" s="208">
        <v>64.0</v>
      </c>
      <c r="G413" s="208" t="s">
        <v>5945</v>
      </c>
      <c r="H413" s="208"/>
    </row>
    <row r="414">
      <c r="B414" s="370"/>
      <c r="C414" s="208" t="b">
        <v>0</v>
      </c>
      <c r="D414" s="369" t="str">
        <f t="shared" si="3"/>
        <v/>
      </c>
      <c r="E414" s="368" t="s">
        <v>5946</v>
      </c>
      <c r="F414" s="208">
        <v>64.0</v>
      </c>
      <c r="G414" s="208" t="s">
        <v>5947</v>
      </c>
      <c r="H414" s="208"/>
    </row>
    <row r="415">
      <c r="B415" s="370"/>
      <c r="C415" s="208" t="b">
        <v>0</v>
      </c>
      <c r="D415" s="369" t="str">
        <f t="shared" si="3"/>
        <v/>
      </c>
      <c r="E415" s="368" t="s">
        <v>5948</v>
      </c>
      <c r="F415" s="208">
        <v>64.0</v>
      </c>
      <c r="G415" s="208" t="s">
        <v>5949</v>
      </c>
      <c r="H415" s="208"/>
    </row>
    <row r="416">
      <c r="B416" s="370"/>
      <c r="C416" s="208" t="b">
        <v>0</v>
      </c>
      <c r="D416" s="369" t="str">
        <f t="shared" si="3"/>
        <v/>
      </c>
      <c r="E416" s="368" t="s">
        <v>5950</v>
      </c>
      <c r="F416" s="208">
        <v>64.0</v>
      </c>
      <c r="G416" s="208" t="s">
        <v>5951</v>
      </c>
      <c r="H416" s="208"/>
    </row>
    <row r="417">
      <c r="B417" s="367"/>
      <c r="C417" s="208" t="b">
        <v>0</v>
      </c>
      <c r="D417" s="369" t="str">
        <f t="shared" si="3"/>
        <v/>
      </c>
      <c r="E417" s="368" t="s">
        <v>5952</v>
      </c>
      <c r="F417" s="208">
        <v>64.0</v>
      </c>
      <c r="G417" s="208" t="s">
        <v>486</v>
      </c>
      <c r="H417" s="208"/>
    </row>
    <row r="418">
      <c r="B418" s="367"/>
      <c r="C418" s="208" t="b">
        <v>0</v>
      </c>
      <c r="D418" s="369" t="str">
        <f t="shared" si="3"/>
        <v/>
      </c>
      <c r="E418" s="368" t="s">
        <v>5953</v>
      </c>
      <c r="F418" s="208">
        <v>64.0</v>
      </c>
      <c r="G418" s="208" t="s">
        <v>5954</v>
      </c>
      <c r="H418" s="208"/>
    </row>
    <row r="419">
      <c r="B419" s="367"/>
      <c r="C419" s="208" t="b">
        <v>0</v>
      </c>
      <c r="D419" s="369" t="str">
        <f t="shared" si="3"/>
        <v/>
      </c>
      <c r="E419" s="368" t="s">
        <v>5955</v>
      </c>
      <c r="F419" s="208">
        <v>64.0</v>
      </c>
      <c r="G419" s="208" t="s">
        <v>5956</v>
      </c>
      <c r="H419" s="208"/>
    </row>
    <row r="420">
      <c r="B420" s="367" t="s">
        <v>2891</v>
      </c>
      <c r="C420" s="208" t="b">
        <v>0</v>
      </c>
      <c r="D420" s="369" t="str">
        <f>image(CONCATENATE("https://nerothe.com/img/1.21/minecraft_",G420,"_smithing_template.png"))</f>
        <v/>
      </c>
      <c r="E420" s="368" t="s">
        <v>5957</v>
      </c>
      <c r="F420" s="208">
        <v>1.0</v>
      </c>
      <c r="G420" s="208" t="s">
        <v>5958</v>
      </c>
      <c r="H420" s="208"/>
    </row>
    <row r="421">
      <c r="B421" s="367"/>
      <c r="C421" s="208" t="b">
        <v>0</v>
      </c>
      <c r="D421" s="369" t="str">
        <f t="shared" ref="D421:D527" si="4">image(CONCATENATE("https://nerothe.com/img/1.21/minecraft_",G421,".png"))</f>
        <v/>
      </c>
      <c r="E421" s="368" t="s">
        <v>5959</v>
      </c>
      <c r="F421" s="208">
        <v>64.0</v>
      </c>
      <c r="G421" s="208" t="s">
        <v>1746</v>
      </c>
      <c r="H421" s="208"/>
    </row>
    <row r="422">
      <c r="B422" s="367"/>
      <c r="C422" s="208" t="b">
        <v>0</v>
      </c>
      <c r="D422" s="369" t="str">
        <f t="shared" si="4"/>
        <v/>
      </c>
      <c r="E422" s="368" t="s">
        <v>5960</v>
      </c>
      <c r="F422" s="208">
        <v>64.0</v>
      </c>
      <c r="G422" s="208" t="s">
        <v>2401</v>
      </c>
      <c r="H422" s="208"/>
    </row>
    <row r="423">
      <c r="B423" s="370"/>
      <c r="C423" s="208" t="b">
        <v>0</v>
      </c>
      <c r="D423" s="369" t="str">
        <f t="shared" si="4"/>
        <v/>
      </c>
      <c r="E423" s="368" t="s">
        <v>5961</v>
      </c>
      <c r="F423" s="208">
        <v>64.0</v>
      </c>
      <c r="G423" s="208" t="s">
        <v>5962</v>
      </c>
      <c r="H423" s="208"/>
    </row>
    <row r="424">
      <c r="B424" s="367" t="s">
        <v>3218</v>
      </c>
      <c r="C424" s="208" t="b">
        <v>0</v>
      </c>
      <c r="D424" s="369" t="str">
        <f t="shared" si="4"/>
        <v/>
      </c>
      <c r="E424" s="368" t="s">
        <v>5963</v>
      </c>
      <c r="F424" s="208">
        <v>64.0</v>
      </c>
      <c r="G424" s="208" t="s">
        <v>3251</v>
      </c>
      <c r="H424" s="208"/>
    </row>
    <row r="425">
      <c r="B425" s="367"/>
      <c r="C425" s="208" t="b">
        <v>0</v>
      </c>
      <c r="D425" s="369" t="str">
        <f t="shared" si="4"/>
        <v/>
      </c>
      <c r="E425" s="368" t="s">
        <v>5964</v>
      </c>
      <c r="F425" s="208">
        <v>64.0</v>
      </c>
      <c r="G425" s="208" t="s">
        <v>2714</v>
      </c>
      <c r="H425" s="208"/>
    </row>
    <row r="426">
      <c r="B426" s="367" t="s">
        <v>5518</v>
      </c>
      <c r="C426" s="208" t="b">
        <v>0</v>
      </c>
      <c r="D426" s="369" t="str">
        <f t="shared" si="4"/>
        <v/>
      </c>
      <c r="E426" s="368" t="s">
        <v>5965</v>
      </c>
      <c r="F426" s="208">
        <v>64.0</v>
      </c>
      <c r="G426" s="208" t="s">
        <v>5966</v>
      </c>
      <c r="H426" s="208"/>
    </row>
    <row r="427">
      <c r="B427" s="367" t="s">
        <v>5518</v>
      </c>
      <c r="C427" s="208" t="b">
        <v>0</v>
      </c>
      <c r="D427" s="369" t="str">
        <f t="shared" si="4"/>
        <v/>
      </c>
      <c r="E427" s="368" t="s">
        <v>5967</v>
      </c>
      <c r="F427" s="208">
        <v>64.0</v>
      </c>
      <c r="G427" s="208" t="s">
        <v>5968</v>
      </c>
      <c r="H427" s="208"/>
    </row>
    <row r="428">
      <c r="B428" s="367" t="s">
        <v>5518</v>
      </c>
      <c r="C428" s="208" t="b">
        <v>0</v>
      </c>
      <c r="D428" s="369" t="str">
        <f t="shared" si="4"/>
        <v/>
      </c>
      <c r="E428" s="368" t="s">
        <v>5969</v>
      </c>
      <c r="F428" s="208">
        <v>64.0</v>
      </c>
      <c r="G428" s="208" t="s">
        <v>5140</v>
      </c>
      <c r="H428" s="208"/>
    </row>
    <row r="429">
      <c r="B429" s="367"/>
      <c r="C429" s="208" t="b">
        <v>0</v>
      </c>
      <c r="D429" s="369" t="str">
        <f t="shared" si="4"/>
        <v/>
      </c>
      <c r="E429" s="368" t="s">
        <v>5970</v>
      </c>
      <c r="F429" s="208">
        <v>64.0</v>
      </c>
      <c r="G429" s="208" t="s">
        <v>2648</v>
      </c>
      <c r="H429" s="208"/>
    </row>
    <row r="430">
      <c r="B430" s="367"/>
      <c r="C430" s="208" t="b">
        <v>0</v>
      </c>
      <c r="D430" s="369" t="str">
        <f t="shared" si="4"/>
        <v/>
      </c>
      <c r="E430" s="368" t="s">
        <v>5971</v>
      </c>
      <c r="F430" s="208">
        <v>64.0</v>
      </c>
      <c r="G430" s="208" t="s">
        <v>2653</v>
      </c>
      <c r="H430" s="208"/>
    </row>
    <row r="431">
      <c r="B431" s="367"/>
      <c r="C431" s="208" t="b">
        <v>0</v>
      </c>
      <c r="D431" s="369" t="str">
        <f t="shared" si="4"/>
        <v/>
      </c>
      <c r="E431" s="368" t="s">
        <v>5972</v>
      </c>
      <c r="F431" s="208">
        <v>1.0</v>
      </c>
      <c r="G431" s="208" t="s">
        <v>2096</v>
      </c>
      <c r="H431" s="208"/>
    </row>
    <row r="432">
      <c r="B432" s="367"/>
      <c r="C432" s="208" t="b">
        <v>0</v>
      </c>
      <c r="D432" s="369" t="str">
        <f t="shared" si="4"/>
        <v/>
      </c>
      <c r="E432" s="368" t="s">
        <v>5973</v>
      </c>
      <c r="F432" s="208">
        <v>64.0</v>
      </c>
      <c r="G432" s="208" t="s">
        <v>2603</v>
      </c>
      <c r="H432" s="208"/>
    </row>
    <row r="433">
      <c r="B433" s="367"/>
      <c r="C433" s="208" t="b">
        <v>0</v>
      </c>
      <c r="D433" s="369" t="str">
        <f t="shared" si="4"/>
        <v/>
      </c>
      <c r="E433" s="368" t="s">
        <v>5974</v>
      </c>
      <c r="F433" s="208">
        <v>64.0</v>
      </c>
      <c r="G433" s="208" t="s">
        <v>272</v>
      </c>
      <c r="H433" s="208"/>
    </row>
    <row r="434">
      <c r="B434" s="367"/>
      <c r="C434" s="208" t="b">
        <v>0</v>
      </c>
      <c r="D434" s="369" t="str">
        <f t="shared" si="4"/>
        <v/>
      </c>
      <c r="E434" s="368" t="s">
        <v>5975</v>
      </c>
      <c r="F434" s="208">
        <v>1.0</v>
      </c>
      <c r="G434" s="208" t="s">
        <v>277</v>
      </c>
      <c r="H434" s="208"/>
    </row>
    <row r="435">
      <c r="B435" s="367" t="s">
        <v>993</v>
      </c>
      <c r="C435" s="208" t="b">
        <v>0</v>
      </c>
      <c r="D435" s="369" t="str">
        <f t="shared" si="4"/>
        <v/>
      </c>
      <c r="E435" s="368" t="s">
        <v>5976</v>
      </c>
      <c r="F435" s="208">
        <v>1.0</v>
      </c>
      <c r="G435" s="208" t="s">
        <v>5977</v>
      </c>
      <c r="H435" s="208"/>
    </row>
    <row r="436">
      <c r="B436" s="367" t="s">
        <v>993</v>
      </c>
      <c r="C436" s="208" t="b">
        <v>0</v>
      </c>
      <c r="D436" s="369" t="str">
        <f t="shared" si="4"/>
        <v/>
      </c>
      <c r="E436" s="368" t="s">
        <v>5978</v>
      </c>
      <c r="F436" s="208">
        <v>1.0</v>
      </c>
      <c r="G436" s="208" t="s">
        <v>5979</v>
      </c>
      <c r="H436" s="208"/>
    </row>
    <row r="437">
      <c r="B437" s="367" t="s">
        <v>993</v>
      </c>
      <c r="C437" s="208" t="b">
        <v>0</v>
      </c>
      <c r="D437" s="369" t="str">
        <f t="shared" si="4"/>
        <v/>
      </c>
      <c r="E437" s="368" t="s">
        <v>5980</v>
      </c>
      <c r="F437" s="208">
        <v>1.0</v>
      </c>
      <c r="G437" s="208" t="s">
        <v>5981</v>
      </c>
      <c r="H437" s="208"/>
    </row>
    <row r="438">
      <c r="B438" s="367"/>
      <c r="C438" s="208" t="b">
        <v>0</v>
      </c>
      <c r="D438" s="369" t="str">
        <f t="shared" si="4"/>
        <v/>
      </c>
      <c r="E438" s="368" t="s">
        <v>5982</v>
      </c>
      <c r="F438" s="208">
        <v>1.0</v>
      </c>
      <c r="G438" s="208" t="s">
        <v>5983</v>
      </c>
      <c r="H438" s="208"/>
    </row>
    <row r="439">
      <c r="B439" s="367"/>
      <c r="C439" s="208" t="b">
        <v>0</v>
      </c>
      <c r="D439" s="369" t="str">
        <f t="shared" si="4"/>
        <v/>
      </c>
      <c r="E439" s="368" t="s">
        <v>5984</v>
      </c>
      <c r="F439" s="208">
        <v>64.0</v>
      </c>
      <c r="G439" s="208" t="s">
        <v>1171</v>
      </c>
      <c r="H439" s="208"/>
    </row>
    <row r="440">
      <c r="B440" s="370"/>
      <c r="C440" s="208" t="b">
        <v>0</v>
      </c>
      <c r="D440" s="369" t="str">
        <f t="shared" si="4"/>
        <v/>
      </c>
      <c r="E440" s="368" t="s">
        <v>5985</v>
      </c>
      <c r="F440" s="208">
        <v>64.0</v>
      </c>
      <c r="G440" s="208" t="s">
        <v>235</v>
      </c>
      <c r="H440" s="208"/>
    </row>
    <row r="441">
      <c r="B441" s="370"/>
      <c r="C441" s="208" t="b">
        <v>0</v>
      </c>
      <c r="D441" s="369" t="str">
        <f t="shared" si="4"/>
        <v/>
      </c>
      <c r="E441" s="368" t="s">
        <v>5986</v>
      </c>
      <c r="F441" s="208">
        <v>64.0</v>
      </c>
      <c r="G441" s="208" t="s">
        <v>5987</v>
      </c>
      <c r="H441" s="208"/>
    </row>
    <row r="442">
      <c r="B442" s="372" t="s">
        <v>2905</v>
      </c>
      <c r="C442" s="208" t="b">
        <v>0</v>
      </c>
      <c r="D442" s="369" t="str">
        <f t="shared" si="4"/>
        <v/>
      </c>
      <c r="E442" s="368" t="s">
        <v>5988</v>
      </c>
      <c r="F442" s="208">
        <v>1.0</v>
      </c>
      <c r="G442" s="208" t="s">
        <v>5989</v>
      </c>
      <c r="H442" s="208"/>
    </row>
    <row r="443">
      <c r="B443" s="367"/>
      <c r="C443" s="208" t="b">
        <v>0</v>
      </c>
      <c r="D443" s="369" t="str">
        <f t="shared" si="4"/>
        <v/>
      </c>
      <c r="E443" s="368" t="s">
        <v>5990</v>
      </c>
      <c r="F443" s="208">
        <v>64.0</v>
      </c>
      <c r="G443" s="208" t="s">
        <v>446</v>
      </c>
      <c r="H443" s="208"/>
    </row>
    <row r="444">
      <c r="B444" s="367"/>
      <c r="C444" s="208" t="b">
        <v>0</v>
      </c>
      <c r="D444" s="369" t="str">
        <f t="shared" si="4"/>
        <v/>
      </c>
      <c r="E444" s="368" t="s">
        <v>5991</v>
      </c>
      <c r="F444" s="208">
        <v>1.0</v>
      </c>
      <c r="G444" s="208" t="s">
        <v>3553</v>
      </c>
      <c r="H444" s="208"/>
    </row>
    <row r="445">
      <c r="B445" s="367" t="s">
        <v>5992</v>
      </c>
      <c r="C445" s="208" t="b">
        <v>0</v>
      </c>
      <c r="D445" s="369" t="str">
        <f t="shared" si="4"/>
        <v/>
      </c>
      <c r="E445" s="368" t="s">
        <v>5993</v>
      </c>
      <c r="F445" s="208">
        <v>64.0</v>
      </c>
      <c r="G445" s="208" t="s">
        <v>2664</v>
      </c>
      <c r="H445" s="208"/>
    </row>
    <row r="446">
      <c r="B446" s="367" t="s">
        <v>5992</v>
      </c>
      <c r="C446" s="208" t="b">
        <v>0</v>
      </c>
      <c r="D446" s="369" t="str">
        <f t="shared" si="4"/>
        <v/>
      </c>
      <c r="E446" s="368" t="s">
        <v>5994</v>
      </c>
      <c r="F446" s="208">
        <v>64.0</v>
      </c>
      <c r="G446" s="208" t="s">
        <v>4161</v>
      </c>
      <c r="H446" s="208"/>
    </row>
    <row r="447">
      <c r="B447" s="367"/>
      <c r="C447" s="208" t="b">
        <v>0</v>
      </c>
      <c r="D447" s="369" t="str">
        <f t="shared" si="4"/>
        <v/>
      </c>
      <c r="E447" s="368" t="s">
        <v>5995</v>
      </c>
      <c r="F447" s="208">
        <v>64.0</v>
      </c>
      <c r="G447" s="208" t="s">
        <v>1117</v>
      </c>
      <c r="H447" s="208"/>
    </row>
    <row r="448">
      <c r="B448" s="367"/>
      <c r="C448" s="208" t="b">
        <v>0</v>
      </c>
      <c r="D448" s="369" t="str">
        <f t="shared" si="4"/>
        <v/>
      </c>
      <c r="E448" s="368" t="s">
        <v>5996</v>
      </c>
      <c r="F448" s="208">
        <v>64.0</v>
      </c>
      <c r="G448" s="208" t="s">
        <v>4615</v>
      </c>
      <c r="H448" s="208"/>
    </row>
    <row r="449">
      <c r="B449" s="367"/>
      <c r="C449" s="208" t="b">
        <v>0</v>
      </c>
      <c r="D449" s="369" t="str">
        <f t="shared" si="4"/>
        <v/>
      </c>
      <c r="E449" s="368" t="s">
        <v>5997</v>
      </c>
      <c r="F449" s="208">
        <v>64.0</v>
      </c>
      <c r="G449" s="208" t="s">
        <v>1121</v>
      </c>
      <c r="H449" s="208"/>
    </row>
    <row r="450">
      <c r="B450" s="367"/>
      <c r="C450" s="208" t="b">
        <v>0</v>
      </c>
      <c r="D450" s="369" t="str">
        <f t="shared" si="4"/>
        <v/>
      </c>
      <c r="E450" s="368" t="s">
        <v>5998</v>
      </c>
      <c r="F450" s="208">
        <v>64.0</v>
      </c>
      <c r="G450" s="208" t="s">
        <v>4543</v>
      </c>
      <c r="H450" s="208"/>
    </row>
    <row r="451">
      <c r="B451" s="367"/>
      <c r="C451" s="208" t="b">
        <v>0</v>
      </c>
      <c r="D451" s="369" t="str">
        <f t="shared" si="4"/>
        <v/>
      </c>
      <c r="E451" s="368" t="s">
        <v>5999</v>
      </c>
      <c r="F451" s="208">
        <v>1.0</v>
      </c>
      <c r="G451" s="208" t="s">
        <v>6000</v>
      </c>
      <c r="H451" s="208"/>
    </row>
    <row r="452">
      <c r="B452" s="370"/>
      <c r="C452" s="208" t="b">
        <v>0</v>
      </c>
      <c r="D452" s="369" t="str">
        <f t="shared" si="4"/>
        <v/>
      </c>
      <c r="E452" s="368" t="s">
        <v>6001</v>
      </c>
      <c r="F452" s="208">
        <v>64.0</v>
      </c>
      <c r="G452" s="208" t="s">
        <v>220</v>
      </c>
      <c r="H452" s="208"/>
    </row>
    <row r="453">
      <c r="B453" s="367"/>
      <c r="C453" s="208" t="b">
        <v>0</v>
      </c>
      <c r="D453" s="369" t="str">
        <f t="shared" si="4"/>
        <v/>
      </c>
      <c r="E453" s="368" t="s">
        <v>6002</v>
      </c>
      <c r="F453" s="208">
        <v>64.0</v>
      </c>
      <c r="G453" s="208" t="s">
        <v>2112</v>
      </c>
      <c r="H453" s="208"/>
    </row>
    <row r="454">
      <c r="B454" s="367"/>
      <c r="C454" s="208" t="b">
        <v>0</v>
      </c>
      <c r="D454" s="369" t="str">
        <f t="shared" si="4"/>
        <v/>
      </c>
      <c r="E454" s="368" t="s">
        <v>6003</v>
      </c>
      <c r="F454" s="208">
        <v>64.0</v>
      </c>
      <c r="G454" s="208" t="s">
        <v>2121</v>
      </c>
      <c r="H454" s="208"/>
    </row>
    <row r="455">
      <c r="B455" s="367"/>
      <c r="C455" s="208" t="b">
        <v>0</v>
      </c>
      <c r="D455" s="369" t="str">
        <f t="shared" si="4"/>
        <v/>
      </c>
      <c r="E455" s="368" t="s">
        <v>6004</v>
      </c>
      <c r="F455" s="208">
        <v>64.0</v>
      </c>
      <c r="G455" s="208" t="s">
        <v>322</v>
      </c>
      <c r="H455" s="208"/>
    </row>
    <row r="456">
      <c r="B456" s="367"/>
      <c r="C456" s="208" t="b">
        <v>0</v>
      </c>
      <c r="D456" s="369" t="str">
        <f t="shared" si="4"/>
        <v/>
      </c>
      <c r="E456" s="368" t="s">
        <v>6005</v>
      </c>
      <c r="F456" s="208">
        <v>64.0</v>
      </c>
      <c r="G456" s="208" t="s">
        <v>961</v>
      </c>
      <c r="H456" s="208"/>
    </row>
    <row r="457">
      <c r="B457" s="367"/>
      <c r="C457" s="208" t="b">
        <v>0</v>
      </c>
      <c r="D457" s="369" t="str">
        <f t="shared" si="4"/>
        <v/>
      </c>
      <c r="E457" s="368" t="s">
        <v>6006</v>
      </c>
      <c r="F457" s="208">
        <v>64.0</v>
      </c>
      <c r="G457" s="208" t="s">
        <v>4329</v>
      </c>
      <c r="H457" s="208"/>
    </row>
    <row r="458">
      <c r="B458" s="367"/>
      <c r="C458" s="208" t="b">
        <v>0</v>
      </c>
      <c r="D458" s="369" t="str">
        <f t="shared" si="4"/>
        <v/>
      </c>
      <c r="E458" s="368" t="s">
        <v>6007</v>
      </c>
      <c r="F458" s="208">
        <v>1.0</v>
      </c>
      <c r="G458" s="208" t="s">
        <v>1844</v>
      </c>
      <c r="H458" s="208"/>
    </row>
    <row r="459">
      <c r="B459" s="367"/>
      <c r="C459" s="208" t="b">
        <v>0</v>
      </c>
      <c r="D459" s="369" t="str">
        <f t="shared" si="4"/>
        <v/>
      </c>
      <c r="E459" s="368" t="s">
        <v>6008</v>
      </c>
      <c r="F459" s="208">
        <v>64.0</v>
      </c>
      <c r="G459" s="208" t="s">
        <v>577</v>
      </c>
      <c r="H459" s="208"/>
    </row>
    <row r="460">
      <c r="B460" s="367"/>
      <c r="C460" s="208" t="b">
        <v>0</v>
      </c>
      <c r="D460" s="369" t="str">
        <f t="shared" si="4"/>
        <v/>
      </c>
      <c r="E460" s="368" t="s">
        <v>6009</v>
      </c>
      <c r="F460" s="208">
        <v>64.0</v>
      </c>
      <c r="G460" s="208" t="s">
        <v>557</v>
      </c>
      <c r="H460" s="208"/>
    </row>
    <row r="461">
      <c r="B461" s="367"/>
      <c r="C461" s="208" t="b">
        <v>0</v>
      </c>
      <c r="D461" s="369" t="str">
        <f t="shared" si="4"/>
        <v/>
      </c>
      <c r="E461" s="368" t="s">
        <v>6010</v>
      </c>
      <c r="F461" s="208">
        <v>64.0</v>
      </c>
      <c r="G461" s="208" t="s">
        <v>4167</v>
      </c>
      <c r="H461" s="208"/>
    </row>
    <row r="462">
      <c r="B462" s="367"/>
      <c r="C462" s="208" t="b">
        <v>0</v>
      </c>
      <c r="D462" s="369" t="str">
        <f t="shared" si="4"/>
        <v/>
      </c>
      <c r="E462" s="368" t="s">
        <v>6011</v>
      </c>
      <c r="F462" s="208">
        <v>64.0</v>
      </c>
      <c r="G462" s="208" t="s">
        <v>305</v>
      </c>
      <c r="H462" s="208"/>
    </row>
    <row r="463">
      <c r="B463" s="367"/>
      <c r="C463" s="208" t="b">
        <v>0</v>
      </c>
      <c r="D463" s="369" t="str">
        <f t="shared" si="4"/>
        <v/>
      </c>
      <c r="E463" s="368" t="s">
        <v>6012</v>
      </c>
      <c r="F463" s="208">
        <v>64.0</v>
      </c>
      <c r="G463" s="208" t="s">
        <v>1347</v>
      </c>
      <c r="H463" s="208"/>
    </row>
    <row r="464">
      <c r="B464" s="367"/>
      <c r="C464" s="208" t="b">
        <v>0</v>
      </c>
      <c r="D464" s="369" t="str">
        <f t="shared" si="4"/>
        <v/>
      </c>
      <c r="E464" s="368" t="s">
        <v>6013</v>
      </c>
      <c r="F464" s="208">
        <v>1.0</v>
      </c>
      <c r="G464" s="208" t="s">
        <v>4144</v>
      </c>
      <c r="H464" s="208"/>
    </row>
    <row r="465">
      <c r="B465" s="367"/>
      <c r="C465" s="208" t="b">
        <v>0</v>
      </c>
      <c r="D465" s="369" t="str">
        <f t="shared" si="4"/>
        <v/>
      </c>
      <c r="E465" s="368" t="s">
        <v>6014</v>
      </c>
      <c r="F465" s="208">
        <v>1.0</v>
      </c>
      <c r="G465" s="208" t="s">
        <v>4074</v>
      </c>
      <c r="H465" s="208"/>
    </row>
    <row r="466">
      <c r="B466" s="367"/>
      <c r="C466" s="208" t="b">
        <v>0</v>
      </c>
      <c r="D466" s="369" t="str">
        <f t="shared" si="4"/>
        <v/>
      </c>
      <c r="E466" s="368" t="s">
        <v>6015</v>
      </c>
      <c r="F466" s="208">
        <v>64.0</v>
      </c>
      <c r="G466" s="208" t="s">
        <v>1547</v>
      </c>
      <c r="H466" s="208"/>
    </row>
    <row r="467">
      <c r="B467" s="367"/>
      <c r="C467" s="208" t="b">
        <v>0</v>
      </c>
      <c r="D467" s="369" t="str">
        <f t="shared" si="4"/>
        <v/>
      </c>
      <c r="E467" s="368" t="s">
        <v>6016</v>
      </c>
      <c r="F467" s="208">
        <v>1.0</v>
      </c>
      <c r="G467" s="208" t="s">
        <v>562</v>
      </c>
      <c r="H467" s="208"/>
    </row>
    <row r="468">
      <c r="B468" s="367"/>
      <c r="C468" s="208" t="b">
        <v>0</v>
      </c>
      <c r="D468" s="369" t="str">
        <f t="shared" si="4"/>
        <v/>
      </c>
      <c r="E468" s="368" t="s">
        <v>6017</v>
      </c>
      <c r="F468" s="208">
        <v>1.0</v>
      </c>
      <c r="G468" s="208" t="s">
        <v>6018</v>
      </c>
      <c r="H468" s="208"/>
    </row>
    <row r="469">
      <c r="B469" s="367"/>
      <c r="C469" s="208" t="b">
        <v>0</v>
      </c>
      <c r="D469" s="369" t="str">
        <f t="shared" si="4"/>
        <v/>
      </c>
      <c r="E469" s="368" t="s">
        <v>6019</v>
      </c>
      <c r="F469" s="208">
        <v>1.0</v>
      </c>
      <c r="G469" s="208" t="s">
        <v>6020</v>
      </c>
      <c r="H469" s="208"/>
    </row>
    <row r="470">
      <c r="B470" s="367"/>
      <c r="C470" s="208" t="b">
        <v>0</v>
      </c>
      <c r="D470" s="369" t="str">
        <f t="shared" si="4"/>
        <v/>
      </c>
      <c r="E470" s="368" t="s">
        <v>6021</v>
      </c>
      <c r="F470" s="208">
        <v>1.0</v>
      </c>
      <c r="G470" s="208" t="s">
        <v>3908</v>
      </c>
      <c r="H470" s="208"/>
    </row>
    <row r="471">
      <c r="B471" s="367"/>
      <c r="C471" s="208" t="b">
        <v>0</v>
      </c>
      <c r="D471" s="369" t="str">
        <f t="shared" si="4"/>
        <v/>
      </c>
      <c r="E471" s="368" t="s">
        <v>6022</v>
      </c>
      <c r="F471" s="208">
        <v>1.0</v>
      </c>
      <c r="G471" s="208" t="s">
        <v>567</v>
      </c>
      <c r="H471" s="208"/>
    </row>
    <row r="472">
      <c r="B472" s="367"/>
      <c r="C472" s="208" t="b">
        <v>0</v>
      </c>
      <c r="D472" s="369" t="str">
        <f t="shared" si="4"/>
        <v/>
      </c>
      <c r="E472" s="368" t="s">
        <v>6023</v>
      </c>
      <c r="F472" s="208">
        <v>1.0</v>
      </c>
      <c r="G472" s="208" t="s">
        <v>582</v>
      </c>
      <c r="H472" s="208"/>
    </row>
    <row r="473">
      <c r="B473" s="367"/>
      <c r="C473" s="208" t="b">
        <v>0</v>
      </c>
      <c r="D473" s="369" t="str">
        <f t="shared" si="4"/>
        <v/>
      </c>
      <c r="E473" s="368" t="s">
        <v>6024</v>
      </c>
      <c r="F473" s="208">
        <v>1.0</v>
      </c>
      <c r="G473" s="208" t="s">
        <v>587</v>
      </c>
      <c r="H473" s="208"/>
    </row>
    <row r="474">
      <c r="B474" s="367"/>
      <c r="C474" s="208" t="b">
        <v>0</v>
      </c>
      <c r="D474" s="369" t="str">
        <f t="shared" si="4"/>
        <v/>
      </c>
      <c r="E474" s="368" t="s">
        <v>6025</v>
      </c>
      <c r="F474" s="208">
        <v>1.0</v>
      </c>
      <c r="G474" s="208" t="s">
        <v>4116</v>
      </c>
      <c r="H474" s="208"/>
    </row>
    <row r="475">
      <c r="B475" s="367"/>
      <c r="C475" s="208" t="b">
        <v>0</v>
      </c>
      <c r="D475" s="369" t="str">
        <f t="shared" si="4"/>
        <v/>
      </c>
      <c r="E475" s="368" t="s">
        <v>6026</v>
      </c>
      <c r="F475" s="208">
        <v>64.0</v>
      </c>
      <c r="G475" s="208" t="s">
        <v>1191</v>
      </c>
      <c r="H475" s="208"/>
    </row>
    <row r="476">
      <c r="B476" s="367"/>
      <c r="C476" s="208" t="b">
        <v>0</v>
      </c>
      <c r="D476" s="369" t="str">
        <f t="shared" si="4"/>
        <v/>
      </c>
      <c r="E476" s="368" t="s">
        <v>6027</v>
      </c>
      <c r="F476" s="208">
        <v>64.0</v>
      </c>
      <c r="G476" s="208" t="s">
        <v>6028</v>
      </c>
      <c r="H476" s="208"/>
    </row>
    <row r="477">
      <c r="B477" s="367"/>
      <c r="C477" s="208" t="b">
        <v>0</v>
      </c>
      <c r="D477" s="369" t="str">
        <f t="shared" si="4"/>
        <v/>
      </c>
      <c r="E477" s="368" t="s">
        <v>6029</v>
      </c>
      <c r="F477" s="208">
        <v>64.0</v>
      </c>
      <c r="G477" s="208" t="s">
        <v>6030</v>
      </c>
      <c r="H477" s="208"/>
    </row>
    <row r="478">
      <c r="B478" s="367"/>
      <c r="C478" s="208" t="b">
        <v>0</v>
      </c>
      <c r="D478" s="369" t="str">
        <f t="shared" si="4"/>
        <v/>
      </c>
      <c r="E478" s="368" t="s">
        <v>6031</v>
      </c>
      <c r="F478" s="208">
        <v>64.0</v>
      </c>
      <c r="G478" s="208" t="s">
        <v>6032</v>
      </c>
      <c r="H478" s="208"/>
    </row>
    <row r="479">
      <c r="B479" s="367"/>
      <c r="C479" s="208" t="b">
        <v>0</v>
      </c>
      <c r="D479" s="369" t="str">
        <f t="shared" si="4"/>
        <v/>
      </c>
      <c r="E479" s="368" t="s">
        <v>6033</v>
      </c>
      <c r="F479" s="208">
        <v>64.0</v>
      </c>
      <c r="G479" s="208" t="s">
        <v>6034</v>
      </c>
      <c r="H479" s="208"/>
    </row>
    <row r="480">
      <c r="B480" s="367"/>
      <c r="C480" s="208" t="b">
        <v>0</v>
      </c>
      <c r="D480" s="369" t="str">
        <f t="shared" si="4"/>
        <v/>
      </c>
      <c r="E480" s="368" t="s">
        <v>6035</v>
      </c>
      <c r="F480" s="208">
        <v>64.0</v>
      </c>
      <c r="G480" s="208" t="s">
        <v>1111</v>
      </c>
      <c r="H480" s="208"/>
    </row>
    <row r="481">
      <c r="B481" s="367"/>
      <c r="C481" s="208" t="b">
        <v>0</v>
      </c>
      <c r="D481" s="369" t="str">
        <f t="shared" si="4"/>
        <v/>
      </c>
      <c r="E481" s="368" t="s">
        <v>6036</v>
      </c>
      <c r="F481" s="208">
        <v>64.0</v>
      </c>
      <c r="G481" s="208" t="s">
        <v>250</v>
      </c>
      <c r="H481" s="208"/>
    </row>
    <row r="482">
      <c r="B482" s="367"/>
      <c r="C482" s="208" t="b">
        <v>0</v>
      </c>
      <c r="D482" s="369" t="str">
        <f t="shared" si="4"/>
        <v/>
      </c>
      <c r="E482" s="368" t="s">
        <v>6037</v>
      </c>
      <c r="F482" s="208">
        <v>16.0</v>
      </c>
      <c r="G482" s="208" t="s">
        <v>6038</v>
      </c>
      <c r="H482" s="208"/>
    </row>
    <row r="483">
      <c r="B483" s="367"/>
      <c r="C483" s="208" t="b">
        <v>0</v>
      </c>
      <c r="D483" s="369" t="str">
        <f t="shared" si="4"/>
        <v/>
      </c>
      <c r="E483" s="368" t="s">
        <v>6039</v>
      </c>
      <c r="F483" s="208">
        <v>1.0</v>
      </c>
      <c r="G483" s="208" t="s">
        <v>6040</v>
      </c>
      <c r="H483" s="208"/>
    </row>
    <row r="484">
      <c r="B484" s="367"/>
      <c r="C484" s="208" t="b">
        <v>0</v>
      </c>
      <c r="D484" s="369" t="str">
        <f t="shared" si="4"/>
        <v/>
      </c>
      <c r="E484" s="368" t="s">
        <v>6041</v>
      </c>
      <c r="F484" s="208">
        <v>64.0</v>
      </c>
      <c r="G484" s="208" t="s">
        <v>6042</v>
      </c>
      <c r="H484" s="208"/>
    </row>
    <row r="485">
      <c r="B485" s="367"/>
      <c r="C485" s="208" t="b">
        <v>0</v>
      </c>
      <c r="D485" s="369" t="str">
        <f t="shared" si="4"/>
        <v/>
      </c>
      <c r="E485" s="368" t="s">
        <v>6043</v>
      </c>
      <c r="F485" s="208">
        <v>64.0</v>
      </c>
      <c r="G485" s="208" t="s">
        <v>6044</v>
      </c>
      <c r="H485" s="208"/>
    </row>
    <row r="486">
      <c r="B486" s="367"/>
      <c r="C486" s="208" t="b">
        <v>0</v>
      </c>
      <c r="D486" s="369" t="str">
        <f t="shared" si="4"/>
        <v/>
      </c>
      <c r="E486" s="368" t="s">
        <v>6045</v>
      </c>
      <c r="F486" s="208">
        <v>64.0</v>
      </c>
      <c r="G486" s="208" t="s">
        <v>6046</v>
      </c>
      <c r="H486" s="208"/>
    </row>
    <row r="487">
      <c r="B487" s="367"/>
      <c r="C487" s="208" t="b">
        <v>0</v>
      </c>
      <c r="D487" s="369" t="str">
        <f t="shared" si="4"/>
        <v/>
      </c>
      <c r="E487" s="368" t="s">
        <v>6047</v>
      </c>
      <c r="F487" s="208">
        <v>64.0</v>
      </c>
      <c r="G487" s="208" t="s">
        <v>6048</v>
      </c>
      <c r="H487" s="208"/>
    </row>
    <row r="488">
      <c r="B488" s="367"/>
      <c r="C488" s="208" t="b">
        <v>0</v>
      </c>
      <c r="D488" s="369" t="str">
        <f t="shared" si="4"/>
        <v/>
      </c>
      <c r="E488" s="368" t="s">
        <v>6049</v>
      </c>
      <c r="F488" s="208">
        <v>64.0</v>
      </c>
      <c r="G488" s="208" t="s">
        <v>6050</v>
      </c>
      <c r="H488" s="208"/>
    </row>
    <row r="489">
      <c r="B489" s="367"/>
      <c r="C489" s="208" t="b">
        <v>0</v>
      </c>
      <c r="D489" s="369" t="str">
        <f t="shared" si="4"/>
        <v/>
      </c>
      <c r="E489" s="368" t="s">
        <v>6051</v>
      </c>
      <c r="F489" s="208">
        <v>64.0</v>
      </c>
      <c r="G489" s="208" t="s">
        <v>6052</v>
      </c>
      <c r="H489" s="208"/>
    </row>
    <row r="490">
      <c r="B490" s="367"/>
      <c r="C490" s="208" t="b">
        <v>0</v>
      </c>
      <c r="D490" s="369" t="str">
        <f t="shared" si="4"/>
        <v/>
      </c>
      <c r="E490" s="368" t="s">
        <v>6053</v>
      </c>
      <c r="F490" s="208">
        <v>1.0</v>
      </c>
      <c r="G490" s="208" t="s">
        <v>6054</v>
      </c>
      <c r="H490" s="208"/>
    </row>
    <row r="491">
      <c r="B491" s="367"/>
      <c r="C491" s="208" t="b">
        <v>0</v>
      </c>
      <c r="D491" s="369" t="str">
        <f t="shared" si="4"/>
        <v/>
      </c>
      <c r="E491" s="368" t="s">
        <v>6055</v>
      </c>
      <c r="F491" s="208">
        <v>64.0</v>
      </c>
      <c r="G491" s="208" t="s">
        <v>6056</v>
      </c>
      <c r="H491" s="208"/>
    </row>
    <row r="492">
      <c r="B492" s="367"/>
      <c r="C492" s="208" t="b">
        <v>0</v>
      </c>
      <c r="D492" s="369" t="str">
        <f t="shared" si="4"/>
        <v/>
      </c>
      <c r="E492" s="368" t="s">
        <v>6057</v>
      </c>
      <c r="F492" s="208">
        <v>64.0</v>
      </c>
      <c r="G492" s="208" t="s">
        <v>6058</v>
      </c>
      <c r="H492" s="208"/>
    </row>
    <row r="493">
      <c r="B493" s="367"/>
      <c r="C493" s="208" t="b">
        <v>0</v>
      </c>
      <c r="D493" s="369" t="str">
        <f t="shared" si="4"/>
        <v/>
      </c>
      <c r="E493" s="368" t="s">
        <v>6059</v>
      </c>
      <c r="F493" s="208">
        <v>64.0</v>
      </c>
      <c r="G493" s="208" t="s">
        <v>6060</v>
      </c>
      <c r="H493" s="208"/>
    </row>
    <row r="494">
      <c r="B494" s="367"/>
      <c r="C494" s="208" t="b">
        <v>0</v>
      </c>
      <c r="D494" s="369" t="str">
        <f t="shared" si="4"/>
        <v/>
      </c>
      <c r="E494" s="368" t="s">
        <v>6061</v>
      </c>
      <c r="F494" s="208">
        <v>64.0</v>
      </c>
      <c r="G494" s="208" t="s">
        <v>1855</v>
      </c>
      <c r="H494" s="208"/>
    </row>
    <row r="495">
      <c r="B495" s="367"/>
      <c r="C495" s="208" t="b">
        <v>0</v>
      </c>
      <c r="D495" s="369" t="str">
        <f t="shared" si="4"/>
        <v/>
      </c>
      <c r="E495" s="368" t="s">
        <v>6062</v>
      </c>
      <c r="F495" s="208">
        <v>16.0</v>
      </c>
      <c r="G495" s="208" t="s">
        <v>6063</v>
      </c>
      <c r="H495" s="208"/>
    </row>
    <row r="496">
      <c r="B496" s="367"/>
      <c r="C496" s="208" t="b">
        <v>0</v>
      </c>
      <c r="D496" s="369" t="str">
        <f t="shared" si="4"/>
        <v/>
      </c>
      <c r="E496" s="368" t="s">
        <v>6064</v>
      </c>
      <c r="F496" s="208">
        <v>1.0</v>
      </c>
      <c r="G496" s="208" t="s">
        <v>6065</v>
      </c>
      <c r="H496" s="208"/>
    </row>
    <row r="497">
      <c r="B497" s="367"/>
      <c r="C497" s="208" t="b">
        <v>0</v>
      </c>
      <c r="D497" s="369" t="str">
        <f t="shared" si="4"/>
        <v/>
      </c>
      <c r="E497" s="368" t="s">
        <v>6066</v>
      </c>
      <c r="F497" s="208">
        <v>64.0</v>
      </c>
      <c r="G497" s="208" t="s">
        <v>6067</v>
      </c>
      <c r="H497" s="208"/>
    </row>
    <row r="498">
      <c r="B498" s="367"/>
      <c r="C498" s="208" t="b">
        <v>0</v>
      </c>
      <c r="D498" s="369" t="str">
        <f t="shared" si="4"/>
        <v/>
      </c>
      <c r="E498" s="368" t="s">
        <v>6068</v>
      </c>
      <c r="F498" s="208">
        <v>64.0</v>
      </c>
      <c r="G498" s="208" t="s">
        <v>6069</v>
      </c>
      <c r="H498" s="208"/>
    </row>
    <row r="499">
      <c r="B499" s="367"/>
      <c r="C499" s="208" t="b">
        <v>0</v>
      </c>
      <c r="D499" s="369" t="str">
        <f t="shared" si="4"/>
        <v/>
      </c>
      <c r="E499" s="368" t="s">
        <v>6070</v>
      </c>
      <c r="F499" s="208">
        <v>64.0</v>
      </c>
      <c r="G499" s="208" t="s">
        <v>6071</v>
      </c>
      <c r="H499" s="208"/>
    </row>
    <row r="500">
      <c r="B500" s="367"/>
      <c r="C500" s="208" t="b">
        <v>0</v>
      </c>
      <c r="D500" s="369" t="str">
        <f t="shared" si="4"/>
        <v/>
      </c>
      <c r="E500" s="368" t="s">
        <v>6072</v>
      </c>
      <c r="F500" s="208">
        <v>64.0</v>
      </c>
      <c r="G500" s="208" t="s">
        <v>6073</v>
      </c>
      <c r="H500" s="208"/>
    </row>
    <row r="501">
      <c r="B501" s="367"/>
      <c r="C501" s="208" t="b">
        <v>0</v>
      </c>
      <c r="D501" s="369" t="str">
        <f t="shared" si="4"/>
        <v/>
      </c>
      <c r="E501" s="368" t="s">
        <v>6074</v>
      </c>
      <c r="F501" s="208">
        <v>64.0</v>
      </c>
      <c r="G501" s="208" t="s">
        <v>1442</v>
      </c>
      <c r="H501" s="208"/>
    </row>
    <row r="502">
      <c r="B502" s="367"/>
      <c r="C502" s="208" t="b">
        <v>0</v>
      </c>
      <c r="D502" s="369" t="str">
        <f t="shared" si="4"/>
        <v/>
      </c>
      <c r="E502" s="368" t="s">
        <v>6075</v>
      </c>
      <c r="F502" s="208">
        <v>64.0</v>
      </c>
      <c r="G502" s="208" t="s">
        <v>6076</v>
      </c>
      <c r="H502" s="208"/>
    </row>
    <row r="503">
      <c r="B503" s="367"/>
      <c r="C503" s="208" t="b">
        <v>0</v>
      </c>
      <c r="D503" s="369" t="str">
        <f t="shared" si="4"/>
        <v/>
      </c>
      <c r="E503" s="368" t="s">
        <v>6077</v>
      </c>
      <c r="F503" s="208">
        <v>1.0</v>
      </c>
      <c r="G503" s="208" t="s">
        <v>6078</v>
      </c>
      <c r="H503" s="208"/>
    </row>
    <row r="504">
      <c r="B504" s="367"/>
      <c r="C504" s="208" t="b">
        <v>0</v>
      </c>
      <c r="D504" s="369" t="str">
        <f t="shared" si="4"/>
        <v/>
      </c>
      <c r="E504" s="368" t="s">
        <v>6079</v>
      </c>
      <c r="F504" s="208">
        <v>64.0</v>
      </c>
      <c r="G504" s="208" t="s">
        <v>6080</v>
      </c>
      <c r="H504" s="208"/>
    </row>
    <row r="505">
      <c r="B505" s="367"/>
      <c r="C505" s="208" t="b">
        <v>0</v>
      </c>
      <c r="D505" s="369" t="str">
        <f t="shared" si="4"/>
        <v/>
      </c>
      <c r="E505" s="368" t="s">
        <v>6081</v>
      </c>
      <c r="F505" s="208">
        <v>64.0</v>
      </c>
      <c r="G505" s="208" t="s">
        <v>883</v>
      </c>
      <c r="H505" s="208"/>
    </row>
    <row r="506">
      <c r="B506" s="367"/>
      <c r="C506" s="208" t="b">
        <v>0</v>
      </c>
      <c r="D506" s="369" t="str">
        <f t="shared" si="4"/>
        <v/>
      </c>
      <c r="E506" s="368" t="s">
        <v>6082</v>
      </c>
      <c r="F506" s="208">
        <v>64.0</v>
      </c>
      <c r="G506" s="208" t="s">
        <v>6083</v>
      </c>
      <c r="H506" s="208"/>
    </row>
    <row r="507">
      <c r="B507" s="367"/>
      <c r="C507" s="208" t="b">
        <v>0</v>
      </c>
      <c r="D507" s="369" t="str">
        <f t="shared" si="4"/>
        <v/>
      </c>
      <c r="E507" s="368" t="s">
        <v>6084</v>
      </c>
      <c r="F507" s="208">
        <v>64.0</v>
      </c>
      <c r="G507" s="208" t="s">
        <v>6085</v>
      </c>
      <c r="H507" s="208"/>
    </row>
    <row r="508">
      <c r="B508" s="367"/>
      <c r="C508" s="208" t="b">
        <v>0</v>
      </c>
      <c r="D508" s="369" t="str">
        <f t="shared" si="4"/>
        <v/>
      </c>
      <c r="E508" s="368" t="s">
        <v>6086</v>
      </c>
      <c r="F508" s="208">
        <v>64.0</v>
      </c>
      <c r="G508" s="208" t="s">
        <v>1284</v>
      </c>
      <c r="H508" s="208"/>
    </row>
    <row r="509">
      <c r="B509" s="367"/>
      <c r="C509" s="208" t="b">
        <v>0</v>
      </c>
      <c r="D509" s="369" t="str">
        <f t="shared" si="4"/>
        <v/>
      </c>
      <c r="E509" s="368" t="s">
        <v>6087</v>
      </c>
      <c r="F509" s="208">
        <v>64.0</v>
      </c>
      <c r="G509" s="208" t="s">
        <v>2410</v>
      </c>
      <c r="H509" s="208"/>
    </row>
    <row r="510">
      <c r="B510" s="367" t="s">
        <v>993</v>
      </c>
      <c r="C510" s="208" t="b">
        <v>0</v>
      </c>
      <c r="D510" s="369" t="str">
        <f t="shared" si="4"/>
        <v/>
      </c>
      <c r="E510" s="368" t="s">
        <v>6088</v>
      </c>
      <c r="F510" s="208">
        <v>1.0</v>
      </c>
      <c r="G510" s="208" t="s">
        <v>6089</v>
      </c>
      <c r="H510" s="208"/>
    </row>
    <row r="511">
      <c r="B511" s="367" t="s">
        <v>993</v>
      </c>
      <c r="C511" s="208" t="b">
        <v>0</v>
      </c>
      <c r="D511" s="369" t="str">
        <f t="shared" si="4"/>
        <v/>
      </c>
      <c r="E511" s="368" t="s">
        <v>6090</v>
      </c>
      <c r="F511" s="208">
        <v>1.0</v>
      </c>
      <c r="G511" s="208" t="s">
        <v>6091</v>
      </c>
      <c r="H511" s="208"/>
    </row>
    <row r="512">
      <c r="B512" s="370"/>
      <c r="C512" s="208" t="b">
        <v>0</v>
      </c>
      <c r="D512" s="369" t="str">
        <f t="shared" si="4"/>
        <v/>
      </c>
      <c r="E512" s="368" t="s">
        <v>6092</v>
      </c>
      <c r="F512" s="208">
        <v>64.0</v>
      </c>
      <c r="G512" s="208" t="s">
        <v>6093</v>
      </c>
      <c r="H512" s="208"/>
    </row>
    <row r="513">
      <c r="B513" s="367"/>
      <c r="C513" s="208" t="b">
        <v>0</v>
      </c>
      <c r="D513" s="369" t="str">
        <f t="shared" si="4"/>
        <v/>
      </c>
      <c r="E513" s="368" t="s">
        <v>6094</v>
      </c>
      <c r="F513" s="208">
        <v>64.0</v>
      </c>
      <c r="G513" s="208" t="s">
        <v>1308</v>
      </c>
      <c r="H513" s="208"/>
    </row>
    <row r="514">
      <c r="B514" s="367" t="s">
        <v>1343</v>
      </c>
      <c r="C514" s="208" t="b">
        <v>0</v>
      </c>
      <c r="D514" s="369" t="str">
        <f t="shared" si="4"/>
        <v/>
      </c>
      <c r="E514" s="368" t="s">
        <v>6095</v>
      </c>
      <c r="F514" s="208">
        <v>64.0</v>
      </c>
      <c r="G514" s="208" t="s">
        <v>4883</v>
      </c>
      <c r="H514" s="208"/>
    </row>
    <row r="515">
      <c r="B515" s="372" t="s">
        <v>2905</v>
      </c>
      <c r="C515" s="208" t="b">
        <v>0</v>
      </c>
      <c r="D515" s="369" t="str">
        <f t="shared" si="4"/>
        <v/>
      </c>
      <c r="E515" s="368" t="s">
        <v>6096</v>
      </c>
      <c r="F515" s="208">
        <v>1.0</v>
      </c>
      <c r="G515" s="208" t="s">
        <v>6097</v>
      </c>
      <c r="H515" s="208"/>
    </row>
    <row r="516">
      <c r="B516" s="372" t="s">
        <v>2905</v>
      </c>
      <c r="C516" s="208" t="b">
        <v>0</v>
      </c>
      <c r="D516" s="369" t="str">
        <f t="shared" si="4"/>
        <v/>
      </c>
      <c r="E516" s="368" t="s">
        <v>6098</v>
      </c>
      <c r="F516" s="208">
        <v>1.0</v>
      </c>
      <c r="G516" s="208" t="s">
        <v>6099</v>
      </c>
      <c r="H516" s="208"/>
    </row>
    <row r="517">
      <c r="B517" s="367" t="s">
        <v>993</v>
      </c>
      <c r="C517" s="208" t="b">
        <v>0</v>
      </c>
      <c r="D517" s="369" t="str">
        <f t="shared" si="4"/>
        <v/>
      </c>
      <c r="E517" s="368" t="s">
        <v>6100</v>
      </c>
      <c r="F517" s="208">
        <v>1.0</v>
      </c>
      <c r="G517" s="208" t="s">
        <v>6101</v>
      </c>
      <c r="H517" s="208"/>
    </row>
    <row r="518">
      <c r="B518" s="367"/>
      <c r="C518" s="208" t="b">
        <v>0</v>
      </c>
      <c r="D518" s="369" t="str">
        <f t="shared" si="4"/>
        <v/>
      </c>
      <c r="E518" s="368" t="s">
        <v>6102</v>
      </c>
      <c r="F518" s="208">
        <v>64.0</v>
      </c>
      <c r="G518" s="208" t="s">
        <v>3400</v>
      </c>
      <c r="H518" s="208"/>
    </row>
    <row r="519">
      <c r="B519" s="367"/>
      <c r="C519" s="208" t="b">
        <v>0</v>
      </c>
      <c r="D519" s="369" t="str">
        <f t="shared" si="4"/>
        <v/>
      </c>
      <c r="E519" s="368" t="s">
        <v>6103</v>
      </c>
      <c r="F519" s="208">
        <v>64.0</v>
      </c>
      <c r="G519" s="208" t="s">
        <v>1911</v>
      </c>
      <c r="H519" s="208"/>
    </row>
    <row r="520">
      <c r="B520" s="367"/>
      <c r="C520" s="208" t="b">
        <v>0</v>
      </c>
      <c r="D520" s="369" t="str">
        <f t="shared" si="4"/>
        <v/>
      </c>
      <c r="E520" s="368" t="s">
        <v>6104</v>
      </c>
      <c r="F520" s="208">
        <v>16.0</v>
      </c>
      <c r="G520" s="208" t="s">
        <v>1905</v>
      </c>
      <c r="H520" s="208"/>
    </row>
    <row r="521">
      <c r="B521" s="367"/>
      <c r="C521" s="208" t="b">
        <v>0</v>
      </c>
      <c r="D521" s="369" t="str">
        <f t="shared" si="4"/>
        <v/>
      </c>
      <c r="E521" s="368" t="s">
        <v>6105</v>
      </c>
      <c r="F521" s="208">
        <v>64.0</v>
      </c>
      <c r="G521" s="208" t="s">
        <v>501</v>
      </c>
      <c r="H521" s="208"/>
    </row>
    <row r="522">
      <c r="B522" s="367"/>
      <c r="C522" s="208" t="b">
        <v>0</v>
      </c>
      <c r="D522" s="369" t="str">
        <f t="shared" si="4"/>
        <v/>
      </c>
      <c r="E522" s="368" t="s">
        <v>6106</v>
      </c>
      <c r="F522" s="208">
        <v>64.0</v>
      </c>
      <c r="G522" s="208" t="s">
        <v>1894</v>
      </c>
      <c r="H522" s="208"/>
    </row>
    <row r="523">
      <c r="B523" s="367"/>
      <c r="C523" s="208" t="b">
        <v>0</v>
      </c>
      <c r="D523" s="369" t="str">
        <f t="shared" si="4"/>
        <v/>
      </c>
      <c r="E523" s="368" t="s">
        <v>6107</v>
      </c>
      <c r="F523" s="208">
        <v>64.0</v>
      </c>
      <c r="G523" s="208" t="s">
        <v>3460</v>
      </c>
      <c r="H523" s="208"/>
    </row>
    <row r="524">
      <c r="B524" s="367"/>
      <c r="C524" s="208" t="b">
        <v>0</v>
      </c>
      <c r="D524" s="369" t="str">
        <f t="shared" si="4"/>
        <v/>
      </c>
      <c r="E524" s="368" t="s">
        <v>6108</v>
      </c>
      <c r="F524" s="208">
        <v>1.0</v>
      </c>
      <c r="G524" s="208" t="s">
        <v>3562</v>
      </c>
      <c r="H524" s="208"/>
    </row>
    <row r="525">
      <c r="B525" s="367" t="s">
        <v>5518</v>
      </c>
      <c r="C525" s="208" t="b">
        <v>0</v>
      </c>
      <c r="D525" s="369" t="str">
        <f t="shared" si="4"/>
        <v/>
      </c>
      <c r="E525" s="368" t="s">
        <v>6109</v>
      </c>
      <c r="F525" s="208">
        <v>64.0</v>
      </c>
      <c r="G525" s="208" t="s">
        <v>6110</v>
      </c>
      <c r="H525" s="208"/>
    </row>
    <row r="526">
      <c r="B526" s="367" t="s">
        <v>5518</v>
      </c>
      <c r="C526" s="208" t="b">
        <v>0</v>
      </c>
      <c r="D526" s="369" t="str">
        <f t="shared" si="4"/>
        <v/>
      </c>
      <c r="E526" s="368" t="s">
        <v>6111</v>
      </c>
      <c r="F526" s="208">
        <v>64.0</v>
      </c>
      <c r="G526" s="208" t="s">
        <v>6112</v>
      </c>
      <c r="H526" s="208"/>
    </row>
    <row r="527">
      <c r="B527" s="367" t="s">
        <v>5518</v>
      </c>
      <c r="C527" s="208" t="b">
        <v>0</v>
      </c>
      <c r="D527" s="369" t="str">
        <f t="shared" si="4"/>
        <v/>
      </c>
      <c r="E527" s="368" t="s">
        <v>6113</v>
      </c>
      <c r="F527" s="208">
        <v>64.0</v>
      </c>
      <c r="G527" s="208" t="s">
        <v>6114</v>
      </c>
      <c r="H527" s="208"/>
    </row>
    <row r="528">
      <c r="B528" s="372" t="s">
        <v>2905</v>
      </c>
      <c r="C528" s="208" t="b">
        <v>0</v>
      </c>
      <c r="D528" s="369" t="str">
        <f>image(CONCATENATE("https://nerothe.com/img/1.21/minecraft_",G528,"_smithing_template.png"))</f>
        <v/>
      </c>
      <c r="E528" s="368" t="s">
        <v>6115</v>
      </c>
      <c r="F528" s="208">
        <v>1.0</v>
      </c>
      <c r="G528" s="208" t="s">
        <v>6116</v>
      </c>
      <c r="H528" s="208"/>
    </row>
    <row r="529">
      <c r="B529" s="372" t="s">
        <v>2905</v>
      </c>
      <c r="C529" s="208" t="b">
        <v>0</v>
      </c>
      <c r="D529" s="369" t="str">
        <f t="shared" ref="D529:D900" si="5">image(CONCATENATE("https://nerothe.com/img/1.21/minecraft_",G529,".png"))</f>
        <v/>
      </c>
      <c r="E529" s="368" t="s">
        <v>6117</v>
      </c>
      <c r="F529" s="208">
        <v>1.0</v>
      </c>
      <c r="G529" s="208" t="s">
        <v>6118</v>
      </c>
      <c r="H529" s="208"/>
    </row>
    <row r="530">
      <c r="B530" s="367"/>
      <c r="C530" s="208" t="b">
        <v>0</v>
      </c>
      <c r="D530" s="369" t="str">
        <f t="shared" si="5"/>
        <v/>
      </c>
      <c r="E530" s="368" t="s">
        <v>6119</v>
      </c>
      <c r="F530" s="208">
        <v>64.0</v>
      </c>
      <c r="G530" s="208" t="s">
        <v>3751</v>
      </c>
      <c r="H530" s="208"/>
    </row>
    <row r="531">
      <c r="B531" s="367"/>
      <c r="C531" s="208" t="b">
        <v>0</v>
      </c>
      <c r="D531" s="369" t="str">
        <f t="shared" si="5"/>
        <v/>
      </c>
      <c r="E531" s="368" t="s">
        <v>6120</v>
      </c>
      <c r="F531" s="208">
        <v>64.0</v>
      </c>
      <c r="G531" s="208" t="s">
        <v>1400</v>
      </c>
      <c r="H531" s="208"/>
    </row>
    <row r="532">
      <c r="B532" s="367"/>
      <c r="C532" s="208" t="b">
        <v>0</v>
      </c>
      <c r="D532" s="369" t="str">
        <f t="shared" si="5"/>
        <v/>
      </c>
      <c r="E532" s="368" t="s">
        <v>6121</v>
      </c>
      <c r="F532" s="208">
        <v>1.0</v>
      </c>
      <c r="G532" s="208" t="s">
        <v>2164</v>
      </c>
      <c r="H532" s="208"/>
    </row>
    <row r="533">
      <c r="B533" s="367"/>
      <c r="C533" s="208" t="b">
        <v>0</v>
      </c>
      <c r="D533" s="369" t="str">
        <f t="shared" si="5"/>
        <v/>
      </c>
      <c r="E533" s="368" t="s">
        <v>6122</v>
      </c>
      <c r="F533" s="208">
        <v>64.0</v>
      </c>
      <c r="G533" s="208" t="s">
        <v>1206</v>
      </c>
      <c r="H533" s="208"/>
    </row>
    <row r="534">
      <c r="B534" s="367"/>
      <c r="C534" s="208" t="b">
        <v>0</v>
      </c>
      <c r="D534" s="369" t="str">
        <f t="shared" si="5"/>
        <v/>
      </c>
      <c r="E534" s="368" t="s">
        <v>6123</v>
      </c>
      <c r="F534" s="208">
        <v>64.0</v>
      </c>
      <c r="G534" s="208" t="s">
        <v>551</v>
      </c>
      <c r="H534" s="208"/>
    </row>
    <row r="535">
      <c r="B535" s="367"/>
      <c r="C535" s="208" t="b">
        <v>0</v>
      </c>
      <c r="D535" s="369" t="str">
        <f t="shared" si="5"/>
        <v/>
      </c>
      <c r="E535" s="368" t="s">
        <v>6124</v>
      </c>
      <c r="F535" s="208">
        <v>1.0</v>
      </c>
      <c r="G535" s="208" t="s">
        <v>3716</v>
      </c>
      <c r="H535" s="208"/>
    </row>
    <row r="536">
      <c r="B536" s="367"/>
      <c r="C536" s="208" t="b">
        <v>0</v>
      </c>
      <c r="D536" s="369" t="str">
        <f t="shared" si="5"/>
        <v/>
      </c>
      <c r="E536" s="368" t="s">
        <v>6125</v>
      </c>
      <c r="F536" s="208">
        <v>1.0</v>
      </c>
      <c r="G536" s="208" t="s">
        <v>535</v>
      </c>
      <c r="H536" s="208"/>
    </row>
    <row r="537">
      <c r="B537" s="367"/>
      <c r="C537" s="208" t="b">
        <v>0</v>
      </c>
      <c r="D537" s="369" t="str">
        <f t="shared" si="5"/>
        <v/>
      </c>
      <c r="E537" s="368" t="s">
        <v>6126</v>
      </c>
      <c r="F537" s="208">
        <v>64.0</v>
      </c>
      <c r="G537" s="208" t="s">
        <v>812</v>
      </c>
      <c r="H537" s="208"/>
    </row>
    <row r="538">
      <c r="B538" s="367"/>
      <c r="C538" s="208" t="b">
        <v>0</v>
      </c>
      <c r="D538" s="369" t="str">
        <f t="shared" si="5"/>
        <v/>
      </c>
      <c r="E538" s="368" t="s">
        <v>6127</v>
      </c>
      <c r="F538" s="208">
        <v>1.0</v>
      </c>
      <c r="G538" s="208" t="s">
        <v>541</v>
      </c>
      <c r="H538" s="208"/>
    </row>
    <row r="539">
      <c r="B539" s="367"/>
      <c r="C539" s="208" t="b">
        <v>0</v>
      </c>
      <c r="D539" s="369" t="str">
        <f t="shared" si="5"/>
        <v/>
      </c>
      <c r="E539" s="368" t="s">
        <v>6128</v>
      </c>
      <c r="F539" s="208">
        <v>1.0</v>
      </c>
      <c r="G539" s="208" t="s">
        <v>6129</v>
      </c>
      <c r="H539" s="208"/>
    </row>
    <row r="540">
      <c r="B540" s="367"/>
      <c r="C540" s="208" t="b">
        <v>0</v>
      </c>
      <c r="D540" s="369" t="str">
        <f t="shared" si="5"/>
        <v/>
      </c>
      <c r="E540" s="368" t="s">
        <v>6130</v>
      </c>
      <c r="F540" s="208">
        <v>1.0</v>
      </c>
      <c r="G540" s="208" t="s">
        <v>3903</v>
      </c>
      <c r="H540" s="208"/>
    </row>
    <row r="541">
      <c r="B541" s="367"/>
      <c r="C541" s="208" t="b">
        <v>0</v>
      </c>
      <c r="D541" s="369" t="str">
        <f t="shared" si="5"/>
        <v/>
      </c>
      <c r="E541" s="368" t="s">
        <v>6131</v>
      </c>
      <c r="F541" s="208">
        <v>64.0</v>
      </c>
      <c r="G541" s="208" t="s">
        <v>521</v>
      </c>
      <c r="H541" s="208"/>
    </row>
    <row r="542">
      <c r="B542" s="367"/>
      <c r="C542" s="208" t="b">
        <v>0</v>
      </c>
      <c r="D542" s="369" t="str">
        <f t="shared" si="5"/>
        <v/>
      </c>
      <c r="E542" s="368" t="s">
        <v>6132</v>
      </c>
      <c r="F542" s="208">
        <v>1.0</v>
      </c>
      <c r="G542" s="208" t="s">
        <v>6133</v>
      </c>
      <c r="H542" s="208"/>
    </row>
    <row r="543">
      <c r="B543" s="367"/>
      <c r="C543" s="208" t="b">
        <v>0</v>
      </c>
      <c r="D543" s="369" t="str">
        <f t="shared" si="5"/>
        <v/>
      </c>
      <c r="E543" s="368" t="s">
        <v>6134</v>
      </c>
      <c r="F543" s="208">
        <v>64.0</v>
      </c>
      <c r="G543" s="208" t="s">
        <v>525</v>
      </c>
      <c r="H543" s="208"/>
    </row>
    <row r="544">
      <c r="B544" s="367" t="s">
        <v>5110</v>
      </c>
      <c r="C544" s="208" t="b">
        <v>0</v>
      </c>
      <c r="D544" s="369" t="str">
        <f t="shared" si="5"/>
        <v/>
      </c>
      <c r="E544" s="368" t="s">
        <v>6135</v>
      </c>
      <c r="F544" s="208">
        <v>64.0</v>
      </c>
      <c r="G544" s="208" t="s">
        <v>6136</v>
      </c>
      <c r="H544" s="208"/>
    </row>
    <row r="545">
      <c r="B545" s="367"/>
      <c r="C545" s="208" t="b">
        <v>0</v>
      </c>
      <c r="D545" s="369" t="str">
        <f t="shared" si="5"/>
        <v/>
      </c>
      <c r="E545" s="368" t="s">
        <v>6137</v>
      </c>
      <c r="F545" s="208">
        <v>1.0</v>
      </c>
      <c r="G545" s="208" t="s">
        <v>530</v>
      </c>
      <c r="H545" s="208"/>
    </row>
    <row r="546">
      <c r="B546" s="367"/>
      <c r="C546" s="208" t="b">
        <v>0</v>
      </c>
      <c r="D546" s="369" t="str">
        <f t="shared" si="5"/>
        <v/>
      </c>
      <c r="E546" s="368" t="s">
        <v>6138</v>
      </c>
      <c r="F546" s="208">
        <v>1.0</v>
      </c>
      <c r="G546" s="208" t="s">
        <v>2691</v>
      </c>
      <c r="H546" s="208"/>
    </row>
    <row r="547">
      <c r="B547" s="367"/>
      <c r="C547" s="208" t="b">
        <v>0</v>
      </c>
      <c r="D547" s="369" t="str">
        <f t="shared" si="5"/>
        <v/>
      </c>
      <c r="E547" s="368" t="s">
        <v>6139</v>
      </c>
      <c r="F547" s="208">
        <v>1.0</v>
      </c>
      <c r="G547" s="208" t="s">
        <v>1969</v>
      </c>
      <c r="H547" s="208"/>
    </row>
    <row r="548">
      <c r="B548" s="367"/>
      <c r="C548" s="208" t="b">
        <v>0</v>
      </c>
      <c r="D548" s="369" t="str">
        <f t="shared" si="5"/>
        <v/>
      </c>
      <c r="E548" s="368" t="s">
        <v>6140</v>
      </c>
      <c r="F548" s="208">
        <v>64.0</v>
      </c>
      <c r="G548" s="208" t="s">
        <v>6141</v>
      </c>
      <c r="H548" s="208"/>
    </row>
    <row r="549">
      <c r="B549" s="367"/>
      <c r="C549" s="208" t="b">
        <v>0</v>
      </c>
      <c r="D549" s="369" t="str">
        <f t="shared" si="5"/>
        <v/>
      </c>
      <c r="E549" s="368" t="s">
        <v>6142</v>
      </c>
      <c r="F549" s="208">
        <v>64.0</v>
      </c>
      <c r="G549" s="208" t="s">
        <v>873</v>
      </c>
      <c r="H549" s="208"/>
    </row>
    <row r="550">
      <c r="B550" s="367"/>
      <c r="C550" s="208" t="b">
        <v>0</v>
      </c>
      <c r="D550" s="369" t="str">
        <f t="shared" si="5"/>
        <v/>
      </c>
      <c r="E550" s="368" t="s">
        <v>6143</v>
      </c>
      <c r="F550" s="208">
        <v>64.0</v>
      </c>
      <c r="G550" s="208" t="s">
        <v>928</v>
      </c>
      <c r="H550" s="208"/>
    </row>
    <row r="551">
      <c r="B551" s="367"/>
      <c r="C551" s="208" t="b">
        <v>0</v>
      </c>
      <c r="D551" s="369" t="str">
        <f t="shared" si="5"/>
        <v/>
      </c>
      <c r="E551" s="368" t="s">
        <v>6144</v>
      </c>
      <c r="F551" s="208">
        <v>64.0</v>
      </c>
      <c r="G551" s="208" t="s">
        <v>2850</v>
      </c>
      <c r="H551" s="208"/>
    </row>
    <row r="552">
      <c r="B552" s="367"/>
      <c r="C552" s="208" t="b">
        <v>0</v>
      </c>
      <c r="D552" s="369" t="str">
        <f t="shared" si="5"/>
        <v/>
      </c>
      <c r="E552" s="368" t="s">
        <v>6145</v>
      </c>
      <c r="F552" s="208">
        <v>1.0</v>
      </c>
      <c r="G552" s="208" t="s">
        <v>1632</v>
      </c>
      <c r="H552" s="208"/>
    </row>
    <row r="553">
      <c r="B553" s="367"/>
      <c r="C553" s="208" t="b">
        <v>0</v>
      </c>
      <c r="D553" s="369" t="str">
        <f t="shared" si="5"/>
        <v/>
      </c>
      <c r="E553" s="368" t="s">
        <v>6146</v>
      </c>
      <c r="F553" s="208">
        <v>64.0</v>
      </c>
      <c r="G553" s="208" t="s">
        <v>6147</v>
      </c>
      <c r="H553" s="208"/>
    </row>
    <row r="554">
      <c r="B554" s="367"/>
      <c r="C554" s="208" t="b">
        <v>0</v>
      </c>
      <c r="D554" s="369" t="str">
        <f t="shared" si="5"/>
        <v/>
      </c>
      <c r="E554" s="368" t="s">
        <v>6148</v>
      </c>
      <c r="F554" s="208">
        <v>1.0</v>
      </c>
      <c r="G554" s="208" t="s">
        <v>6149</v>
      </c>
      <c r="H554" s="208"/>
    </row>
    <row r="555">
      <c r="B555" s="367"/>
      <c r="C555" s="208" t="b">
        <v>0</v>
      </c>
      <c r="D555" s="369" t="str">
        <f t="shared" si="5"/>
        <v/>
      </c>
      <c r="E555" s="368" t="s">
        <v>6150</v>
      </c>
      <c r="F555" s="208">
        <v>64.0</v>
      </c>
      <c r="G555" s="208" t="s">
        <v>6151</v>
      </c>
      <c r="H555" s="208"/>
    </row>
    <row r="556">
      <c r="B556" s="367"/>
      <c r="C556" s="208" t="b">
        <v>0</v>
      </c>
      <c r="D556" s="369" t="str">
        <f t="shared" si="5"/>
        <v/>
      </c>
      <c r="E556" s="368" t="s">
        <v>6152</v>
      </c>
      <c r="F556" s="208">
        <v>64.0</v>
      </c>
      <c r="G556" s="208" t="s">
        <v>6153</v>
      </c>
      <c r="H556" s="208"/>
    </row>
    <row r="557">
      <c r="B557" s="367"/>
      <c r="C557" s="208" t="b">
        <v>0</v>
      </c>
      <c r="D557" s="369" t="str">
        <f t="shared" si="5"/>
        <v/>
      </c>
      <c r="E557" s="368" t="s">
        <v>6154</v>
      </c>
      <c r="F557" s="208">
        <v>64.0</v>
      </c>
      <c r="G557" s="208" t="s">
        <v>6155</v>
      </c>
      <c r="H557" s="208"/>
    </row>
    <row r="558">
      <c r="B558" s="367"/>
      <c r="C558" s="208" t="b">
        <v>0</v>
      </c>
      <c r="D558" s="369" t="str">
        <f t="shared" si="5"/>
        <v/>
      </c>
      <c r="E558" s="368" t="s">
        <v>6156</v>
      </c>
      <c r="F558" s="208">
        <v>16.0</v>
      </c>
      <c r="G558" s="208" t="s">
        <v>6157</v>
      </c>
      <c r="H558" s="208"/>
    </row>
    <row r="559">
      <c r="B559" s="370"/>
      <c r="C559" s="208" t="b">
        <v>0</v>
      </c>
      <c r="D559" s="369" t="str">
        <f t="shared" si="5"/>
        <v/>
      </c>
      <c r="E559" s="368" t="s">
        <v>6158</v>
      </c>
      <c r="F559" s="208">
        <v>64.0</v>
      </c>
      <c r="G559" s="208" t="s">
        <v>4987</v>
      </c>
      <c r="H559" s="208"/>
    </row>
    <row r="560">
      <c r="B560" s="370"/>
      <c r="C560" s="208" t="b">
        <v>0</v>
      </c>
      <c r="D560" s="369" t="str">
        <f t="shared" si="5"/>
        <v/>
      </c>
      <c r="E560" s="368" t="s">
        <v>6159</v>
      </c>
      <c r="F560" s="208">
        <v>64.0</v>
      </c>
      <c r="G560" s="208" t="s">
        <v>3204</v>
      </c>
      <c r="H560" s="208"/>
    </row>
    <row r="561">
      <c r="B561" s="367"/>
      <c r="C561" s="208" t="b">
        <v>0</v>
      </c>
      <c r="D561" s="369" t="str">
        <f t="shared" si="5"/>
        <v/>
      </c>
      <c r="E561" s="368" t="s">
        <v>6160</v>
      </c>
      <c r="F561" s="208">
        <v>64.0</v>
      </c>
      <c r="G561" s="208" t="s">
        <v>6161</v>
      </c>
      <c r="H561" s="208"/>
    </row>
    <row r="562">
      <c r="B562" s="367"/>
      <c r="C562" s="208" t="b">
        <v>0</v>
      </c>
      <c r="D562" s="369" t="str">
        <f t="shared" si="5"/>
        <v/>
      </c>
      <c r="E562" s="368" t="s">
        <v>6162</v>
      </c>
      <c r="F562" s="208">
        <v>64.0</v>
      </c>
      <c r="G562" s="208" t="s">
        <v>6163</v>
      </c>
      <c r="H562" s="208"/>
    </row>
    <row r="563">
      <c r="B563" s="370"/>
      <c r="C563" s="208" t="b">
        <v>0</v>
      </c>
      <c r="D563" s="369" t="str">
        <f t="shared" si="5"/>
        <v/>
      </c>
      <c r="E563" s="368" t="s">
        <v>6164</v>
      </c>
      <c r="F563" s="208">
        <v>64.0</v>
      </c>
      <c r="G563" s="208" t="s">
        <v>1048</v>
      </c>
      <c r="H563" s="208"/>
    </row>
    <row r="564">
      <c r="B564" s="367"/>
      <c r="C564" s="208" t="b">
        <v>0</v>
      </c>
      <c r="D564" s="369" t="str">
        <f t="shared" si="5"/>
        <v/>
      </c>
      <c r="E564" s="368" t="s">
        <v>6165</v>
      </c>
      <c r="F564" s="208">
        <v>16.0</v>
      </c>
      <c r="G564" s="208" t="s">
        <v>6166</v>
      </c>
      <c r="H564" s="208"/>
    </row>
    <row r="565">
      <c r="B565" s="367"/>
      <c r="C565" s="208" t="b">
        <v>0</v>
      </c>
      <c r="D565" s="369" t="str">
        <f t="shared" si="5"/>
        <v/>
      </c>
      <c r="E565" s="368" t="s">
        <v>6167</v>
      </c>
      <c r="F565" s="208">
        <v>64.0</v>
      </c>
      <c r="G565" s="208" t="s">
        <v>6168</v>
      </c>
      <c r="H565" s="208"/>
    </row>
    <row r="566">
      <c r="B566" s="367"/>
      <c r="C566" s="208" t="b">
        <v>0</v>
      </c>
      <c r="D566" s="369" t="str">
        <f t="shared" si="5"/>
        <v/>
      </c>
      <c r="E566" s="368" t="s">
        <v>6169</v>
      </c>
      <c r="F566" s="208">
        <v>64.0</v>
      </c>
      <c r="G566" s="208" t="s">
        <v>6170</v>
      </c>
      <c r="H566" s="208"/>
    </row>
    <row r="567">
      <c r="B567" s="367"/>
      <c r="C567" s="208" t="b">
        <v>0</v>
      </c>
      <c r="D567" s="369" t="str">
        <f t="shared" si="5"/>
        <v/>
      </c>
      <c r="E567" s="368" t="s">
        <v>6171</v>
      </c>
      <c r="F567" s="208">
        <v>64.0</v>
      </c>
      <c r="G567" s="208" t="s">
        <v>6172</v>
      </c>
      <c r="H567" s="208"/>
    </row>
    <row r="568">
      <c r="B568" s="367"/>
      <c r="C568" s="208" t="b">
        <v>0</v>
      </c>
      <c r="D568" s="369" t="str">
        <f t="shared" si="5"/>
        <v/>
      </c>
      <c r="E568" s="368" t="s">
        <v>6173</v>
      </c>
      <c r="F568" s="208">
        <v>64.0</v>
      </c>
      <c r="G568" s="208" t="s">
        <v>6174</v>
      </c>
      <c r="H568" s="208"/>
    </row>
    <row r="569">
      <c r="B569" s="367"/>
      <c r="C569" s="208" t="b">
        <v>0</v>
      </c>
      <c r="D569" s="369" t="str">
        <f t="shared" si="5"/>
        <v/>
      </c>
      <c r="E569" s="368" t="s">
        <v>6175</v>
      </c>
      <c r="F569" s="208">
        <v>64.0</v>
      </c>
      <c r="G569" s="208" t="s">
        <v>1420</v>
      </c>
      <c r="H569" s="208"/>
    </row>
    <row r="570">
      <c r="B570" s="367"/>
      <c r="C570" s="208" t="b">
        <v>0</v>
      </c>
      <c r="D570" s="369" t="str">
        <f t="shared" si="5"/>
        <v/>
      </c>
      <c r="E570" s="368" t="s">
        <v>6176</v>
      </c>
      <c r="F570" s="208">
        <v>64.0</v>
      </c>
      <c r="G570" s="208" t="s">
        <v>802</v>
      </c>
      <c r="H570" s="208"/>
    </row>
    <row r="571">
      <c r="B571" s="367"/>
      <c r="C571" s="208" t="b">
        <v>0</v>
      </c>
      <c r="D571" s="369" t="str">
        <f t="shared" si="5"/>
        <v/>
      </c>
      <c r="E571" s="368" t="s">
        <v>6177</v>
      </c>
      <c r="F571" s="208">
        <v>64.0</v>
      </c>
      <c r="G571" s="208" t="s">
        <v>955</v>
      </c>
      <c r="H571" s="208"/>
    </row>
    <row r="572">
      <c r="B572" s="367" t="s">
        <v>5110</v>
      </c>
      <c r="C572" s="208" t="b">
        <v>0</v>
      </c>
      <c r="D572" s="369" t="str">
        <f t="shared" si="5"/>
        <v/>
      </c>
      <c r="E572" s="368" t="s">
        <v>6178</v>
      </c>
      <c r="F572" s="208">
        <v>64.0</v>
      </c>
      <c r="G572" s="208" t="s">
        <v>608</v>
      </c>
      <c r="H572" s="208"/>
    </row>
    <row r="573">
      <c r="B573" s="367"/>
      <c r="C573" s="208" t="b">
        <v>0</v>
      </c>
      <c r="D573" s="369" t="str">
        <f t="shared" si="5"/>
        <v/>
      </c>
      <c r="E573" s="368" t="s">
        <v>6179</v>
      </c>
      <c r="F573" s="208">
        <v>64.0</v>
      </c>
      <c r="G573" s="208" t="s">
        <v>603</v>
      </c>
      <c r="H573" s="208"/>
    </row>
    <row r="574">
      <c r="B574" s="367" t="s">
        <v>5110</v>
      </c>
      <c r="C574" s="208" t="b">
        <v>0</v>
      </c>
      <c r="D574" s="369" t="str">
        <f t="shared" si="5"/>
        <v/>
      </c>
      <c r="E574" s="368" t="s">
        <v>6180</v>
      </c>
      <c r="F574" s="208">
        <v>64.0</v>
      </c>
      <c r="G574" s="208" t="s">
        <v>6181</v>
      </c>
      <c r="H574" s="208"/>
    </row>
    <row r="575">
      <c r="B575" s="367" t="s">
        <v>1343</v>
      </c>
      <c r="C575" s="208" t="b">
        <v>0</v>
      </c>
      <c r="D575" s="369" t="str">
        <f t="shared" si="5"/>
        <v/>
      </c>
      <c r="E575" s="368" t="s">
        <v>6182</v>
      </c>
      <c r="F575" s="208">
        <v>64.0</v>
      </c>
      <c r="G575" s="208" t="s">
        <v>6183</v>
      </c>
      <c r="H575" s="208"/>
    </row>
    <row r="576">
      <c r="B576" s="367" t="s">
        <v>1343</v>
      </c>
      <c r="C576" s="208" t="b">
        <v>0</v>
      </c>
      <c r="D576" s="369" t="str">
        <f t="shared" si="5"/>
        <v/>
      </c>
      <c r="E576" s="368" t="s">
        <v>6184</v>
      </c>
      <c r="F576" s="208">
        <v>1.0</v>
      </c>
      <c r="G576" s="208" t="s">
        <v>3133</v>
      </c>
      <c r="H576" s="208"/>
    </row>
    <row r="577">
      <c r="B577" s="367"/>
      <c r="C577" s="208" t="b">
        <v>0</v>
      </c>
      <c r="D577" s="369" t="str">
        <f t="shared" si="5"/>
        <v/>
      </c>
      <c r="E577" s="368" t="s">
        <v>6185</v>
      </c>
      <c r="F577" s="208">
        <v>1.0</v>
      </c>
      <c r="G577" s="208" t="s">
        <v>730</v>
      </c>
      <c r="H577" s="208"/>
    </row>
    <row r="578">
      <c r="B578" s="367"/>
      <c r="C578" s="208" t="b">
        <v>0</v>
      </c>
      <c r="D578" s="369" t="str">
        <f t="shared" si="5"/>
        <v/>
      </c>
      <c r="E578" s="368" t="s">
        <v>6186</v>
      </c>
      <c r="F578" s="208">
        <v>64.0</v>
      </c>
      <c r="G578" s="208" t="s">
        <v>2007</v>
      </c>
      <c r="H578" s="208"/>
    </row>
    <row r="579">
      <c r="B579" s="367"/>
      <c r="C579" s="208" t="b">
        <v>0</v>
      </c>
      <c r="D579" s="369" t="str">
        <f t="shared" si="5"/>
        <v/>
      </c>
      <c r="E579" s="368" t="s">
        <v>6187</v>
      </c>
      <c r="F579" s="208">
        <v>64.0</v>
      </c>
      <c r="G579" s="208" t="s">
        <v>1678</v>
      </c>
      <c r="H579" s="208"/>
    </row>
    <row r="580">
      <c r="B580" s="367"/>
      <c r="C580" s="208" t="b">
        <v>0</v>
      </c>
      <c r="D580" s="369" t="str">
        <f t="shared" si="5"/>
        <v/>
      </c>
      <c r="E580" s="368" t="s">
        <v>6188</v>
      </c>
      <c r="F580" s="208">
        <v>1.0</v>
      </c>
      <c r="G580" s="208" t="s">
        <v>1740</v>
      </c>
      <c r="H580" s="208"/>
    </row>
    <row r="581">
      <c r="B581" s="367"/>
      <c r="C581" s="208" t="b">
        <v>0</v>
      </c>
      <c r="D581" s="369" t="str">
        <f t="shared" si="5"/>
        <v/>
      </c>
      <c r="E581" s="368" t="s">
        <v>6189</v>
      </c>
      <c r="F581" s="208">
        <v>1.0</v>
      </c>
      <c r="G581" s="208" t="s">
        <v>1729</v>
      </c>
      <c r="H581" s="208"/>
    </row>
    <row r="582">
      <c r="B582" s="367"/>
      <c r="C582" s="208" t="b">
        <v>0</v>
      </c>
      <c r="D582" s="369" t="str">
        <f t="shared" si="5"/>
        <v/>
      </c>
      <c r="E582" s="368" t="s">
        <v>6190</v>
      </c>
      <c r="F582" s="208">
        <v>1.0</v>
      </c>
      <c r="G582" s="208" t="s">
        <v>4902</v>
      </c>
      <c r="H582" s="208"/>
    </row>
    <row r="583">
      <c r="B583" s="367"/>
      <c r="C583" s="208" t="b">
        <v>0</v>
      </c>
      <c r="D583" s="369" t="str">
        <f t="shared" si="5"/>
        <v/>
      </c>
      <c r="E583" s="368" t="s">
        <v>6191</v>
      </c>
      <c r="F583" s="208">
        <v>1.0</v>
      </c>
      <c r="G583" s="208" t="s">
        <v>1928</v>
      </c>
      <c r="H583" s="208"/>
    </row>
    <row r="584">
      <c r="B584" s="367"/>
      <c r="C584" s="208" t="b">
        <v>0</v>
      </c>
      <c r="D584" s="369" t="str">
        <f t="shared" si="5"/>
        <v/>
      </c>
      <c r="E584" s="368" t="s">
        <v>6192</v>
      </c>
      <c r="F584" s="208">
        <v>1.0</v>
      </c>
      <c r="G584" s="208" t="s">
        <v>1734</v>
      </c>
      <c r="H584" s="208"/>
    </row>
    <row r="585">
      <c r="B585" s="367"/>
      <c r="C585" s="208" t="b">
        <v>0</v>
      </c>
      <c r="D585" s="369" t="str">
        <f t="shared" si="5"/>
        <v/>
      </c>
      <c r="E585" s="368" t="s">
        <v>6193</v>
      </c>
      <c r="F585" s="208">
        <v>64.0</v>
      </c>
      <c r="G585" s="208" t="s">
        <v>843</v>
      </c>
      <c r="H585" s="208"/>
    </row>
    <row r="586">
      <c r="B586" s="367"/>
      <c r="C586" s="208" t="b">
        <v>0</v>
      </c>
      <c r="D586" s="369" t="str">
        <f t="shared" si="5"/>
        <v/>
      </c>
      <c r="E586" s="368" t="s">
        <v>6194</v>
      </c>
      <c r="F586" s="208">
        <v>64.0</v>
      </c>
      <c r="G586" s="208" t="s">
        <v>2319</v>
      </c>
      <c r="H586" s="208"/>
    </row>
    <row r="587">
      <c r="B587" s="367"/>
      <c r="C587" s="208" t="b">
        <v>0</v>
      </c>
      <c r="D587" s="369" t="str">
        <f t="shared" si="5"/>
        <v/>
      </c>
      <c r="E587" s="368" t="s">
        <v>6195</v>
      </c>
      <c r="F587" s="208">
        <v>16.0</v>
      </c>
      <c r="G587" s="208" t="s">
        <v>6196</v>
      </c>
      <c r="H587" s="208"/>
    </row>
    <row r="588">
      <c r="B588" s="367"/>
      <c r="C588" s="208" t="b">
        <v>0</v>
      </c>
      <c r="D588" s="369" t="str">
        <f t="shared" si="5"/>
        <v/>
      </c>
      <c r="E588" s="368" t="s">
        <v>6197</v>
      </c>
      <c r="F588" s="208">
        <v>1.0</v>
      </c>
      <c r="G588" s="208" t="s">
        <v>787</v>
      </c>
      <c r="H588" s="208"/>
    </row>
    <row r="589">
      <c r="B589" s="367"/>
      <c r="C589" s="208" t="b">
        <v>0</v>
      </c>
      <c r="D589" s="369" t="str">
        <f t="shared" si="5"/>
        <v/>
      </c>
      <c r="E589" s="368" t="s">
        <v>6198</v>
      </c>
      <c r="F589" s="208">
        <v>64.0</v>
      </c>
      <c r="G589" s="208" t="s">
        <v>6199</v>
      </c>
      <c r="H589" s="208"/>
    </row>
    <row r="590">
      <c r="B590" s="367"/>
      <c r="C590" s="208" t="b">
        <v>0</v>
      </c>
      <c r="D590" s="369" t="str">
        <f t="shared" si="5"/>
        <v/>
      </c>
      <c r="E590" s="368" t="s">
        <v>6200</v>
      </c>
      <c r="F590" s="208">
        <v>64.0</v>
      </c>
      <c r="G590" s="208" t="s">
        <v>2001</v>
      </c>
      <c r="H590" s="208"/>
    </row>
    <row r="591">
      <c r="B591" s="367"/>
      <c r="C591" s="208" t="b">
        <v>0</v>
      </c>
      <c r="D591" s="369" t="str">
        <f t="shared" si="5"/>
        <v/>
      </c>
      <c r="E591" s="368" t="s">
        <v>6201</v>
      </c>
      <c r="F591" s="208">
        <v>64.0</v>
      </c>
      <c r="G591" s="208" t="s">
        <v>1151</v>
      </c>
      <c r="H591" s="208"/>
    </row>
    <row r="592">
      <c r="B592" s="367"/>
      <c r="C592" s="208" t="b">
        <v>0</v>
      </c>
      <c r="D592" s="369" t="str">
        <f t="shared" si="5"/>
        <v/>
      </c>
      <c r="E592" s="368" t="s">
        <v>6202</v>
      </c>
      <c r="F592" s="208">
        <v>64.0</v>
      </c>
      <c r="G592" s="208" t="s">
        <v>1146</v>
      </c>
      <c r="H592" s="208"/>
    </row>
    <row r="593">
      <c r="B593" s="367"/>
      <c r="C593" s="208" t="b">
        <v>0</v>
      </c>
      <c r="D593" s="369" t="str">
        <f t="shared" si="5"/>
        <v/>
      </c>
      <c r="E593" s="368" t="s">
        <v>6203</v>
      </c>
      <c r="F593" s="208">
        <v>64.0</v>
      </c>
      <c r="G593" s="208" t="s">
        <v>5015</v>
      </c>
      <c r="H593" s="208"/>
    </row>
    <row r="594">
      <c r="B594" s="367"/>
      <c r="C594" s="208" t="b">
        <v>0</v>
      </c>
      <c r="D594" s="369" t="str">
        <f t="shared" si="5"/>
        <v/>
      </c>
      <c r="E594" s="368" t="s">
        <v>6204</v>
      </c>
      <c r="F594" s="208">
        <v>64.0</v>
      </c>
      <c r="G594" s="208" t="s">
        <v>6205</v>
      </c>
      <c r="H594" s="208"/>
    </row>
    <row r="595">
      <c r="B595" s="367"/>
      <c r="C595" s="208" t="b">
        <v>0</v>
      </c>
      <c r="D595" s="369" t="str">
        <f t="shared" si="5"/>
        <v/>
      </c>
      <c r="E595" s="368" t="s">
        <v>6206</v>
      </c>
      <c r="F595" s="208">
        <v>1.0</v>
      </c>
      <c r="G595" s="208" t="s">
        <v>4789</v>
      </c>
      <c r="H595" s="208"/>
    </row>
    <row r="596">
      <c r="B596" s="367"/>
      <c r="C596" s="208" t="b">
        <v>0</v>
      </c>
      <c r="D596" s="369" t="str">
        <f t="shared" si="5"/>
        <v/>
      </c>
      <c r="E596" s="368" t="s">
        <v>6207</v>
      </c>
      <c r="F596" s="208">
        <v>64.0</v>
      </c>
      <c r="G596" s="208" t="s">
        <v>6208</v>
      </c>
      <c r="H596" s="208"/>
    </row>
    <row r="597">
      <c r="B597" s="367"/>
      <c r="C597" s="208" t="b">
        <v>0</v>
      </c>
      <c r="D597" s="369" t="str">
        <f t="shared" si="5"/>
        <v/>
      </c>
      <c r="E597" s="368" t="s">
        <v>6209</v>
      </c>
      <c r="F597" s="208">
        <v>64.0</v>
      </c>
      <c r="G597" s="208" t="s">
        <v>1130</v>
      </c>
      <c r="H597" s="208"/>
    </row>
    <row r="598">
      <c r="B598" s="370"/>
      <c r="C598" s="208" t="b">
        <v>0</v>
      </c>
      <c r="D598" s="369" t="str">
        <f t="shared" si="5"/>
        <v/>
      </c>
      <c r="E598" s="368" t="s">
        <v>6210</v>
      </c>
      <c r="F598" s="208">
        <v>64.0</v>
      </c>
      <c r="G598" s="208" t="s">
        <v>6211</v>
      </c>
      <c r="H598" s="208"/>
    </row>
    <row r="599">
      <c r="B599" s="367"/>
      <c r="C599" s="208" t="b">
        <v>0</v>
      </c>
      <c r="D599" s="369" t="str">
        <f t="shared" si="5"/>
        <v/>
      </c>
      <c r="E599" s="368" t="s">
        <v>6212</v>
      </c>
      <c r="F599" s="208">
        <v>64.0</v>
      </c>
      <c r="G599" s="208" t="s">
        <v>1814</v>
      </c>
      <c r="H599" s="208"/>
    </row>
    <row r="600">
      <c r="B600" s="367"/>
      <c r="C600" s="208" t="b">
        <v>0</v>
      </c>
      <c r="D600" s="369" t="str">
        <f t="shared" si="5"/>
        <v/>
      </c>
      <c r="E600" s="368" t="s">
        <v>6213</v>
      </c>
      <c r="F600" s="208">
        <v>16.0</v>
      </c>
      <c r="G600" s="208" t="s">
        <v>6214</v>
      </c>
      <c r="H600" s="208"/>
    </row>
    <row r="601">
      <c r="B601" s="367"/>
      <c r="C601" s="208" t="b">
        <v>0</v>
      </c>
      <c r="D601" s="369" t="str">
        <f t="shared" si="5"/>
        <v/>
      </c>
      <c r="E601" s="368" t="s">
        <v>6215</v>
      </c>
      <c r="F601" s="208">
        <v>1.0</v>
      </c>
      <c r="G601" s="208" t="s">
        <v>6216</v>
      </c>
      <c r="H601" s="208"/>
    </row>
    <row r="602">
      <c r="B602" s="367"/>
      <c r="C602" s="208" t="b">
        <v>0</v>
      </c>
      <c r="D602" s="369" t="str">
        <f t="shared" si="5"/>
        <v/>
      </c>
      <c r="E602" s="368" t="s">
        <v>6217</v>
      </c>
      <c r="F602" s="208">
        <v>64.0</v>
      </c>
      <c r="G602" s="208" t="s">
        <v>6218</v>
      </c>
      <c r="H602" s="208"/>
    </row>
    <row r="603">
      <c r="B603" s="367"/>
      <c r="C603" s="208" t="b">
        <v>0</v>
      </c>
      <c r="D603" s="369" t="str">
        <f t="shared" si="5"/>
        <v/>
      </c>
      <c r="E603" s="368" t="s">
        <v>6219</v>
      </c>
      <c r="F603" s="208">
        <v>64.0</v>
      </c>
      <c r="G603" s="208" t="s">
        <v>1974</v>
      </c>
      <c r="H603" s="208"/>
    </row>
    <row r="604">
      <c r="B604" s="367"/>
      <c r="C604" s="208" t="b">
        <v>0</v>
      </c>
      <c r="D604" s="369" t="str">
        <f t="shared" si="5"/>
        <v/>
      </c>
      <c r="E604" s="368" t="s">
        <v>6220</v>
      </c>
      <c r="F604" s="208">
        <v>64.0</v>
      </c>
      <c r="G604" s="208" t="s">
        <v>6221</v>
      </c>
      <c r="H604" s="208"/>
    </row>
    <row r="605">
      <c r="B605" s="367"/>
      <c r="C605" s="208" t="b">
        <v>0</v>
      </c>
      <c r="D605" s="369" t="str">
        <f t="shared" si="5"/>
        <v/>
      </c>
      <c r="E605" s="368" t="s">
        <v>6222</v>
      </c>
      <c r="F605" s="208">
        <v>64.0</v>
      </c>
      <c r="G605" s="208" t="s">
        <v>6223</v>
      </c>
      <c r="H605" s="208"/>
    </row>
    <row r="606">
      <c r="B606" s="367"/>
      <c r="C606" s="208" t="b">
        <v>0</v>
      </c>
      <c r="D606" s="369" t="str">
        <f t="shared" si="5"/>
        <v/>
      </c>
      <c r="E606" s="368" t="s">
        <v>6224</v>
      </c>
      <c r="F606" s="208">
        <v>64.0</v>
      </c>
      <c r="G606" s="208" t="s">
        <v>6225</v>
      </c>
      <c r="H606" s="208"/>
    </row>
    <row r="607">
      <c r="B607" s="367"/>
      <c r="C607" s="208" t="b">
        <v>0</v>
      </c>
      <c r="D607" s="369" t="str">
        <f t="shared" si="5"/>
        <v/>
      </c>
      <c r="E607" s="368" t="s">
        <v>6226</v>
      </c>
      <c r="F607" s="208">
        <v>64.0</v>
      </c>
      <c r="G607" s="208" t="s">
        <v>6227</v>
      </c>
      <c r="H607" s="208"/>
    </row>
    <row r="608">
      <c r="B608" s="367"/>
      <c r="C608" s="208" t="b">
        <v>0</v>
      </c>
      <c r="D608" s="369" t="str">
        <f t="shared" si="5"/>
        <v/>
      </c>
      <c r="E608" s="368" t="s">
        <v>6228</v>
      </c>
      <c r="F608" s="208">
        <v>1.0</v>
      </c>
      <c r="G608" s="208" t="s">
        <v>6229</v>
      </c>
      <c r="H608" s="208"/>
    </row>
    <row r="609">
      <c r="B609" s="367"/>
      <c r="C609" s="208" t="b">
        <v>0</v>
      </c>
      <c r="D609" s="369" t="str">
        <f t="shared" si="5"/>
        <v/>
      </c>
      <c r="E609" s="368" t="s">
        <v>6230</v>
      </c>
      <c r="F609" s="208">
        <v>64.0</v>
      </c>
      <c r="G609" s="208" t="s">
        <v>6231</v>
      </c>
      <c r="H609" s="208"/>
    </row>
    <row r="610">
      <c r="B610" s="367"/>
      <c r="C610" s="208" t="b">
        <v>0</v>
      </c>
      <c r="D610" s="369" t="str">
        <f t="shared" si="5"/>
        <v/>
      </c>
      <c r="E610" s="368" t="s">
        <v>6232</v>
      </c>
      <c r="F610" s="208">
        <v>64.0</v>
      </c>
      <c r="G610" s="208" t="s">
        <v>6233</v>
      </c>
      <c r="H610" s="208"/>
    </row>
    <row r="611">
      <c r="B611" s="370"/>
      <c r="C611" s="208" t="b">
        <v>0</v>
      </c>
      <c r="D611" s="369" t="str">
        <f t="shared" si="5"/>
        <v/>
      </c>
      <c r="E611" s="368" t="s">
        <v>6234</v>
      </c>
      <c r="F611" s="208">
        <v>64.0</v>
      </c>
      <c r="G611" s="208" t="s">
        <v>6235</v>
      </c>
      <c r="H611" s="208"/>
    </row>
    <row r="612">
      <c r="B612" s="367"/>
      <c r="C612" s="208" t="b">
        <v>0</v>
      </c>
      <c r="D612" s="369" t="str">
        <f t="shared" si="5"/>
        <v/>
      </c>
      <c r="E612" s="368" t="s">
        <v>6236</v>
      </c>
      <c r="F612" s="208">
        <v>64.0</v>
      </c>
      <c r="G612" s="208" t="s">
        <v>1804</v>
      </c>
      <c r="H612" s="208"/>
    </row>
    <row r="613">
      <c r="B613" s="367"/>
      <c r="C613" s="208" t="b">
        <v>0</v>
      </c>
      <c r="D613" s="369" t="str">
        <f t="shared" si="5"/>
        <v/>
      </c>
      <c r="E613" s="368" t="s">
        <v>6237</v>
      </c>
      <c r="F613" s="208">
        <v>64.0</v>
      </c>
      <c r="G613" s="208" t="s">
        <v>3405</v>
      </c>
      <c r="H613" s="208"/>
    </row>
    <row r="614">
      <c r="B614" s="367"/>
      <c r="C614" s="208" t="b">
        <v>0</v>
      </c>
      <c r="D614" s="369" t="str">
        <f t="shared" si="5"/>
        <v/>
      </c>
      <c r="E614" s="368" t="s">
        <v>6238</v>
      </c>
      <c r="F614" s="208">
        <v>64.0</v>
      </c>
      <c r="G614" s="208" t="s">
        <v>478</v>
      </c>
      <c r="H614" s="208"/>
    </row>
    <row r="615">
      <c r="B615" s="370"/>
      <c r="C615" s="208" t="b">
        <v>0</v>
      </c>
      <c r="D615" s="369" t="str">
        <f t="shared" si="5"/>
        <v/>
      </c>
      <c r="E615" s="368" t="s">
        <v>6239</v>
      </c>
      <c r="F615" s="208">
        <v>64.0</v>
      </c>
      <c r="G615" s="208" t="s">
        <v>6240</v>
      </c>
      <c r="H615" s="208"/>
    </row>
    <row r="616">
      <c r="B616" s="370"/>
      <c r="C616" s="208" t="b">
        <v>0</v>
      </c>
      <c r="D616" s="369" t="str">
        <f t="shared" si="5"/>
        <v/>
      </c>
      <c r="E616" s="368" t="s">
        <v>6241</v>
      </c>
      <c r="F616" s="208">
        <v>64.0</v>
      </c>
      <c r="G616" s="208" t="s">
        <v>1176</v>
      </c>
      <c r="H616" s="208"/>
    </row>
    <row r="617">
      <c r="B617" s="370"/>
      <c r="C617" s="208" t="b">
        <v>0</v>
      </c>
      <c r="D617" s="369" t="str">
        <f t="shared" si="5"/>
        <v/>
      </c>
      <c r="E617" s="368" t="s">
        <v>6242</v>
      </c>
      <c r="F617" s="208">
        <v>64.0</v>
      </c>
      <c r="G617" s="208" t="s">
        <v>3208</v>
      </c>
      <c r="H617" s="208"/>
    </row>
    <row r="618">
      <c r="B618" s="367"/>
      <c r="C618" s="208" t="b">
        <v>0</v>
      </c>
      <c r="D618" s="369" t="str">
        <f t="shared" si="5"/>
        <v/>
      </c>
      <c r="E618" s="368" t="s">
        <v>6243</v>
      </c>
      <c r="F618" s="208">
        <v>16.0</v>
      </c>
      <c r="G618" s="208" t="s">
        <v>6244</v>
      </c>
      <c r="H618" s="208"/>
    </row>
    <row r="619">
      <c r="B619" s="367"/>
      <c r="C619" s="208" t="b">
        <v>0</v>
      </c>
      <c r="D619" s="369" t="str">
        <f t="shared" si="5"/>
        <v/>
      </c>
      <c r="E619" s="368" t="s">
        <v>6245</v>
      </c>
      <c r="F619" s="208">
        <v>1.0</v>
      </c>
      <c r="G619" s="208" t="s">
        <v>6246</v>
      </c>
      <c r="H619" s="208"/>
    </row>
    <row r="620">
      <c r="B620" s="367"/>
      <c r="C620" s="208" t="b">
        <v>0</v>
      </c>
      <c r="D620" s="369" t="str">
        <f t="shared" si="5"/>
        <v/>
      </c>
      <c r="E620" s="368" t="s">
        <v>6247</v>
      </c>
      <c r="F620" s="208">
        <v>64.0</v>
      </c>
      <c r="G620" s="208" t="s">
        <v>6248</v>
      </c>
      <c r="H620" s="208"/>
    </row>
    <row r="621">
      <c r="B621" s="367"/>
      <c r="C621" s="208" t="b">
        <v>0</v>
      </c>
      <c r="D621" s="369" t="str">
        <f t="shared" si="5"/>
        <v/>
      </c>
      <c r="E621" s="368" t="s">
        <v>6249</v>
      </c>
      <c r="F621" s="208">
        <v>64.0</v>
      </c>
      <c r="G621" s="208" t="s">
        <v>6250</v>
      </c>
      <c r="H621" s="208"/>
    </row>
    <row r="622">
      <c r="B622" s="367"/>
      <c r="C622" s="208" t="b">
        <v>0</v>
      </c>
      <c r="D622" s="369" t="str">
        <f t="shared" si="5"/>
        <v/>
      </c>
      <c r="E622" s="368" t="s">
        <v>6251</v>
      </c>
      <c r="F622" s="208">
        <v>64.0</v>
      </c>
      <c r="G622" s="208" t="s">
        <v>6252</v>
      </c>
      <c r="H622" s="208"/>
    </row>
    <row r="623">
      <c r="B623" s="367"/>
      <c r="C623" s="208" t="b">
        <v>0</v>
      </c>
      <c r="D623" s="369" t="str">
        <f t="shared" si="5"/>
        <v/>
      </c>
      <c r="E623" s="368" t="s">
        <v>6253</v>
      </c>
      <c r="F623" s="208">
        <v>64.0</v>
      </c>
      <c r="G623" s="208" t="s">
        <v>6254</v>
      </c>
      <c r="H623" s="208"/>
    </row>
    <row r="624">
      <c r="B624" s="367"/>
      <c r="C624" s="208" t="b">
        <v>0</v>
      </c>
      <c r="D624" s="369" t="str">
        <f t="shared" si="5"/>
        <v/>
      </c>
      <c r="E624" s="368" t="s">
        <v>6255</v>
      </c>
      <c r="F624" s="208">
        <v>64.0</v>
      </c>
      <c r="G624" s="208" t="s">
        <v>6256</v>
      </c>
      <c r="H624" s="208"/>
    </row>
    <row r="625">
      <c r="B625" s="367"/>
      <c r="C625" s="208" t="b">
        <v>0</v>
      </c>
      <c r="D625" s="369" t="str">
        <f t="shared" si="5"/>
        <v/>
      </c>
      <c r="E625" s="368" t="s">
        <v>6257</v>
      </c>
      <c r="F625" s="208">
        <v>64.0</v>
      </c>
      <c r="G625" s="208" t="s">
        <v>6258</v>
      </c>
      <c r="H625" s="208"/>
    </row>
    <row r="626">
      <c r="B626" s="367"/>
      <c r="C626" s="208" t="b">
        <v>0</v>
      </c>
      <c r="D626" s="369" t="str">
        <f t="shared" si="5"/>
        <v/>
      </c>
      <c r="E626" s="368" t="s">
        <v>6259</v>
      </c>
      <c r="F626" s="208">
        <v>1.0</v>
      </c>
      <c r="G626" s="208" t="s">
        <v>4767</v>
      </c>
      <c r="H626" s="208"/>
    </row>
    <row r="627">
      <c r="B627" s="367"/>
      <c r="C627" s="208" t="b">
        <v>0</v>
      </c>
      <c r="D627" s="369" t="str">
        <f t="shared" si="5"/>
        <v/>
      </c>
      <c r="E627" s="368" t="s">
        <v>6260</v>
      </c>
      <c r="F627" s="208">
        <v>64.0</v>
      </c>
      <c r="G627" s="208" t="s">
        <v>6261</v>
      </c>
      <c r="H627" s="208"/>
    </row>
    <row r="628">
      <c r="B628" s="367"/>
      <c r="C628" s="208" t="b">
        <v>0</v>
      </c>
      <c r="D628" s="369" t="str">
        <f t="shared" si="5"/>
        <v/>
      </c>
      <c r="E628" s="368" t="s">
        <v>6262</v>
      </c>
      <c r="F628" s="208">
        <v>64.0</v>
      </c>
      <c r="G628" s="208" t="s">
        <v>6263</v>
      </c>
      <c r="H628" s="208"/>
    </row>
    <row r="629">
      <c r="B629" s="370"/>
      <c r="C629" s="208" t="b">
        <v>0</v>
      </c>
      <c r="D629" s="369" t="str">
        <f t="shared" si="5"/>
        <v/>
      </c>
      <c r="E629" s="368" t="s">
        <v>6264</v>
      </c>
      <c r="F629" s="208">
        <v>64.0</v>
      </c>
      <c r="G629" s="208" t="s">
        <v>6265</v>
      </c>
      <c r="H629" s="208"/>
    </row>
    <row r="630">
      <c r="B630" s="367"/>
      <c r="C630" s="208" t="b">
        <v>0</v>
      </c>
      <c r="D630" s="369" t="str">
        <f t="shared" si="5"/>
        <v/>
      </c>
      <c r="E630" s="368" t="s">
        <v>6266</v>
      </c>
      <c r="F630" s="208">
        <v>64.0</v>
      </c>
      <c r="G630" s="208" t="s">
        <v>6267</v>
      </c>
      <c r="H630" s="208"/>
    </row>
    <row r="631">
      <c r="B631" s="367"/>
      <c r="C631" s="208" t="b">
        <v>0</v>
      </c>
      <c r="D631" s="369" t="str">
        <f t="shared" si="5"/>
        <v/>
      </c>
      <c r="E631" s="368" t="s">
        <v>6268</v>
      </c>
      <c r="F631" s="208">
        <v>1.0</v>
      </c>
      <c r="G631" s="208" t="s">
        <v>4583</v>
      </c>
      <c r="H631" s="208"/>
    </row>
    <row r="632">
      <c r="B632" s="367" t="s">
        <v>5341</v>
      </c>
      <c r="C632" s="208" t="b">
        <v>0</v>
      </c>
      <c r="D632" s="369" t="str">
        <f t="shared" si="5"/>
        <v/>
      </c>
      <c r="E632" s="368" t="s">
        <v>6269</v>
      </c>
      <c r="F632" s="208">
        <v>64.0</v>
      </c>
      <c r="G632" s="208" t="s">
        <v>4392</v>
      </c>
      <c r="H632" s="208"/>
    </row>
    <row r="633">
      <c r="B633" s="367"/>
      <c r="C633" s="208" t="b">
        <v>0</v>
      </c>
      <c r="D633" s="369" t="str">
        <f t="shared" si="5"/>
        <v/>
      </c>
      <c r="E633" s="368" t="s">
        <v>6270</v>
      </c>
      <c r="F633" s="208">
        <v>64.0</v>
      </c>
      <c r="G633" s="208" t="s">
        <v>892</v>
      </c>
      <c r="H633" s="208"/>
    </row>
    <row r="634">
      <c r="B634" s="370"/>
      <c r="C634" s="208" t="b">
        <v>0</v>
      </c>
      <c r="D634" s="369" t="str">
        <f t="shared" si="5"/>
        <v/>
      </c>
      <c r="E634" s="368" t="s">
        <v>6271</v>
      </c>
      <c r="F634" s="208">
        <v>1.0</v>
      </c>
      <c r="G634" s="208" t="s">
        <v>2718</v>
      </c>
      <c r="H634" s="208"/>
    </row>
    <row r="635">
      <c r="B635" s="367"/>
      <c r="C635" s="208" t="b">
        <v>0</v>
      </c>
      <c r="D635" s="369" t="str">
        <f t="shared" si="5"/>
        <v/>
      </c>
      <c r="E635" s="368" t="s">
        <v>6272</v>
      </c>
      <c r="F635" s="208">
        <v>16.0</v>
      </c>
      <c r="G635" s="208" t="s">
        <v>896</v>
      </c>
      <c r="H635" s="208"/>
    </row>
    <row r="636">
      <c r="B636" s="367"/>
      <c r="C636" s="208" t="b">
        <v>0</v>
      </c>
      <c r="D636" s="369" t="str">
        <f t="shared" si="5"/>
        <v/>
      </c>
      <c r="E636" s="368" t="s">
        <v>6273</v>
      </c>
      <c r="F636" s="208">
        <v>1.0</v>
      </c>
      <c r="G636" s="208" t="s">
        <v>792</v>
      </c>
      <c r="H636" s="208"/>
    </row>
    <row r="637">
      <c r="B637" s="367"/>
      <c r="C637" s="208" t="b">
        <v>0</v>
      </c>
      <c r="D637" s="369" t="str">
        <f t="shared" si="5"/>
        <v/>
      </c>
      <c r="E637" s="368" t="s">
        <v>6274</v>
      </c>
      <c r="F637" s="208">
        <v>64.0</v>
      </c>
      <c r="G637" s="208" t="s">
        <v>6275</v>
      </c>
      <c r="H637" s="208"/>
    </row>
    <row r="638">
      <c r="B638" s="367"/>
      <c r="C638" s="208" t="b">
        <v>0</v>
      </c>
      <c r="D638" s="369" t="str">
        <f t="shared" si="5"/>
        <v/>
      </c>
      <c r="E638" s="368" t="s">
        <v>6276</v>
      </c>
      <c r="F638" s="208">
        <v>64.0</v>
      </c>
      <c r="G638" s="208" t="s">
        <v>1818</v>
      </c>
      <c r="H638" s="208"/>
    </row>
    <row r="639">
      <c r="B639" s="367"/>
      <c r="C639" s="208" t="b">
        <v>0</v>
      </c>
      <c r="D639" s="369" t="str">
        <f t="shared" si="5"/>
        <v/>
      </c>
      <c r="E639" s="368" t="s">
        <v>6277</v>
      </c>
      <c r="F639" s="208">
        <v>64.0</v>
      </c>
      <c r="G639" s="208" t="s">
        <v>1156</v>
      </c>
      <c r="H639" s="208"/>
    </row>
    <row r="640">
      <c r="B640" s="367"/>
      <c r="C640" s="208" t="b">
        <v>0</v>
      </c>
      <c r="D640" s="369" t="str">
        <f t="shared" si="5"/>
        <v/>
      </c>
      <c r="E640" s="368" t="s">
        <v>6278</v>
      </c>
      <c r="F640" s="208">
        <v>64.0</v>
      </c>
      <c r="G640" s="208" t="s">
        <v>6279</v>
      </c>
      <c r="H640" s="208"/>
    </row>
    <row r="641">
      <c r="B641" s="367"/>
      <c r="C641" s="208" t="b">
        <v>0</v>
      </c>
      <c r="D641" s="369" t="str">
        <f t="shared" si="5"/>
        <v/>
      </c>
      <c r="E641" s="368" t="s">
        <v>6280</v>
      </c>
      <c r="F641" s="208">
        <v>64.0</v>
      </c>
      <c r="G641" s="208" t="s">
        <v>6281</v>
      </c>
      <c r="H641" s="208"/>
    </row>
    <row r="642">
      <c r="B642" s="367"/>
      <c r="C642" s="208" t="b">
        <v>0</v>
      </c>
      <c r="D642" s="369" t="str">
        <f t="shared" si="5"/>
        <v/>
      </c>
      <c r="E642" s="368" t="s">
        <v>6282</v>
      </c>
      <c r="F642" s="208">
        <v>64.0</v>
      </c>
      <c r="G642" s="208" t="s">
        <v>1185</v>
      </c>
      <c r="H642" s="208"/>
    </row>
    <row r="643">
      <c r="B643" s="367"/>
      <c r="C643" s="208" t="b">
        <v>0</v>
      </c>
      <c r="D643" s="369" t="str">
        <f t="shared" si="5"/>
        <v/>
      </c>
      <c r="E643" s="368" t="s">
        <v>6283</v>
      </c>
      <c r="F643" s="208">
        <v>1.0</v>
      </c>
      <c r="G643" s="208" t="s">
        <v>6284</v>
      </c>
      <c r="H643" s="208"/>
    </row>
    <row r="644">
      <c r="B644" s="367"/>
      <c r="C644" s="208" t="b">
        <v>0</v>
      </c>
      <c r="D644" s="369" t="str">
        <f t="shared" si="5"/>
        <v/>
      </c>
      <c r="E644" s="368" t="s">
        <v>6285</v>
      </c>
      <c r="F644" s="208">
        <v>64.0</v>
      </c>
      <c r="G644" s="208" t="s">
        <v>1126</v>
      </c>
      <c r="H644" s="208"/>
    </row>
    <row r="645">
      <c r="B645" s="367"/>
      <c r="C645" s="208" t="b">
        <v>0</v>
      </c>
      <c r="D645" s="369" t="str">
        <f t="shared" si="5"/>
        <v/>
      </c>
      <c r="E645" s="368" t="s">
        <v>6286</v>
      </c>
      <c r="F645" s="208">
        <v>64.0</v>
      </c>
      <c r="G645" s="208" t="s">
        <v>6287</v>
      </c>
      <c r="H645" s="208"/>
    </row>
    <row r="646">
      <c r="B646" s="370"/>
      <c r="C646" s="208" t="b">
        <v>0</v>
      </c>
      <c r="D646" s="369" t="str">
        <f t="shared" si="5"/>
        <v/>
      </c>
      <c r="E646" s="368" t="s">
        <v>6288</v>
      </c>
      <c r="F646" s="208">
        <v>64.0</v>
      </c>
      <c r="G646" s="208" t="s">
        <v>1181</v>
      </c>
      <c r="H646" s="208"/>
    </row>
    <row r="647">
      <c r="B647" s="367"/>
      <c r="C647" s="208" t="b">
        <v>0</v>
      </c>
      <c r="D647" s="369" t="str">
        <f t="shared" si="5"/>
        <v/>
      </c>
      <c r="E647" s="368" t="s">
        <v>6289</v>
      </c>
      <c r="F647" s="208">
        <v>64.0</v>
      </c>
      <c r="G647" s="208" t="s">
        <v>2831</v>
      </c>
      <c r="H647" s="208"/>
    </row>
    <row r="648">
      <c r="B648" s="367"/>
      <c r="C648" s="208" t="b">
        <v>0</v>
      </c>
      <c r="D648" s="369" t="str">
        <f t="shared" si="5"/>
        <v/>
      </c>
      <c r="E648" s="368" t="s">
        <v>6290</v>
      </c>
      <c r="F648" s="208">
        <v>64.0</v>
      </c>
      <c r="G648" s="208" t="s">
        <v>4302</v>
      </c>
      <c r="H648" s="208"/>
    </row>
    <row r="649">
      <c r="B649" s="367"/>
      <c r="C649" s="208" t="b">
        <v>0</v>
      </c>
      <c r="D649" s="369" t="str">
        <f t="shared" si="5"/>
        <v/>
      </c>
      <c r="E649" s="368" t="s">
        <v>6291</v>
      </c>
      <c r="F649" s="208">
        <v>64.0</v>
      </c>
      <c r="G649" s="208" t="s">
        <v>4235</v>
      </c>
      <c r="H649" s="208"/>
    </row>
    <row r="650">
      <c r="B650" s="367"/>
      <c r="C650" s="208" t="b">
        <v>0</v>
      </c>
      <c r="D650" s="369" t="str">
        <f t="shared" si="5"/>
        <v/>
      </c>
      <c r="E650" s="368" t="s">
        <v>6292</v>
      </c>
      <c r="F650" s="208">
        <v>1.0</v>
      </c>
      <c r="G650" s="208" t="s">
        <v>6293</v>
      </c>
      <c r="H650" s="208"/>
    </row>
    <row r="651">
      <c r="B651" s="367"/>
      <c r="C651" s="208" t="b">
        <v>0</v>
      </c>
      <c r="D651" s="369" t="str">
        <f t="shared" si="5"/>
        <v/>
      </c>
      <c r="E651" s="368" t="s">
        <v>6294</v>
      </c>
      <c r="F651" s="208">
        <v>64.0</v>
      </c>
      <c r="G651" s="208" t="s">
        <v>6295</v>
      </c>
      <c r="H651" s="208"/>
    </row>
    <row r="652">
      <c r="B652" s="367"/>
      <c r="C652" s="208" t="b">
        <v>0</v>
      </c>
      <c r="D652" s="369" t="str">
        <f t="shared" si="5"/>
        <v/>
      </c>
      <c r="E652" s="368" t="s">
        <v>6296</v>
      </c>
      <c r="F652" s="208">
        <v>1.0</v>
      </c>
      <c r="G652" s="208" t="s">
        <v>6297</v>
      </c>
      <c r="H652" s="208"/>
    </row>
    <row r="653">
      <c r="B653" s="367"/>
      <c r="C653" s="208" t="b">
        <v>0</v>
      </c>
      <c r="D653" s="369" t="str">
        <f t="shared" si="5"/>
        <v/>
      </c>
      <c r="E653" s="368" t="s">
        <v>6298</v>
      </c>
      <c r="F653" s="208">
        <v>64.0</v>
      </c>
      <c r="G653" s="208" t="s">
        <v>6299</v>
      </c>
      <c r="H653" s="208"/>
    </row>
    <row r="654">
      <c r="B654" s="367"/>
      <c r="C654" s="208" t="b">
        <v>0</v>
      </c>
      <c r="D654" s="369" t="str">
        <f t="shared" si="5"/>
        <v/>
      </c>
      <c r="E654" s="368" t="s">
        <v>6300</v>
      </c>
      <c r="F654" s="208">
        <v>64.0</v>
      </c>
      <c r="G654" s="208" t="s">
        <v>1723</v>
      </c>
      <c r="H654" s="208"/>
    </row>
    <row r="655">
      <c r="B655" s="367"/>
      <c r="C655" s="208" t="b">
        <v>0</v>
      </c>
      <c r="D655" s="369" t="str">
        <f t="shared" si="5"/>
        <v/>
      </c>
      <c r="E655" s="368" t="s">
        <v>6301</v>
      </c>
      <c r="F655" s="208">
        <v>64.0</v>
      </c>
      <c r="G655" s="208" t="s">
        <v>6302</v>
      </c>
      <c r="H655" s="208"/>
    </row>
    <row r="656">
      <c r="B656" s="367"/>
      <c r="C656" s="208" t="b">
        <v>0</v>
      </c>
      <c r="D656" s="369" t="str">
        <f t="shared" si="5"/>
        <v/>
      </c>
      <c r="E656" s="368" t="s">
        <v>6303</v>
      </c>
      <c r="F656" s="208">
        <v>16.0</v>
      </c>
      <c r="G656" s="208" t="s">
        <v>6304</v>
      </c>
      <c r="H656" s="208"/>
    </row>
    <row r="657">
      <c r="B657" s="370"/>
      <c r="C657" s="208" t="b">
        <v>0</v>
      </c>
      <c r="D657" s="369" t="str">
        <f t="shared" si="5"/>
        <v/>
      </c>
      <c r="E657" s="368" t="s">
        <v>6305</v>
      </c>
      <c r="F657" s="208">
        <v>64.0</v>
      </c>
      <c r="G657" s="208" t="s">
        <v>6306</v>
      </c>
      <c r="H657" s="208"/>
    </row>
    <row r="658">
      <c r="B658" s="370"/>
      <c r="C658" s="208" t="b">
        <v>0</v>
      </c>
      <c r="D658" s="369" t="str">
        <f t="shared" si="5"/>
        <v/>
      </c>
      <c r="E658" s="368" t="s">
        <v>6307</v>
      </c>
      <c r="F658" s="208">
        <v>64.0</v>
      </c>
      <c r="G658" s="208" t="s">
        <v>6308</v>
      </c>
      <c r="H658" s="208"/>
    </row>
    <row r="659">
      <c r="B659" s="367"/>
      <c r="C659" s="208" t="b">
        <v>0</v>
      </c>
      <c r="D659" s="369" t="str">
        <f t="shared" si="5"/>
        <v/>
      </c>
      <c r="E659" s="368" t="s">
        <v>6309</v>
      </c>
      <c r="F659" s="208">
        <v>64.0</v>
      </c>
      <c r="G659" s="208" t="s">
        <v>6310</v>
      </c>
      <c r="H659" s="208"/>
    </row>
    <row r="660">
      <c r="B660" s="367"/>
      <c r="C660" s="208" t="b">
        <v>0</v>
      </c>
      <c r="D660" s="369" t="str">
        <f t="shared" si="5"/>
        <v/>
      </c>
      <c r="E660" s="368" t="s">
        <v>6311</v>
      </c>
      <c r="F660" s="208">
        <v>64.0</v>
      </c>
      <c r="G660" s="208" t="s">
        <v>6312</v>
      </c>
      <c r="H660" s="208"/>
    </row>
    <row r="661">
      <c r="B661" s="370"/>
      <c r="C661" s="208" t="b">
        <v>0</v>
      </c>
      <c r="D661" s="369" t="str">
        <f t="shared" si="5"/>
        <v/>
      </c>
      <c r="E661" s="368" t="s">
        <v>6313</v>
      </c>
      <c r="F661" s="208">
        <v>64.0</v>
      </c>
      <c r="G661" s="208" t="s">
        <v>1058</v>
      </c>
      <c r="H661" s="208"/>
    </row>
    <row r="662">
      <c r="B662" s="370"/>
      <c r="C662" s="208" t="b">
        <v>0</v>
      </c>
      <c r="D662" s="369" t="str">
        <f t="shared" si="5"/>
        <v/>
      </c>
      <c r="E662" s="368" t="s">
        <v>6314</v>
      </c>
      <c r="F662" s="208">
        <v>64.0</v>
      </c>
      <c r="G662" s="208" t="s">
        <v>6315</v>
      </c>
      <c r="H662" s="208"/>
    </row>
    <row r="663">
      <c r="B663" s="367"/>
      <c r="C663" s="208" t="b">
        <v>0</v>
      </c>
      <c r="D663" s="369" t="str">
        <f t="shared" si="5"/>
        <v/>
      </c>
      <c r="E663" s="368" t="s">
        <v>6316</v>
      </c>
      <c r="F663" s="208">
        <v>16.0</v>
      </c>
      <c r="G663" s="208" t="s">
        <v>6317</v>
      </c>
      <c r="H663" s="208"/>
    </row>
    <row r="664">
      <c r="B664" s="367"/>
      <c r="C664" s="208" t="b">
        <v>0</v>
      </c>
      <c r="D664" s="369" t="str">
        <f t="shared" si="5"/>
        <v/>
      </c>
      <c r="E664" s="368" t="s">
        <v>6318</v>
      </c>
      <c r="F664" s="208">
        <v>64.0</v>
      </c>
      <c r="G664" s="208" t="s">
        <v>6319</v>
      </c>
      <c r="H664" s="208"/>
    </row>
    <row r="665">
      <c r="B665" s="367"/>
      <c r="C665" s="208" t="b">
        <v>0</v>
      </c>
      <c r="D665" s="369" t="str">
        <f t="shared" si="5"/>
        <v/>
      </c>
      <c r="E665" s="368" t="s">
        <v>6320</v>
      </c>
      <c r="F665" s="208">
        <v>64.0</v>
      </c>
      <c r="G665" s="208" t="s">
        <v>6321</v>
      </c>
      <c r="H665" s="208"/>
    </row>
    <row r="666">
      <c r="B666" s="367"/>
      <c r="C666" s="208" t="b">
        <v>0</v>
      </c>
      <c r="D666" s="369" t="str">
        <f t="shared" si="5"/>
        <v/>
      </c>
      <c r="E666" s="368" t="s">
        <v>6322</v>
      </c>
      <c r="F666" s="208">
        <v>64.0</v>
      </c>
      <c r="G666" s="208" t="s">
        <v>6323</v>
      </c>
      <c r="H666" s="208"/>
    </row>
    <row r="667">
      <c r="B667" s="367"/>
      <c r="C667" s="208" t="b">
        <v>0</v>
      </c>
      <c r="D667" s="369" t="str">
        <f t="shared" si="5"/>
        <v/>
      </c>
      <c r="E667" s="368" t="s">
        <v>6324</v>
      </c>
      <c r="F667" s="208">
        <v>64.0</v>
      </c>
      <c r="G667" s="208" t="s">
        <v>6325</v>
      </c>
      <c r="H667" s="208"/>
    </row>
    <row r="668">
      <c r="B668" s="367" t="s">
        <v>3218</v>
      </c>
      <c r="C668" s="208" t="b">
        <v>0</v>
      </c>
      <c r="D668" s="369" t="str">
        <f t="shared" si="5"/>
        <v/>
      </c>
      <c r="E668" s="368" t="s">
        <v>6326</v>
      </c>
      <c r="F668" s="208">
        <v>64.0</v>
      </c>
      <c r="G668" s="208" t="s">
        <v>2812</v>
      </c>
      <c r="H668" s="208"/>
    </row>
    <row r="669">
      <c r="B669" s="367" t="s">
        <v>1343</v>
      </c>
      <c r="C669" s="208" t="b">
        <v>0</v>
      </c>
      <c r="D669" s="369" t="str">
        <f t="shared" si="5"/>
        <v/>
      </c>
      <c r="E669" s="368" t="s">
        <v>6327</v>
      </c>
      <c r="F669" s="208">
        <v>64.0</v>
      </c>
      <c r="G669" s="208" t="s">
        <v>6328</v>
      </c>
      <c r="H669" s="208"/>
    </row>
    <row r="670">
      <c r="B670" s="367"/>
      <c r="C670" s="208" t="b">
        <v>0</v>
      </c>
      <c r="D670" s="369" t="str">
        <f t="shared" si="5"/>
        <v/>
      </c>
      <c r="E670" s="368" t="s">
        <v>6329</v>
      </c>
      <c r="F670" s="208">
        <v>64.0</v>
      </c>
      <c r="G670" s="208" t="s">
        <v>1528</v>
      </c>
      <c r="H670" s="208"/>
    </row>
    <row r="671">
      <c r="B671" s="367"/>
      <c r="C671" s="208" t="b">
        <v>0</v>
      </c>
      <c r="D671" s="369" t="str">
        <f t="shared" si="5"/>
        <v/>
      </c>
      <c r="E671" s="368" t="s">
        <v>6330</v>
      </c>
      <c r="F671" s="208">
        <v>64.0</v>
      </c>
      <c r="G671" s="208" t="s">
        <v>6331</v>
      </c>
      <c r="H671" s="208"/>
    </row>
    <row r="672">
      <c r="B672" s="367"/>
      <c r="C672" s="208" t="b">
        <v>0</v>
      </c>
      <c r="D672" s="369" t="str">
        <f t="shared" si="5"/>
        <v/>
      </c>
      <c r="E672" s="368" t="s">
        <v>6332</v>
      </c>
      <c r="F672" s="208">
        <v>64.0</v>
      </c>
      <c r="G672" s="208" t="s">
        <v>1523</v>
      </c>
      <c r="H672" s="208"/>
    </row>
    <row r="673">
      <c r="B673" s="367"/>
      <c r="C673" s="208" t="b">
        <v>0</v>
      </c>
      <c r="D673" s="369" t="str">
        <f t="shared" si="5"/>
        <v/>
      </c>
      <c r="E673" s="368" t="s">
        <v>6333</v>
      </c>
      <c r="F673" s="208">
        <v>1.0</v>
      </c>
      <c r="G673" s="208" t="s">
        <v>1695</v>
      </c>
      <c r="H673" s="208"/>
    </row>
    <row r="674">
      <c r="B674" s="367"/>
      <c r="C674" s="208" t="b">
        <v>0</v>
      </c>
      <c r="D674" s="369" t="str">
        <f t="shared" si="5"/>
        <v/>
      </c>
      <c r="E674" s="368" t="s">
        <v>6334</v>
      </c>
      <c r="F674" s="208">
        <v>1.0</v>
      </c>
      <c r="G674" s="208" t="s">
        <v>3548</v>
      </c>
      <c r="H674" s="208"/>
    </row>
    <row r="675">
      <c r="B675" s="367" t="s">
        <v>2905</v>
      </c>
      <c r="C675" s="208" t="b">
        <v>0</v>
      </c>
      <c r="D675" s="369" t="str">
        <f t="shared" si="5"/>
        <v/>
      </c>
      <c r="E675" s="368" t="s">
        <v>6335</v>
      </c>
      <c r="F675" s="208">
        <v>1.0</v>
      </c>
      <c r="G675" s="208" t="s">
        <v>6336</v>
      </c>
      <c r="H675" s="208"/>
    </row>
    <row r="676">
      <c r="B676" s="367"/>
      <c r="C676" s="208" t="b">
        <v>0</v>
      </c>
      <c r="D676" s="369" t="str">
        <f t="shared" si="5"/>
        <v/>
      </c>
      <c r="E676" s="368" t="s">
        <v>6337</v>
      </c>
      <c r="F676" s="208">
        <v>1.0</v>
      </c>
      <c r="G676" s="208" t="s">
        <v>6338</v>
      </c>
      <c r="H676" s="208"/>
    </row>
    <row r="677">
      <c r="B677" s="370"/>
      <c r="C677" s="208" t="b">
        <v>0</v>
      </c>
      <c r="D677" s="369" t="str">
        <f t="shared" si="5"/>
        <v/>
      </c>
      <c r="E677" s="368" t="s">
        <v>6339</v>
      </c>
      <c r="F677" s="208">
        <v>64.0</v>
      </c>
      <c r="G677" s="208" t="s">
        <v>240</v>
      </c>
      <c r="H677" s="208"/>
    </row>
    <row r="678">
      <c r="B678" s="370"/>
      <c r="C678" s="208" t="b">
        <v>0</v>
      </c>
      <c r="D678" s="369" t="str">
        <f t="shared" si="5"/>
        <v/>
      </c>
      <c r="E678" s="368" t="s">
        <v>6340</v>
      </c>
      <c r="F678" s="208">
        <v>64.0</v>
      </c>
      <c r="G678" s="208" t="s">
        <v>230</v>
      </c>
      <c r="H678" s="208"/>
    </row>
    <row r="679">
      <c r="B679" s="367"/>
      <c r="C679" s="208" t="b">
        <v>0</v>
      </c>
      <c r="D679" s="369" t="str">
        <f t="shared" si="5"/>
        <v/>
      </c>
      <c r="E679" s="368" t="s">
        <v>6341</v>
      </c>
      <c r="F679" s="208">
        <v>64.0</v>
      </c>
      <c r="G679" s="208" t="s">
        <v>294</v>
      </c>
      <c r="H679" s="208"/>
    </row>
    <row r="680">
      <c r="B680" s="367"/>
      <c r="C680" s="208" t="b">
        <v>0</v>
      </c>
      <c r="D680" s="369" t="str">
        <f t="shared" si="5"/>
        <v/>
      </c>
      <c r="E680" s="368" t="s">
        <v>6342</v>
      </c>
      <c r="F680" s="208">
        <v>64.0</v>
      </c>
      <c r="G680" s="208" t="s">
        <v>6343</v>
      </c>
      <c r="H680" s="208"/>
    </row>
    <row r="681">
      <c r="B681" s="367"/>
      <c r="C681" s="208" t="b">
        <v>0</v>
      </c>
      <c r="D681" s="369" t="str">
        <f t="shared" si="5"/>
        <v/>
      </c>
      <c r="E681" s="368" t="s">
        <v>6344</v>
      </c>
      <c r="F681" s="208">
        <v>64.0</v>
      </c>
      <c r="G681" s="208" t="s">
        <v>6345</v>
      </c>
      <c r="H681" s="208"/>
    </row>
    <row r="682">
      <c r="B682" s="367"/>
      <c r="C682" s="208" t="b">
        <v>0</v>
      </c>
      <c r="D682" s="369" t="str">
        <f t="shared" si="5"/>
        <v/>
      </c>
      <c r="E682" s="368" t="s">
        <v>6346</v>
      </c>
      <c r="F682" s="208">
        <v>64.0</v>
      </c>
      <c r="G682" s="208" t="s">
        <v>4923</v>
      </c>
      <c r="H682" s="208"/>
    </row>
    <row r="683">
      <c r="B683" s="367"/>
      <c r="C683" s="208" t="b">
        <v>0</v>
      </c>
      <c r="D683" s="369" t="str">
        <f t="shared" si="5"/>
        <v/>
      </c>
      <c r="E683" s="368" t="s">
        <v>6347</v>
      </c>
      <c r="F683" s="208">
        <v>64.0</v>
      </c>
      <c r="G683" s="208" t="s">
        <v>6348</v>
      </c>
      <c r="H683" s="208"/>
    </row>
    <row r="684">
      <c r="B684" s="367"/>
      <c r="C684" s="208" t="b">
        <v>0</v>
      </c>
      <c r="D684" s="369" t="str">
        <f t="shared" si="5"/>
        <v/>
      </c>
      <c r="E684" s="368" t="s">
        <v>6349</v>
      </c>
      <c r="F684" s="208">
        <v>64.0</v>
      </c>
      <c r="G684" s="208" t="s">
        <v>6350</v>
      </c>
      <c r="H684" s="208"/>
    </row>
    <row r="685">
      <c r="B685" s="367"/>
      <c r="C685" s="208" t="b">
        <v>0</v>
      </c>
      <c r="D685" s="369" t="str">
        <f t="shared" si="5"/>
        <v/>
      </c>
      <c r="E685" s="368" t="s">
        <v>6351</v>
      </c>
      <c r="F685" s="208">
        <v>64.0</v>
      </c>
      <c r="G685" s="208" t="s">
        <v>6352</v>
      </c>
      <c r="H685" s="208"/>
    </row>
    <row r="686">
      <c r="B686" s="367"/>
      <c r="C686" s="208" t="b">
        <v>0</v>
      </c>
      <c r="D686" s="369" t="str">
        <f t="shared" si="5"/>
        <v/>
      </c>
      <c r="E686" s="368" t="s">
        <v>6353</v>
      </c>
      <c r="F686" s="208">
        <v>64.0</v>
      </c>
      <c r="G686" s="208" t="s">
        <v>6354</v>
      </c>
      <c r="H686" s="208"/>
    </row>
    <row r="687">
      <c r="B687" s="367" t="s">
        <v>2905</v>
      </c>
      <c r="C687" s="208" t="b">
        <v>0</v>
      </c>
      <c r="D687" s="369" t="str">
        <f t="shared" si="5"/>
        <v/>
      </c>
      <c r="E687" s="368" t="s">
        <v>6355</v>
      </c>
      <c r="F687" s="208">
        <v>1.0</v>
      </c>
      <c r="G687" s="208" t="s">
        <v>6356</v>
      </c>
      <c r="H687" s="208"/>
    </row>
    <row r="688">
      <c r="B688" s="370"/>
      <c r="C688" s="208" t="b">
        <v>0</v>
      </c>
      <c r="D688" s="369" t="str">
        <f t="shared" si="5"/>
        <v/>
      </c>
      <c r="E688" s="368" t="s">
        <v>6357</v>
      </c>
      <c r="F688" s="208">
        <v>64.0</v>
      </c>
      <c r="G688" s="208" t="s">
        <v>1135</v>
      </c>
      <c r="H688" s="208"/>
    </row>
    <row r="689">
      <c r="B689" s="367"/>
      <c r="C689" s="208" t="b">
        <v>0</v>
      </c>
      <c r="D689" s="369" t="str">
        <f t="shared" si="5"/>
        <v/>
      </c>
      <c r="E689" s="368" t="s">
        <v>6358</v>
      </c>
      <c r="F689" s="208">
        <v>64.0</v>
      </c>
      <c r="G689" s="208" t="s">
        <v>6359</v>
      </c>
      <c r="H689" s="208"/>
    </row>
    <row r="690">
      <c r="B690" s="367"/>
      <c r="C690" s="208" t="b">
        <v>0</v>
      </c>
      <c r="D690" s="369" t="str">
        <f t="shared" si="5"/>
        <v/>
      </c>
      <c r="E690" s="368" t="s">
        <v>6360</v>
      </c>
      <c r="F690" s="208">
        <v>64.0</v>
      </c>
      <c r="G690" s="208" t="s">
        <v>6361</v>
      </c>
      <c r="H690" s="208"/>
    </row>
    <row r="691">
      <c r="B691" s="367"/>
      <c r="C691" s="208" t="b">
        <v>0</v>
      </c>
      <c r="D691" s="369" t="str">
        <f t="shared" si="5"/>
        <v/>
      </c>
      <c r="E691" s="368" t="s">
        <v>6362</v>
      </c>
      <c r="F691" s="208">
        <v>64.0</v>
      </c>
      <c r="G691" s="208" t="s">
        <v>6363</v>
      </c>
      <c r="H691" s="208"/>
    </row>
    <row r="692">
      <c r="B692" s="367"/>
      <c r="C692" s="208" t="b">
        <v>0</v>
      </c>
      <c r="D692" s="369" t="str">
        <f t="shared" si="5"/>
        <v/>
      </c>
      <c r="E692" s="368" t="s">
        <v>6364</v>
      </c>
      <c r="F692" s="208">
        <v>64.0</v>
      </c>
      <c r="G692" s="208" t="s">
        <v>1141</v>
      </c>
      <c r="H692" s="208"/>
    </row>
    <row r="693">
      <c r="B693" s="370"/>
      <c r="C693" s="208" t="b">
        <v>0</v>
      </c>
      <c r="D693" s="369" t="str">
        <f t="shared" si="5"/>
        <v/>
      </c>
      <c r="E693" s="368" t="s">
        <v>6365</v>
      </c>
      <c r="F693" s="208">
        <v>64.0</v>
      </c>
      <c r="G693" s="208" t="s">
        <v>6366</v>
      </c>
      <c r="H693" s="208"/>
    </row>
    <row r="694">
      <c r="B694" s="367"/>
      <c r="C694" s="208" t="b">
        <v>0</v>
      </c>
      <c r="D694" s="369" t="str">
        <f t="shared" si="5"/>
        <v/>
      </c>
      <c r="E694" s="368" t="s">
        <v>6367</v>
      </c>
      <c r="F694" s="208">
        <v>64.0</v>
      </c>
      <c r="G694" s="208" t="s">
        <v>6368</v>
      </c>
      <c r="H694" s="208"/>
    </row>
    <row r="695">
      <c r="B695" s="367"/>
      <c r="C695" s="208" t="b">
        <v>0</v>
      </c>
      <c r="D695" s="369" t="str">
        <f t="shared" si="5"/>
        <v/>
      </c>
      <c r="E695" s="368" t="s">
        <v>6369</v>
      </c>
      <c r="F695" s="208">
        <v>1.0</v>
      </c>
      <c r="G695" s="208" t="s">
        <v>1373</v>
      </c>
      <c r="H695" s="208"/>
    </row>
    <row r="696">
      <c r="B696" s="367" t="s">
        <v>2861</v>
      </c>
      <c r="C696" s="208" t="b">
        <v>0</v>
      </c>
      <c r="D696" s="369" t="str">
        <f t="shared" si="5"/>
        <v/>
      </c>
      <c r="E696" s="368" t="s">
        <v>6370</v>
      </c>
      <c r="F696" s="208">
        <v>1.0</v>
      </c>
      <c r="G696" s="208" t="s">
        <v>6371</v>
      </c>
      <c r="H696" s="208"/>
    </row>
    <row r="697">
      <c r="B697" s="367" t="s">
        <v>2861</v>
      </c>
      <c r="C697" s="208" t="b">
        <v>0</v>
      </c>
      <c r="D697" s="369" t="str">
        <f t="shared" si="5"/>
        <v/>
      </c>
      <c r="E697" s="368" t="s">
        <v>6372</v>
      </c>
      <c r="F697" s="208">
        <v>1.0</v>
      </c>
      <c r="G697" s="208" t="s">
        <v>6373</v>
      </c>
      <c r="H697" s="208"/>
    </row>
    <row r="698">
      <c r="B698" s="367" t="s">
        <v>2861</v>
      </c>
      <c r="C698" s="208" t="b">
        <v>0</v>
      </c>
      <c r="D698" s="369" t="str">
        <f t="shared" si="5"/>
        <v/>
      </c>
      <c r="E698" s="368" t="s">
        <v>6374</v>
      </c>
      <c r="F698" s="208">
        <v>1.0</v>
      </c>
      <c r="G698" s="208" t="s">
        <v>397</v>
      </c>
      <c r="H698" s="208"/>
    </row>
    <row r="699">
      <c r="B699" s="367" t="s">
        <v>2861</v>
      </c>
      <c r="C699" s="208" t="b">
        <v>0</v>
      </c>
      <c r="D699" s="369" t="str">
        <f t="shared" si="5"/>
        <v/>
      </c>
      <c r="E699" s="368" t="s">
        <v>6375</v>
      </c>
      <c r="F699" s="208">
        <v>1.0</v>
      </c>
      <c r="G699" s="208" t="s">
        <v>6376</v>
      </c>
      <c r="H699" s="208"/>
    </row>
    <row r="700">
      <c r="B700" s="367" t="s">
        <v>2861</v>
      </c>
      <c r="C700" s="208" t="b">
        <v>0</v>
      </c>
      <c r="D700" s="369" t="str">
        <f t="shared" si="5"/>
        <v/>
      </c>
      <c r="E700" s="368" t="s">
        <v>6377</v>
      </c>
      <c r="F700" s="208">
        <v>1.0</v>
      </c>
      <c r="G700" s="208" t="s">
        <v>2854</v>
      </c>
      <c r="H700" s="208"/>
    </row>
    <row r="701">
      <c r="B701" s="367" t="s">
        <v>2861</v>
      </c>
      <c r="C701" s="208" t="b">
        <v>0</v>
      </c>
      <c r="D701" s="369" t="str">
        <f t="shared" si="5"/>
        <v/>
      </c>
      <c r="E701" s="368" t="s">
        <v>6378</v>
      </c>
      <c r="F701" s="208">
        <v>1.0</v>
      </c>
      <c r="G701" s="208" t="s">
        <v>2864</v>
      </c>
      <c r="H701" s="208"/>
    </row>
    <row r="702">
      <c r="B702" s="367" t="s">
        <v>993</v>
      </c>
      <c r="C702" s="208" t="b">
        <v>0</v>
      </c>
      <c r="D702" s="369" t="str">
        <f t="shared" si="5"/>
        <v/>
      </c>
      <c r="E702" s="368" t="s">
        <v>6379</v>
      </c>
      <c r="F702" s="208">
        <v>1.0</v>
      </c>
      <c r="G702" s="208" t="s">
        <v>3370</v>
      </c>
      <c r="H702" s="208"/>
    </row>
    <row r="703">
      <c r="B703" s="367" t="s">
        <v>993</v>
      </c>
      <c r="C703" s="208" t="b">
        <v>0</v>
      </c>
      <c r="D703" s="369" t="str">
        <f t="shared" si="5"/>
        <v/>
      </c>
      <c r="E703" s="368" t="s">
        <v>6380</v>
      </c>
      <c r="F703" s="208">
        <v>1.0</v>
      </c>
      <c r="G703" s="208" t="s">
        <v>6381</v>
      </c>
      <c r="H703" s="208"/>
    </row>
    <row r="704">
      <c r="B704" s="367" t="s">
        <v>2861</v>
      </c>
      <c r="C704" s="208" t="b">
        <v>0</v>
      </c>
      <c r="D704" s="369" t="str">
        <f t="shared" si="5"/>
        <v/>
      </c>
      <c r="E704" s="368" t="s">
        <v>6382</v>
      </c>
      <c r="F704" s="208">
        <v>1.0</v>
      </c>
      <c r="G704" s="208" t="s">
        <v>6383</v>
      </c>
      <c r="H704" s="208"/>
    </row>
    <row r="705">
      <c r="B705" s="367" t="s">
        <v>2861</v>
      </c>
      <c r="C705" s="208" t="b">
        <v>0</v>
      </c>
      <c r="D705" s="369" t="str">
        <f t="shared" si="5"/>
        <v/>
      </c>
      <c r="E705" s="368" t="s">
        <v>6384</v>
      </c>
      <c r="F705" s="208">
        <v>1.0</v>
      </c>
      <c r="G705" s="208" t="s">
        <v>6385</v>
      </c>
      <c r="H705" s="208"/>
    </row>
    <row r="706">
      <c r="B706" s="367" t="s">
        <v>2861</v>
      </c>
      <c r="C706" s="208" t="b">
        <v>0</v>
      </c>
      <c r="D706" s="369" t="str">
        <f t="shared" si="5"/>
        <v/>
      </c>
      <c r="E706" s="368" t="s">
        <v>6386</v>
      </c>
      <c r="F706" s="208">
        <v>1.0</v>
      </c>
      <c r="G706" s="208" t="s">
        <v>6387</v>
      </c>
      <c r="H706" s="208"/>
    </row>
    <row r="707">
      <c r="B707" s="367" t="s">
        <v>117</v>
      </c>
      <c r="C707" s="208" t="b">
        <v>0</v>
      </c>
      <c r="D707" s="369" t="str">
        <f t="shared" si="5"/>
        <v/>
      </c>
      <c r="E707" s="368" t="s">
        <v>6388</v>
      </c>
      <c r="F707" s="208">
        <v>1.0</v>
      </c>
      <c r="G707" s="208" t="s">
        <v>6389</v>
      </c>
      <c r="H707" s="208"/>
    </row>
    <row r="708">
      <c r="B708" s="367" t="s">
        <v>5992</v>
      </c>
      <c r="C708" s="208" t="b">
        <v>0</v>
      </c>
      <c r="D708" s="369" t="str">
        <f t="shared" si="5"/>
        <v/>
      </c>
      <c r="E708" s="368" t="s">
        <v>6390</v>
      </c>
      <c r="F708" s="208">
        <v>1.0</v>
      </c>
      <c r="G708" s="208" t="s">
        <v>4177</v>
      </c>
      <c r="H708" s="208"/>
    </row>
    <row r="709">
      <c r="B709" s="367" t="s">
        <v>993</v>
      </c>
      <c r="C709" s="208" t="b">
        <v>0</v>
      </c>
      <c r="D709" s="369" t="str">
        <f t="shared" si="5"/>
        <v/>
      </c>
      <c r="E709" s="368" t="s">
        <v>6391</v>
      </c>
      <c r="F709" s="208">
        <v>1.0</v>
      </c>
      <c r="G709" s="208" t="s">
        <v>6392</v>
      </c>
      <c r="H709" s="208"/>
    </row>
    <row r="710">
      <c r="B710" s="372" t="s">
        <v>2905</v>
      </c>
      <c r="C710" s="208" t="b">
        <v>0</v>
      </c>
      <c r="D710" s="369" t="str">
        <f t="shared" si="5"/>
        <v/>
      </c>
      <c r="E710" s="368" t="s">
        <v>6393</v>
      </c>
      <c r="F710" s="208">
        <v>1.0</v>
      </c>
      <c r="G710" s="208" t="s">
        <v>2953</v>
      </c>
      <c r="H710" s="208"/>
    </row>
    <row r="711">
      <c r="B711" s="367" t="s">
        <v>2861</v>
      </c>
      <c r="C711" s="208" t="b">
        <v>0</v>
      </c>
      <c r="D711" s="369" t="str">
        <f t="shared" si="5"/>
        <v/>
      </c>
      <c r="E711" s="368" t="s">
        <v>6394</v>
      </c>
      <c r="F711" s="208">
        <v>1.0</v>
      </c>
      <c r="G711" s="208" t="s">
        <v>6395</v>
      </c>
      <c r="H711" s="208"/>
    </row>
    <row r="712">
      <c r="B712" s="367" t="s">
        <v>2861</v>
      </c>
      <c r="C712" s="208" t="b">
        <v>0</v>
      </c>
      <c r="D712" s="369" t="str">
        <f t="shared" si="5"/>
        <v/>
      </c>
      <c r="E712" s="368" t="s">
        <v>6396</v>
      </c>
      <c r="F712" s="208">
        <v>1.0</v>
      </c>
      <c r="G712" s="208" t="s">
        <v>6397</v>
      </c>
      <c r="H712" s="208"/>
    </row>
    <row r="713">
      <c r="B713" s="367" t="s">
        <v>2861</v>
      </c>
      <c r="C713" s="208" t="b">
        <v>0</v>
      </c>
      <c r="D713" s="369" t="str">
        <f t="shared" si="5"/>
        <v/>
      </c>
      <c r="E713" s="368" t="s">
        <v>6398</v>
      </c>
      <c r="F713" s="208">
        <v>1.0</v>
      </c>
      <c r="G713" s="208" t="s">
        <v>6399</v>
      </c>
      <c r="H713" s="208"/>
    </row>
    <row r="714">
      <c r="B714" s="367" t="s">
        <v>2861</v>
      </c>
      <c r="C714" s="208" t="b">
        <v>0</v>
      </c>
      <c r="D714" s="369" t="str">
        <f t="shared" si="5"/>
        <v/>
      </c>
      <c r="E714" s="368" t="s">
        <v>6400</v>
      </c>
      <c r="F714" s="208">
        <v>1.0</v>
      </c>
      <c r="G714" s="208" t="s">
        <v>6401</v>
      </c>
      <c r="H714" s="208"/>
    </row>
    <row r="715">
      <c r="B715" s="367"/>
      <c r="C715" s="208" t="b">
        <v>0</v>
      </c>
      <c r="D715" s="369" t="str">
        <f t="shared" si="5"/>
        <v/>
      </c>
      <c r="E715" s="368" t="s">
        <v>6402</v>
      </c>
      <c r="F715" s="208">
        <v>64.0</v>
      </c>
      <c r="G715" s="208" t="s">
        <v>6403</v>
      </c>
      <c r="H715" s="208"/>
    </row>
    <row r="716">
      <c r="B716" s="367"/>
      <c r="C716" s="208" t="b">
        <v>0</v>
      </c>
      <c r="D716" s="369" t="str">
        <f t="shared" si="5"/>
        <v/>
      </c>
      <c r="E716" s="368" t="s">
        <v>6404</v>
      </c>
      <c r="F716" s="208">
        <v>64.0</v>
      </c>
      <c r="G716" s="208" t="s">
        <v>1705</v>
      </c>
      <c r="H716" s="208"/>
    </row>
    <row r="717">
      <c r="B717" s="367" t="s">
        <v>3218</v>
      </c>
      <c r="C717" s="208" t="b">
        <v>0</v>
      </c>
      <c r="D717" s="369" t="str">
        <f t="shared" si="5"/>
        <v/>
      </c>
      <c r="E717" s="368" t="s">
        <v>2822</v>
      </c>
      <c r="F717" s="208">
        <v>64.0</v>
      </c>
      <c r="G717" s="208" t="s">
        <v>2816</v>
      </c>
      <c r="H717" s="208"/>
    </row>
    <row r="718">
      <c r="B718" s="367"/>
      <c r="C718" s="208" t="b">
        <v>0</v>
      </c>
      <c r="D718" s="369" t="str">
        <f t="shared" si="5"/>
        <v/>
      </c>
      <c r="E718" s="368" t="s">
        <v>6405</v>
      </c>
      <c r="F718" s="208">
        <v>64.0</v>
      </c>
      <c r="G718" s="208" t="s">
        <v>2195</v>
      </c>
      <c r="H718" s="208"/>
    </row>
    <row r="719">
      <c r="B719" s="367"/>
      <c r="C719" s="208" t="b">
        <v>0</v>
      </c>
      <c r="D719" s="369" t="str">
        <f t="shared" si="5"/>
        <v/>
      </c>
      <c r="E719" s="368" t="s">
        <v>6406</v>
      </c>
      <c r="F719" s="208">
        <v>64.0</v>
      </c>
      <c r="G719" s="208" t="s">
        <v>6407</v>
      </c>
      <c r="H719" s="208"/>
    </row>
    <row r="720">
      <c r="B720" s="367"/>
      <c r="C720" s="208" t="b">
        <v>0</v>
      </c>
      <c r="D720" s="369" t="str">
        <f t="shared" si="5"/>
        <v/>
      </c>
      <c r="E720" s="368" t="s">
        <v>6408</v>
      </c>
      <c r="F720" s="208">
        <v>64.0</v>
      </c>
      <c r="G720" s="208" t="s">
        <v>6409</v>
      </c>
      <c r="H720" s="208"/>
    </row>
    <row r="721">
      <c r="B721" s="367"/>
      <c r="C721" s="208" t="b">
        <v>0</v>
      </c>
      <c r="D721" s="369" t="str">
        <f t="shared" si="5"/>
        <v/>
      </c>
      <c r="E721" s="368" t="s">
        <v>6410</v>
      </c>
      <c r="F721" s="208">
        <v>64.0</v>
      </c>
      <c r="G721" s="208" t="s">
        <v>6411</v>
      </c>
      <c r="H721" s="208"/>
    </row>
    <row r="722">
      <c r="B722" s="367"/>
      <c r="C722" s="208" t="b">
        <v>0</v>
      </c>
      <c r="D722" s="369" t="str">
        <f t="shared" si="5"/>
        <v/>
      </c>
      <c r="E722" s="368" t="s">
        <v>6412</v>
      </c>
      <c r="F722" s="208">
        <v>64.0</v>
      </c>
      <c r="G722" s="208" t="s">
        <v>6413</v>
      </c>
      <c r="H722" s="208"/>
    </row>
    <row r="723">
      <c r="B723" s="367"/>
      <c r="C723" s="208" t="b">
        <v>0</v>
      </c>
      <c r="D723" s="369" t="str">
        <f t="shared" si="5"/>
        <v/>
      </c>
      <c r="E723" s="368" t="s">
        <v>6414</v>
      </c>
      <c r="F723" s="208">
        <v>64.0</v>
      </c>
      <c r="G723" s="208" t="s">
        <v>6415</v>
      </c>
      <c r="H723" s="208"/>
    </row>
    <row r="724">
      <c r="B724" s="367"/>
      <c r="C724" s="208" t="b">
        <v>0</v>
      </c>
      <c r="D724" s="369" t="str">
        <f t="shared" si="5"/>
        <v/>
      </c>
      <c r="E724" s="368" t="s">
        <v>6416</v>
      </c>
      <c r="F724" s="208">
        <v>64.0</v>
      </c>
      <c r="G724" s="208" t="s">
        <v>4429</v>
      </c>
      <c r="H724" s="208"/>
    </row>
    <row r="725">
      <c r="B725" s="367" t="s">
        <v>5110</v>
      </c>
      <c r="C725" s="208" t="b">
        <v>0</v>
      </c>
      <c r="D725" s="369" t="str">
        <f t="shared" si="5"/>
        <v/>
      </c>
      <c r="E725" s="368" t="s">
        <v>6417</v>
      </c>
      <c r="F725" s="208">
        <v>64.0</v>
      </c>
      <c r="G725" s="208" t="s">
        <v>4296</v>
      </c>
      <c r="H725" s="208"/>
    </row>
    <row r="726">
      <c r="B726" s="367" t="s">
        <v>5110</v>
      </c>
      <c r="C726" s="208" t="b">
        <v>0</v>
      </c>
      <c r="D726" s="369" t="str">
        <f t="shared" si="5"/>
        <v/>
      </c>
      <c r="E726" s="368" t="s">
        <v>6418</v>
      </c>
      <c r="F726" s="208">
        <v>64.0</v>
      </c>
      <c r="G726" s="208" t="s">
        <v>6419</v>
      </c>
      <c r="H726" s="208"/>
    </row>
    <row r="727">
      <c r="B727" s="367"/>
      <c r="C727" s="208" t="b">
        <v>0</v>
      </c>
      <c r="D727" s="369" t="str">
        <f t="shared" si="5"/>
        <v/>
      </c>
      <c r="E727" s="368" t="s">
        <v>6420</v>
      </c>
      <c r="F727" s="208">
        <v>64.0</v>
      </c>
      <c r="G727" s="208" t="s">
        <v>6421</v>
      </c>
      <c r="H727" s="208"/>
    </row>
    <row r="728">
      <c r="B728" s="367" t="s">
        <v>5510</v>
      </c>
      <c r="C728" s="208" t="b">
        <v>0</v>
      </c>
      <c r="D728" s="369" t="str">
        <f t="shared" si="5"/>
        <v/>
      </c>
      <c r="E728" s="368" t="s">
        <v>6422</v>
      </c>
      <c r="F728" s="208">
        <v>64.0</v>
      </c>
      <c r="G728" s="208" t="s">
        <v>3213</v>
      </c>
      <c r="H728" s="208"/>
    </row>
    <row r="729">
      <c r="B729" s="367"/>
      <c r="C729" s="208" t="b">
        <v>0</v>
      </c>
      <c r="D729" s="369" t="str">
        <f t="shared" si="5"/>
        <v/>
      </c>
      <c r="E729" s="368" t="s">
        <v>6423</v>
      </c>
      <c r="F729" s="208">
        <v>64.0</v>
      </c>
      <c r="G729" s="208" t="s">
        <v>2807</v>
      </c>
      <c r="H729" s="208"/>
    </row>
    <row r="730">
      <c r="B730" s="370"/>
      <c r="C730" s="208" t="b">
        <v>0</v>
      </c>
      <c r="D730" s="369" t="str">
        <f t="shared" si="5"/>
        <v/>
      </c>
      <c r="E730" s="368" t="s">
        <v>6424</v>
      </c>
      <c r="F730" s="208">
        <v>64.0</v>
      </c>
      <c r="G730" s="208" t="s">
        <v>6425</v>
      </c>
      <c r="H730" s="208"/>
    </row>
    <row r="731">
      <c r="B731" s="367" t="s">
        <v>594</v>
      </c>
      <c r="C731" s="208" t="b">
        <v>0</v>
      </c>
      <c r="D731" s="369" t="str">
        <f t="shared" si="5"/>
        <v/>
      </c>
      <c r="E731" s="368" t="s">
        <v>6426</v>
      </c>
      <c r="F731" s="208">
        <v>1.0</v>
      </c>
      <c r="G731" s="208" t="s">
        <v>3678</v>
      </c>
      <c r="H731" s="208"/>
    </row>
    <row r="732">
      <c r="B732" s="367" t="s">
        <v>5341</v>
      </c>
      <c r="C732" s="208" t="b">
        <v>0</v>
      </c>
      <c r="D732" s="369" t="str">
        <f t="shared" si="5"/>
        <v/>
      </c>
      <c r="E732" s="368" t="s">
        <v>6427</v>
      </c>
      <c r="F732" s="208">
        <v>1.0</v>
      </c>
      <c r="G732" s="208" t="s">
        <v>6428</v>
      </c>
      <c r="H732" s="208"/>
    </row>
    <row r="733">
      <c r="B733" s="367" t="s">
        <v>594</v>
      </c>
      <c r="C733" s="208" t="b">
        <v>0</v>
      </c>
      <c r="D733" s="369" t="str">
        <f t="shared" si="5"/>
        <v/>
      </c>
      <c r="E733" s="368" t="s">
        <v>6429</v>
      </c>
      <c r="F733" s="208">
        <v>1.0</v>
      </c>
      <c r="G733" s="208" t="s">
        <v>4371</v>
      </c>
      <c r="H733" s="208"/>
    </row>
    <row r="734">
      <c r="B734" s="367" t="s">
        <v>594</v>
      </c>
      <c r="C734" s="208" t="b">
        <v>0</v>
      </c>
      <c r="D734" s="369" t="str">
        <f t="shared" si="5"/>
        <v/>
      </c>
      <c r="E734" s="368" t="s">
        <v>6430</v>
      </c>
      <c r="F734" s="208">
        <v>1.0</v>
      </c>
      <c r="G734" s="208" t="s">
        <v>2564</v>
      </c>
      <c r="H734" s="208"/>
    </row>
    <row r="735">
      <c r="B735" s="367" t="s">
        <v>594</v>
      </c>
      <c r="C735" s="208" t="b">
        <v>0</v>
      </c>
      <c r="D735" s="369" t="str">
        <f t="shared" si="5"/>
        <v/>
      </c>
      <c r="E735" s="368" t="s">
        <v>6431</v>
      </c>
      <c r="F735" s="208">
        <v>1.0</v>
      </c>
      <c r="G735" s="208" t="s">
        <v>1280</v>
      </c>
      <c r="H735" s="208"/>
    </row>
    <row r="736">
      <c r="B736" s="367" t="s">
        <v>594</v>
      </c>
      <c r="C736" s="208" t="b">
        <v>0</v>
      </c>
      <c r="D736" s="369" t="str">
        <f t="shared" si="5"/>
        <v/>
      </c>
      <c r="E736" s="368" t="s">
        <v>6432</v>
      </c>
      <c r="F736" s="208">
        <v>1.0</v>
      </c>
      <c r="G736" s="208" t="s">
        <v>4380</v>
      </c>
      <c r="H736" s="208"/>
    </row>
    <row r="737">
      <c r="B737" s="367" t="s">
        <v>5341</v>
      </c>
      <c r="C737" s="208" t="b">
        <v>0</v>
      </c>
      <c r="D737" s="369" t="str">
        <f t="shared" si="5"/>
        <v/>
      </c>
      <c r="E737" s="368" t="s">
        <v>6433</v>
      </c>
      <c r="F737" s="208">
        <v>64.0</v>
      </c>
      <c r="G737" s="208" t="s">
        <v>4357</v>
      </c>
      <c r="H737" s="208"/>
    </row>
    <row r="738">
      <c r="B738" s="367" t="s">
        <v>594</v>
      </c>
      <c r="C738" s="208" t="b">
        <v>0</v>
      </c>
      <c r="D738" s="369" t="str">
        <f t="shared" si="5"/>
        <v/>
      </c>
      <c r="E738" s="368" t="s">
        <v>6434</v>
      </c>
      <c r="F738" s="208">
        <v>1.0</v>
      </c>
      <c r="G738" s="208" t="s">
        <v>6435</v>
      </c>
      <c r="H738" s="208"/>
    </row>
    <row r="739">
      <c r="B739" s="367" t="s">
        <v>594</v>
      </c>
      <c r="C739" s="208" t="b">
        <v>0</v>
      </c>
      <c r="D739" s="369" t="str">
        <f t="shared" si="5"/>
        <v/>
      </c>
      <c r="E739" s="368" t="s">
        <v>6436</v>
      </c>
      <c r="F739" s="208">
        <v>1.0</v>
      </c>
      <c r="G739" s="208" t="s">
        <v>4362</v>
      </c>
      <c r="H739" s="208"/>
    </row>
    <row r="740">
      <c r="B740" s="367" t="s">
        <v>5341</v>
      </c>
      <c r="C740" s="208" t="b">
        <v>0</v>
      </c>
      <c r="D740" s="369" t="str">
        <f t="shared" si="5"/>
        <v/>
      </c>
      <c r="E740" s="368" t="s">
        <v>6437</v>
      </c>
      <c r="F740" s="208">
        <v>64.0</v>
      </c>
      <c r="G740" s="208" t="s">
        <v>4352</v>
      </c>
      <c r="H740" s="208"/>
    </row>
    <row r="741">
      <c r="B741" s="367" t="s">
        <v>594</v>
      </c>
      <c r="C741" s="208" t="b">
        <v>0</v>
      </c>
      <c r="D741" s="369" t="str">
        <f t="shared" si="5"/>
        <v/>
      </c>
      <c r="E741" s="368" t="s">
        <v>6438</v>
      </c>
      <c r="F741" s="208">
        <v>1.0</v>
      </c>
      <c r="G741" s="208" t="s">
        <v>6439</v>
      </c>
      <c r="H741" s="208"/>
    </row>
    <row r="742">
      <c r="B742" s="367" t="s">
        <v>594</v>
      </c>
      <c r="C742" s="208" t="b">
        <v>0</v>
      </c>
      <c r="D742" s="369" t="str">
        <f t="shared" si="5"/>
        <v/>
      </c>
      <c r="E742" s="368" t="s">
        <v>6440</v>
      </c>
      <c r="F742" s="208">
        <v>1.0</v>
      </c>
      <c r="G742" s="208" t="s">
        <v>2698</v>
      </c>
      <c r="H742" s="208"/>
    </row>
    <row r="743">
      <c r="B743" s="370"/>
      <c r="C743" s="208" t="b">
        <v>0</v>
      </c>
      <c r="D743" s="369" t="str">
        <f t="shared" si="5"/>
        <v/>
      </c>
      <c r="E743" s="368" t="s">
        <v>6441</v>
      </c>
      <c r="F743" s="208">
        <v>1.0</v>
      </c>
      <c r="G743" s="208" t="s">
        <v>6442</v>
      </c>
      <c r="H743" s="208"/>
    </row>
    <row r="744">
      <c r="B744" s="367"/>
      <c r="C744" s="208" t="b">
        <v>0</v>
      </c>
      <c r="D744" s="369" t="str">
        <f t="shared" si="5"/>
        <v/>
      </c>
      <c r="E744" s="368" t="s">
        <v>6443</v>
      </c>
      <c r="F744" s="208">
        <v>64.0</v>
      </c>
      <c r="G744" s="208" t="s">
        <v>2541</v>
      </c>
      <c r="H744" s="208"/>
    </row>
    <row r="745">
      <c r="B745" s="367"/>
      <c r="C745" s="208" t="b">
        <v>0</v>
      </c>
      <c r="D745" s="369" t="str">
        <f t="shared" si="5"/>
        <v/>
      </c>
      <c r="E745" s="368" t="s">
        <v>6444</v>
      </c>
      <c r="F745" s="208">
        <v>64.0</v>
      </c>
      <c r="G745" s="208" t="s">
        <v>1867</v>
      </c>
      <c r="H745" s="208"/>
    </row>
    <row r="746">
      <c r="B746" s="367"/>
      <c r="C746" s="208" t="b">
        <v>0</v>
      </c>
      <c r="D746" s="369" t="str">
        <f t="shared" si="5"/>
        <v/>
      </c>
      <c r="E746" s="368" t="s">
        <v>6445</v>
      </c>
      <c r="F746" s="208">
        <v>1.0</v>
      </c>
      <c r="G746" s="208" t="s">
        <v>3915</v>
      </c>
      <c r="H746" s="208"/>
    </row>
    <row r="747">
      <c r="B747" s="367"/>
      <c r="C747" s="208" t="b">
        <v>0</v>
      </c>
      <c r="D747" s="369" t="str">
        <f t="shared" si="5"/>
        <v/>
      </c>
      <c r="E747" s="368" t="s">
        <v>6446</v>
      </c>
      <c r="F747" s="208">
        <v>64.0</v>
      </c>
      <c r="G747" s="208" t="s">
        <v>3382</v>
      </c>
      <c r="H747" s="208"/>
    </row>
    <row r="748">
      <c r="B748" s="367"/>
      <c r="C748" s="208" t="b">
        <v>0</v>
      </c>
      <c r="D748" s="369" t="str">
        <f t="shared" si="5"/>
        <v/>
      </c>
      <c r="E748" s="368" t="s">
        <v>6447</v>
      </c>
      <c r="F748" s="208">
        <v>1.0</v>
      </c>
      <c r="G748" s="208" t="s">
        <v>6448</v>
      </c>
      <c r="H748" s="208"/>
    </row>
    <row r="749">
      <c r="B749" s="367"/>
      <c r="C749" s="208" t="b">
        <v>0</v>
      </c>
      <c r="D749" s="369" t="str">
        <f t="shared" si="5"/>
        <v/>
      </c>
      <c r="E749" s="368" t="s">
        <v>6449</v>
      </c>
      <c r="F749" s="208">
        <v>64.0</v>
      </c>
      <c r="G749" s="208" t="s">
        <v>759</v>
      </c>
      <c r="H749" s="208"/>
    </row>
    <row r="750">
      <c r="B750" s="367"/>
      <c r="C750" s="208" t="b">
        <v>0</v>
      </c>
      <c r="D750" s="369" t="str">
        <f t="shared" si="5"/>
        <v/>
      </c>
      <c r="E750" s="368" t="s">
        <v>6450</v>
      </c>
      <c r="F750" s="208">
        <v>64.0</v>
      </c>
      <c r="G750" s="208" t="s">
        <v>299</v>
      </c>
      <c r="H750" s="208"/>
    </row>
    <row r="751">
      <c r="B751" s="367"/>
      <c r="C751" s="208" t="b">
        <v>0</v>
      </c>
      <c r="D751" s="369" t="str">
        <f t="shared" si="5"/>
        <v/>
      </c>
      <c r="E751" s="368" t="s">
        <v>6451</v>
      </c>
      <c r="F751" s="208">
        <v>64.0</v>
      </c>
      <c r="G751" s="208" t="s">
        <v>6452</v>
      </c>
      <c r="H751" s="208"/>
    </row>
    <row r="752">
      <c r="B752" s="367"/>
      <c r="C752" s="208" t="b">
        <v>0</v>
      </c>
      <c r="D752" s="369" t="str">
        <f t="shared" si="5"/>
        <v/>
      </c>
      <c r="E752" s="368" t="s">
        <v>6453</v>
      </c>
      <c r="F752" s="208">
        <v>16.0</v>
      </c>
      <c r="G752" s="208" t="s">
        <v>858</v>
      </c>
      <c r="H752" s="208"/>
    </row>
    <row r="753">
      <c r="B753" s="370"/>
      <c r="C753" s="208" t="b">
        <v>0</v>
      </c>
      <c r="D753" s="369" t="str">
        <f t="shared" si="5"/>
        <v/>
      </c>
      <c r="E753" s="368" t="s">
        <v>6454</v>
      </c>
      <c r="F753" s="208">
        <v>64.0</v>
      </c>
      <c r="G753" s="208" t="s">
        <v>1324</v>
      </c>
      <c r="H753" s="208"/>
    </row>
    <row r="754">
      <c r="B754" s="370"/>
      <c r="C754" s="208" t="b">
        <v>0</v>
      </c>
      <c r="D754" s="369" t="str">
        <f t="shared" si="5"/>
        <v/>
      </c>
      <c r="E754" s="368" t="s">
        <v>6455</v>
      </c>
      <c r="F754" s="208">
        <v>64.0</v>
      </c>
      <c r="G754" s="208" t="s">
        <v>1018</v>
      </c>
      <c r="H754" s="208"/>
    </row>
    <row r="755">
      <c r="B755" s="367"/>
      <c r="C755" s="208" t="b">
        <v>0</v>
      </c>
      <c r="D755" s="369" t="str">
        <f t="shared" si="5"/>
        <v/>
      </c>
      <c r="E755" s="368" t="s">
        <v>6456</v>
      </c>
      <c r="F755" s="208">
        <v>64.0</v>
      </c>
      <c r="G755" s="208" t="s">
        <v>754</v>
      </c>
      <c r="H755" s="208"/>
    </row>
    <row r="756">
      <c r="B756" s="367"/>
      <c r="C756" s="208" t="b">
        <v>0</v>
      </c>
      <c r="D756" s="369" t="str">
        <f t="shared" si="5"/>
        <v/>
      </c>
      <c r="E756" s="368" t="s">
        <v>6457</v>
      </c>
      <c r="F756" s="208">
        <v>64.0</v>
      </c>
      <c r="G756" s="208" t="s">
        <v>6458</v>
      </c>
      <c r="H756" s="208"/>
    </row>
    <row r="757">
      <c r="B757" s="370"/>
      <c r="C757" s="208" t="b">
        <v>0</v>
      </c>
      <c r="D757" s="369" t="str">
        <f t="shared" si="5"/>
        <v/>
      </c>
      <c r="E757" s="368" t="s">
        <v>6459</v>
      </c>
      <c r="F757" s="208">
        <v>64.0</v>
      </c>
      <c r="G757" s="208" t="s">
        <v>1033</v>
      </c>
      <c r="H757" s="208"/>
    </row>
    <row r="758">
      <c r="B758" s="367"/>
      <c r="C758" s="208" t="b">
        <v>0</v>
      </c>
      <c r="D758" s="369" t="str">
        <f t="shared" si="5"/>
        <v/>
      </c>
      <c r="E758" s="368" t="s">
        <v>6460</v>
      </c>
      <c r="F758" s="208">
        <v>16.0</v>
      </c>
      <c r="G758" s="208" t="s">
        <v>853</v>
      </c>
      <c r="H758" s="208"/>
    </row>
    <row r="759">
      <c r="B759" s="367"/>
      <c r="C759" s="208" t="b">
        <v>0</v>
      </c>
      <c r="D759" s="369" t="str">
        <f t="shared" si="5"/>
        <v/>
      </c>
      <c r="E759" s="368" t="s">
        <v>6461</v>
      </c>
      <c r="F759" s="208">
        <v>64.0</v>
      </c>
      <c r="G759" s="208" t="s">
        <v>764</v>
      </c>
      <c r="H759" s="208"/>
    </row>
    <row r="760">
      <c r="B760" s="367"/>
      <c r="C760" s="208" t="b">
        <v>0</v>
      </c>
      <c r="D760" s="369" t="str">
        <f t="shared" si="5"/>
        <v/>
      </c>
      <c r="E760" s="368" t="s">
        <v>6462</v>
      </c>
      <c r="F760" s="208">
        <v>64.0</v>
      </c>
      <c r="G760" s="208" t="s">
        <v>6463</v>
      </c>
      <c r="H760" s="208"/>
    </row>
    <row r="761">
      <c r="B761" s="367"/>
      <c r="C761" s="208" t="b">
        <v>0</v>
      </c>
      <c r="D761" s="369" t="str">
        <f t="shared" si="5"/>
        <v/>
      </c>
      <c r="E761" s="368" t="s">
        <v>6464</v>
      </c>
      <c r="F761" s="208">
        <v>64.0</v>
      </c>
      <c r="G761" s="208" t="s">
        <v>807</v>
      </c>
      <c r="H761" s="208"/>
    </row>
    <row r="762">
      <c r="B762" s="370"/>
      <c r="C762" s="208" t="b">
        <v>0</v>
      </c>
      <c r="D762" s="369" t="str">
        <f t="shared" si="5"/>
        <v/>
      </c>
      <c r="E762" s="368" t="s">
        <v>6465</v>
      </c>
      <c r="F762" s="208">
        <v>64.0</v>
      </c>
      <c r="G762" s="208" t="s">
        <v>1023</v>
      </c>
      <c r="H762" s="208"/>
    </row>
    <row r="763">
      <c r="B763" s="367"/>
      <c r="C763" s="208" t="b">
        <v>0</v>
      </c>
      <c r="D763" s="369" t="str">
        <f t="shared" si="5"/>
        <v/>
      </c>
      <c r="E763" s="368" t="s">
        <v>6466</v>
      </c>
      <c r="F763" s="208">
        <v>64.0</v>
      </c>
      <c r="G763" s="208" t="s">
        <v>3449</v>
      </c>
      <c r="H763" s="208"/>
    </row>
    <row r="764">
      <c r="B764" s="367"/>
      <c r="C764" s="208" t="b">
        <v>0</v>
      </c>
      <c r="D764" s="369" t="str">
        <f t="shared" si="5"/>
        <v/>
      </c>
      <c r="E764" s="368" t="s">
        <v>6467</v>
      </c>
      <c r="F764" s="208">
        <v>64.0</v>
      </c>
      <c r="G764" s="208" t="s">
        <v>736</v>
      </c>
      <c r="H764" s="208"/>
    </row>
    <row r="765">
      <c r="B765" s="367"/>
      <c r="C765" s="208" t="b">
        <v>0</v>
      </c>
      <c r="D765" s="369" t="str">
        <f t="shared" si="5"/>
        <v/>
      </c>
      <c r="E765" s="368" t="s">
        <v>6468</v>
      </c>
      <c r="F765" s="208">
        <v>64.0</v>
      </c>
      <c r="G765" s="208" t="s">
        <v>6469</v>
      </c>
      <c r="H765" s="208"/>
    </row>
    <row r="766">
      <c r="B766" s="367" t="s">
        <v>993</v>
      </c>
      <c r="C766" s="208" t="b">
        <v>0</v>
      </c>
      <c r="D766" s="369" t="str">
        <f t="shared" si="5"/>
        <v/>
      </c>
      <c r="E766" s="368" t="s">
        <v>6470</v>
      </c>
      <c r="F766" s="208">
        <v>64.0</v>
      </c>
      <c r="G766" s="208" t="s">
        <v>3064</v>
      </c>
      <c r="H766" s="208"/>
    </row>
    <row r="767">
      <c r="B767" s="367" t="s">
        <v>993</v>
      </c>
      <c r="C767" s="208" t="b">
        <v>0</v>
      </c>
      <c r="D767" s="369" t="str">
        <f t="shared" si="5"/>
        <v/>
      </c>
      <c r="E767" s="368" t="s">
        <v>6471</v>
      </c>
      <c r="F767" s="208">
        <v>64.0</v>
      </c>
      <c r="G767" s="208" t="s">
        <v>3356</v>
      </c>
      <c r="H767" s="208"/>
    </row>
    <row r="768">
      <c r="B768" s="367"/>
      <c r="C768" s="208" t="b">
        <v>0</v>
      </c>
      <c r="D768" s="369" t="str">
        <f t="shared" si="5"/>
        <v/>
      </c>
      <c r="E768" s="368" t="s">
        <v>6472</v>
      </c>
      <c r="F768" s="208">
        <v>16.0</v>
      </c>
      <c r="G768" s="208" t="s">
        <v>6473</v>
      </c>
      <c r="H768" s="208"/>
    </row>
    <row r="769">
      <c r="B769" s="367"/>
      <c r="C769" s="208" t="b">
        <v>0</v>
      </c>
      <c r="D769" s="369" t="str">
        <f t="shared" si="5"/>
        <v/>
      </c>
      <c r="E769" s="368" t="s">
        <v>6474</v>
      </c>
      <c r="F769" s="208">
        <v>1.0</v>
      </c>
      <c r="G769" s="208" t="s">
        <v>6475</v>
      </c>
      <c r="H769" s="208"/>
    </row>
    <row r="770">
      <c r="B770" s="367"/>
      <c r="C770" s="208" t="b">
        <v>0</v>
      </c>
      <c r="D770" s="369" t="str">
        <f t="shared" si="5"/>
        <v/>
      </c>
      <c r="E770" s="368" t="s">
        <v>6476</v>
      </c>
      <c r="F770" s="208">
        <v>64.0</v>
      </c>
      <c r="G770" s="208" t="s">
        <v>6477</v>
      </c>
      <c r="H770" s="208"/>
    </row>
    <row r="771">
      <c r="B771" s="367"/>
      <c r="C771" s="208" t="b">
        <v>0</v>
      </c>
      <c r="D771" s="369" t="str">
        <f t="shared" si="5"/>
        <v/>
      </c>
      <c r="E771" s="368" t="s">
        <v>6478</v>
      </c>
      <c r="F771" s="208">
        <v>64.0</v>
      </c>
      <c r="G771" s="208" t="s">
        <v>6479</v>
      </c>
      <c r="H771" s="208"/>
    </row>
    <row r="772">
      <c r="B772" s="367"/>
      <c r="C772" s="208" t="b">
        <v>0</v>
      </c>
      <c r="D772" s="369" t="str">
        <f t="shared" si="5"/>
        <v/>
      </c>
      <c r="E772" s="368" t="s">
        <v>6480</v>
      </c>
      <c r="F772" s="208">
        <v>64.0</v>
      </c>
      <c r="G772" s="208" t="s">
        <v>6481</v>
      </c>
      <c r="H772" s="208"/>
    </row>
    <row r="773">
      <c r="B773" s="367"/>
      <c r="C773" s="208" t="b">
        <v>0</v>
      </c>
      <c r="D773" s="369" t="str">
        <f t="shared" si="5"/>
        <v/>
      </c>
      <c r="E773" s="368" t="s">
        <v>6482</v>
      </c>
      <c r="F773" s="208">
        <v>64.0</v>
      </c>
      <c r="G773" s="208" t="s">
        <v>6483</v>
      </c>
      <c r="H773" s="208"/>
    </row>
    <row r="774">
      <c r="B774" s="367"/>
      <c r="C774" s="208" t="b">
        <v>0</v>
      </c>
      <c r="D774" s="369" t="str">
        <f t="shared" si="5"/>
        <v/>
      </c>
      <c r="E774" s="368" t="s">
        <v>6484</v>
      </c>
      <c r="F774" s="208">
        <v>64.0</v>
      </c>
      <c r="G774" s="208" t="s">
        <v>6485</v>
      </c>
      <c r="H774" s="208"/>
    </row>
    <row r="775">
      <c r="B775" s="367"/>
      <c r="C775" s="208" t="b">
        <v>0</v>
      </c>
      <c r="D775" s="369" t="str">
        <f t="shared" si="5"/>
        <v/>
      </c>
      <c r="E775" s="368" t="s">
        <v>6486</v>
      </c>
      <c r="F775" s="208">
        <v>64.0</v>
      </c>
      <c r="G775" s="208" t="s">
        <v>6487</v>
      </c>
      <c r="H775" s="208"/>
    </row>
    <row r="776">
      <c r="B776" s="367"/>
      <c r="C776" s="208" t="b">
        <v>0</v>
      </c>
      <c r="D776" s="369" t="str">
        <f t="shared" si="5"/>
        <v/>
      </c>
      <c r="E776" s="368" t="s">
        <v>6488</v>
      </c>
      <c r="F776" s="208">
        <v>1.0</v>
      </c>
      <c r="G776" s="208" t="s">
        <v>6489</v>
      </c>
      <c r="H776" s="208"/>
    </row>
    <row r="777">
      <c r="B777" s="367"/>
      <c r="C777" s="208" t="b">
        <v>0</v>
      </c>
      <c r="D777" s="369" t="str">
        <f t="shared" si="5"/>
        <v/>
      </c>
      <c r="E777" s="368" t="s">
        <v>6490</v>
      </c>
      <c r="F777" s="208">
        <v>64.0</v>
      </c>
      <c r="G777" s="208" t="s">
        <v>6491</v>
      </c>
      <c r="H777" s="208"/>
    </row>
    <row r="778">
      <c r="B778" s="367"/>
      <c r="C778" s="208" t="b">
        <v>0</v>
      </c>
      <c r="D778" s="369" t="str">
        <f t="shared" si="5"/>
        <v/>
      </c>
      <c r="E778" s="368" t="s">
        <v>6492</v>
      </c>
      <c r="F778" s="208">
        <v>64.0</v>
      </c>
      <c r="G778" s="208" t="s">
        <v>6493</v>
      </c>
      <c r="H778" s="208"/>
    </row>
    <row r="779">
      <c r="B779" s="370"/>
      <c r="C779" s="208" t="b">
        <v>0</v>
      </c>
      <c r="D779" s="369" t="str">
        <f t="shared" si="5"/>
        <v/>
      </c>
      <c r="E779" s="368" t="s">
        <v>6494</v>
      </c>
      <c r="F779" s="208">
        <v>64.0</v>
      </c>
      <c r="G779" s="208" t="s">
        <v>6495</v>
      </c>
      <c r="H779" s="208"/>
    </row>
    <row r="780">
      <c r="B780" s="370"/>
      <c r="C780" s="208" t="b">
        <v>0</v>
      </c>
      <c r="D780" s="369" t="str">
        <f t="shared" si="5"/>
        <v/>
      </c>
      <c r="E780" s="368" t="s">
        <v>6496</v>
      </c>
      <c r="F780" s="208">
        <v>64.0</v>
      </c>
      <c r="G780" s="208" t="s">
        <v>6497</v>
      </c>
      <c r="H780" s="208"/>
    </row>
    <row r="781">
      <c r="B781" s="367"/>
      <c r="C781" s="208" t="b">
        <v>0</v>
      </c>
      <c r="D781" s="369" t="str">
        <f t="shared" si="5"/>
        <v/>
      </c>
      <c r="E781" s="368" t="s">
        <v>6498</v>
      </c>
      <c r="F781" s="208">
        <v>64.0</v>
      </c>
      <c r="G781" s="208" t="s">
        <v>6499</v>
      </c>
      <c r="H781" s="208"/>
    </row>
    <row r="782">
      <c r="B782" s="370"/>
      <c r="C782" s="208" t="b">
        <v>0</v>
      </c>
      <c r="D782" s="369" t="str">
        <f t="shared" si="5"/>
        <v/>
      </c>
      <c r="E782" s="368" t="s">
        <v>6500</v>
      </c>
      <c r="F782" s="208">
        <v>64.0</v>
      </c>
      <c r="G782" s="208" t="s">
        <v>6501</v>
      </c>
      <c r="H782" s="208"/>
    </row>
    <row r="783">
      <c r="B783" s="370"/>
      <c r="C783" s="208" t="b">
        <v>0</v>
      </c>
      <c r="D783" s="369" t="str">
        <f t="shared" si="5"/>
        <v/>
      </c>
      <c r="E783" s="368" t="s">
        <v>6502</v>
      </c>
      <c r="F783" s="208">
        <v>64.0</v>
      </c>
      <c r="G783" s="208" t="s">
        <v>6503</v>
      </c>
      <c r="H783" s="208"/>
    </row>
    <row r="784">
      <c r="B784" s="367"/>
      <c r="C784" s="208" t="b">
        <v>0</v>
      </c>
      <c r="D784" s="369" t="str">
        <f t="shared" si="5"/>
        <v/>
      </c>
      <c r="E784" s="368" t="s">
        <v>6504</v>
      </c>
      <c r="F784" s="208">
        <v>64.0</v>
      </c>
      <c r="G784" s="208" t="s">
        <v>511</v>
      </c>
      <c r="H784" s="208"/>
    </row>
    <row r="785">
      <c r="B785" s="370"/>
      <c r="C785" s="208" t="b">
        <v>0</v>
      </c>
      <c r="D785" s="369" t="str">
        <f t="shared" si="5"/>
        <v/>
      </c>
      <c r="E785" s="368" t="s">
        <v>6505</v>
      </c>
      <c r="F785" s="208">
        <v>64.0</v>
      </c>
      <c r="G785" s="208" t="s">
        <v>6506</v>
      </c>
      <c r="H785" s="208"/>
    </row>
    <row r="786">
      <c r="B786" s="370"/>
      <c r="C786" s="208" t="b">
        <v>0</v>
      </c>
      <c r="D786" s="369" t="str">
        <f t="shared" si="5"/>
        <v/>
      </c>
      <c r="E786" s="368" t="s">
        <v>6507</v>
      </c>
      <c r="F786" s="208">
        <v>64.0</v>
      </c>
      <c r="G786" s="208" t="s">
        <v>6508</v>
      </c>
      <c r="H786" s="208"/>
    </row>
    <row r="787">
      <c r="B787" s="370"/>
      <c r="C787" s="208" t="b">
        <v>0</v>
      </c>
      <c r="D787" s="369" t="str">
        <f t="shared" si="5"/>
        <v/>
      </c>
      <c r="E787" s="368" t="s">
        <v>6509</v>
      </c>
      <c r="F787" s="208">
        <v>64.0</v>
      </c>
      <c r="G787" s="208" t="s">
        <v>6510</v>
      </c>
      <c r="H787" s="208"/>
    </row>
    <row r="788">
      <c r="B788" s="370"/>
      <c r="C788" s="208" t="b">
        <v>0</v>
      </c>
      <c r="D788" s="369" t="str">
        <f t="shared" si="5"/>
        <v/>
      </c>
      <c r="E788" s="368" t="s">
        <v>6511</v>
      </c>
      <c r="F788" s="208">
        <v>64.0</v>
      </c>
      <c r="G788" s="208" t="s">
        <v>3338</v>
      </c>
      <c r="H788" s="208"/>
    </row>
    <row r="789">
      <c r="B789" s="367"/>
      <c r="C789" s="208" t="b">
        <v>0</v>
      </c>
      <c r="D789" s="369" t="str">
        <f t="shared" si="5"/>
        <v/>
      </c>
      <c r="E789" s="368" t="s">
        <v>6512</v>
      </c>
      <c r="F789" s="208">
        <v>64.0</v>
      </c>
      <c r="G789" s="208" t="s">
        <v>6513</v>
      </c>
      <c r="H789" s="208"/>
    </row>
    <row r="790">
      <c r="B790" s="367"/>
      <c r="C790" s="208" t="b">
        <v>0</v>
      </c>
      <c r="D790" s="369" t="str">
        <f t="shared" si="5"/>
        <v/>
      </c>
      <c r="E790" s="368" t="s">
        <v>6514</v>
      </c>
      <c r="F790" s="208">
        <v>64.0</v>
      </c>
      <c r="G790" s="208" t="s">
        <v>6515</v>
      </c>
      <c r="H790" s="208"/>
    </row>
    <row r="791">
      <c r="B791" s="367"/>
      <c r="C791" s="208" t="b">
        <v>0</v>
      </c>
      <c r="D791" s="369" t="str">
        <f t="shared" si="5"/>
        <v/>
      </c>
      <c r="E791" s="368" t="s">
        <v>6516</v>
      </c>
      <c r="F791" s="208">
        <v>64.0</v>
      </c>
      <c r="G791" s="208" t="s">
        <v>6517</v>
      </c>
      <c r="H791" s="208"/>
    </row>
    <row r="792">
      <c r="B792" s="367"/>
      <c r="C792" s="208" t="b">
        <v>0</v>
      </c>
      <c r="D792" s="369" t="str">
        <f t="shared" si="5"/>
        <v/>
      </c>
      <c r="E792" s="368" t="s">
        <v>6518</v>
      </c>
      <c r="F792" s="208">
        <v>64.0</v>
      </c>
      <c r="G792" s="208" t="s">
        <v>385</v>
      </c>
      <c r="H792" s="208"/>
    </row>
    <row r="793">
      <c r="B793" s="367"/>
      <c r="C793" s="208" t="b">
        <v>0</v>
      </c>
      <c r="D793" s="369" t="str">
        <f t="shared" si="5"/>
        <v/>
      </c>
      <c r="E793" s="368" t="s">
        <v>6519</v>
      </c>
      <c r="F793" s="208">
        <v>64.0</v>
      </c>
      <c r="G793" s="208" t="s">
        <v>6520</v>
      </c>
      <c r="H793" s="208"/>
    </row>
    <row r="794">
      <c r="B794" s="367"/>
      <c r="C794" s="208" t="b">
        <v>0</v>
      </c>
      <c r="D794" s="369" t="str">
        <f t="shared" si="5"/>
        <v/>
      </c>
      <c r="E794" s="368" t="s">
        <v>6521</v>
      </c>
      <c r="F794" s="208">
        <v>64.0</v>
      </c>
      <c r="G794" s="208" t="s">
        <v>878</v>
      </c>
      <c r="H794" s="208"/>
    </row>
    <row r="795">
      <c r="B795" s="367"/>
      <c r="C795" s="208" t="b">
        <v>0</v>
      </c>
      <c r="D795" s="369" t="str">
        <f t="shared" si="5"/>
        <v/>
      </c>
      <c r="E795" s="368" t="s">
        <v>6522</v>
      </c>
      <c r="F795" s="208">
        <v>64.0</v>
      </c>
      <c r="G795" s="208" t="s">
        <v>2315</v>
      </c>
      <c r="H795" s="208"/>
    </row>
    <row r="796">
      <c r="B796" s="367"/>
      <c r="C796" s="208" t="b">
        <v>0</v>
      </c>
      <c r="D796" s="369" t="str">
        <f t="shared" si="5"/>
        <v/>
      </c>
      <c r="E796" s="368" t="s">
        <v>6523</v>
      </c>
      <c r="F796" s="208">
        <v>64.0</v>
      </c>
      <c r="G796" s="208" t="s">
        <v>4659</v>
      </c>
      <c r="H796" s="208"/>
    </row>
    <row r="797">
      <c r="B797" s="370"/>
      <c r="C797" s="208" t="b">
        <v>0</v>
      </c>
      <c r="D797" s="369" t="str">
        <f t="shared" si="5"/>
        <v/>
      </c>
      <c r="E797" s="368" t="s">
        <v>6524</v>
      </c>
      <c r="F797" s="208">
        <v>64.0</v>
      </c>
      <c r="G797" s="208" t="s">
        <v>6525</v>
      </c>
      <c r="H797" s="208"/>
    </row>
    <row r="798">
      <c r="B798" s="367"/>
      <c r="C798" s="208" t="b">
        <v>0</v>
      </c>
      <c r="D798" s="369" t="str">
        <f t="shared" si="5"/>
        <v/>
      </c>
      <c r="E798" s="368" t="s">
        <v>6526</v>
      </c>
      <c r="F798" s="208">
        <v>64.0</v>
      </c>
      <c r="G798" s="208" t="s">
        <v>2515</v>
      </c>
      <c r="H798" s="208"/>
    </row>
    <row r="799">
      <c r="B799" s="367"/>
      <c r="C799" s="208" t="b">
        <v>0</v>
      </c>
      <c r="D799" s="369" t="str">
        <f t="shared" si="5"/>
        <v/>
      </c>
      <c r="E799" s="368" t="s">
        <v>6527</v>
      </c>
      <c r="F799" s="208">
        <v>1.0</v>
      </c>
      <c r="G799" s="208" t="s">
        <v>6528</v>
      </c>
      <c r="H799" s="208"/>
    </row>
    <row r="800">
      <c r="B800" s="367" t="s">
        <v>28</v>
      </c>
      <c r="C800" s="208" t="b">
        <v>0</v>
      </c>
      <c r="D800" s="369" t="str">
        <f t="shared" si="5"/>
        <v/>
      </c>
      <c r="E800" s="368" t="s">
        <v>61</v>
      </c>
      <c r="F800" s="208">
        <v>64.0</v>
      </c>
      <c r="G800" s="208" t="s">
        <v>3542</v>
      </c>
      <c r="H800" s="208"/>
    </row>
    <row r="801">
      <c r="B801" s="367"/>
      <c r="C801" s="208" t="b">
        <v>0</v>
      </c>
      <c r="D801" s="369" t="str">
        <f t="shared" si="5"/>
        <v/>
      </c>
      <c r="E801" s="368" t="s">
        <v>6529</v>
      </c>
      <c r="F801" s="208">
        <v>16.0</v>
      </c>
      <c r="G801" s="208" t="s">
        <v>6530</v>
      </c>
      <c r="H801" s="208"/>
    </row>
    <row r="802">
      <c r="B802" s="367"/>
      <c r="C802" s="208" t="b">
        <v>0</v>
      </c>
      <c r="D802" s="369" t="str">
        <f t="shared" si="5"/>
        <v/>
      </c>
      <c r="E802" s="368" t="s">
        <v>6531</v>
      </c>
      <c r="F802" s="208">
        <v>1.0</v>
      </c>
      <c r="G802" s="208" t="s">
        <v>6532</v>
      </c>
      <c r="H802" s="208"/>
    </row>
    <row r="803">
      <c r="B803" s="367"/>
      <c r="C803" s="208" t="b">
        <v>0</v>
      </c>
      <c r="D803" s="369" t="str">
        <f t="shared" si="5"/>
        <v/>
      </c>
      <c r="E803" s="368" t="s">
        <v>6533</v>
      </c>
      <c r="F803" s="208">
        <v>64.0</v>
      </c>
      <c r="G803" s="208" t="s">
        <v>6534</v>
      </c>
      <c r="H803" s="208"/>
    </row>
    <row r="804">
      <c r="B804" s="367"/>
      <c r="C804" s="208" t="b">
        <v>0</v>
      </c>
      <c r="D804" s="369" t="str">
        <f t="shared" si="5"/>
        <v/>
      </c>
      <c r="E804" s="368" t="s">
        <v>6535</v>
      </c>
      <c r="F804" s="208">
        <v>64.0</v>
      </c>
      <c r="G804" s="208" t="s">
        <v>6536</v>
      </c>
      <c r="H804" s="208"/>
    </row>
    <row r="805">
      <c r="B805" s="367"/>
      <c r="C805" s="208" t="b">
        <v>0</v>
      </c>
      <c r="D805" s="369" t="str">
        <f t="shared" si="5"/>
        <v/>
      </c>
      <c r="E805" s="368" t="s">
        <v>6537</v>
      </c>
      <c r="F805" s="208">
        <v>64.0</v>
      </c>
      <c r="G805" s="208" t="s">
        <v>6538</v>
      </c>
      <c r="H805" s="208"/>
    </row>
    <row r="806">
      <c r="B806" s="367"/>
      <c r="C806" s="208" t="b">
        <v>0</v>
      </c>
      <c r="D806" s="369" t="str">
        <f t="shared" si="5"/>
        <v/>
      </c>
      <c r="E806" s="368" t="s">
        <v>6539</v>
      </c>
      <c r="F806" s="208">
        <v>64.0</v>
      </c>
      <c r="G806" s="208" t="s">
        <v>6540</v>
      </c>
      <c r="H806" s="208"/>
    </row>
    <row r="807">
      <c r="B807" s="367"/>
      <c r="C807" s="208" t="b">
        <v>0</v>
      </c>
      <c r="D807" s="369" t="str">
        <f t="shared" si="5"/>
        <v/>
      </c>
      <c r="E807" s="368" t="s">
        <v>6541</v>
      </c>
      <c r="F807" s="208">
        <v>64.0</v>
      </c>
      <c r="G807" s="208" t="s">
        <v>1810</v>
      </c>
      <c r="H807" s="208"/>
    </row>
    <row r="808">
      <c r="B808" s="367"/>
      <c r="C808" s="208" t="b">
        <v>0</v>
      </c>
      <c r="D808" s="369" t="str">
        <f t="shared" si="5"/>
        <v/>
      </c>
      <c r="E808" s="368" t="s">
        <v>6542</v>
      </c>
      <c r="F808" s="208">
        <v>64.0</v>
      </c>
      <c r="G808" s="208" t="s">
        <v>6543</v>
      </c>
      <c r="H808" s="208"/>
    </row>
    <row r="809">
      <c r="B809" s="367"/>
      <c r="C809" s="208" t="b">
        <v>0</v>
      </c>
      <c r="D809" s="369" t="str">
        <f t="shared" si="5"/>
        <v/>
      </c>
      <c r="E809" s="368" t="s">
        <v>6544</v>
      </c>
      <c r="F809" s="208">
        <v>64.0</v>
      </c>
      <c r="G809" s="208" t="s">
        <v>6545</v>
      </c>
      <c r="H809" s="208"/>
    </row>
    <row r="810">
      <c r="B810" s="367"/>
      <c r="C810" s="208" t="b">
        <v>0</v>
      </c>
      <c r="D810" s="369" t="str">
        <f t="shared" si="5"/>
        <v/>
      </c>
      <c r="E810" s="368" t="s">
        <v>6546</v>
      </c>
      <c r="F810" s="208">
        <v>1.0</v>
      </c>
      <c r="G810" s="208" t="s">
        <v>6547</v>
      </c>
      <c r="H810" s="208"/>
    </row>
    <row r="811">
      <c r="B811" s="367"/>
      <c r="C811" s="208" t="b">
        <v>0</v>
      </c>
      <c r="D811" s="369" t="str">
        <f t="shared" si="5"/>
        <v/>
      </c>
      <c r="E811" s="368" t="s">
        <v>6548</v>
      </c>
      <c r="F811" s="208">
        <v>64.0</v>
      </c>
      <c r="G811" s="208" t="s">
        <v>6549</v>
      </c>
      <c r="H811" s="208"/>
    </row>
    <row r="812">
      <c r="B812" s="367"/>
      <c r="C812" s="208" t="b">
        <v>0</v>
      </c>
      <c r="D812" s="369" t="str">
        <f t="shared" si="5"/>
        <v/>
      </c>
      <c r="E812" s="368" t="s">
        <v>6550</v>
      </c>
      <c r="F812" s="208">
        <v>64.0</v>
      </c>
      <c r="G812" s="208" t="s">
        <v>6551</v>
      </c>
      <c r="H812" s="208"/>
    </row>
    <row r="813">
      <c r="B813" s="370"/>
      <c r="C813" s="208" t="b">
        <v>0</v>
      </c>
      <c r="D813" s="369" t="str">
        <f t="shared" si="5"/>
        <v/>
      </c>
      <c r="E813" s="368" t="s">
        <v>6552</v>
      </c>
      <c r="F813" s="208">
        <v>64.0</v>
      </c>
      <c r="G813" s="208" t="s">
        <v>6553</v>
      </c>
      <c r="H813" s="208"/>
    </row>
    <row r="814">
      <c r="B814" s="370"/>
      <c r="C814" s="208" t="b">
        <v>0</v>
      </c>
      <c r="D814" s="369" t="str">
        <f t="shared" si="5"/>
        <v/>
      </c>
      <c r="E814" s="368" t="s">
        <v>6554</v>
      </c>
      <c r="F814" s="208">
        <v>64.0</v>
      </c>
      <c r="G814" s="208" t="s">
        <v>6555</v>
      </c>
      <c r="H814" s="208"/>
    </row>
    <row r="815">
      <c r="B815" s="367"/>
      <c r="C815" s="208" t="b">
        <v>0</v>
      </c>
      <c r="D815" s="369" t="str">
        <f t="shared" si="5"/>
        <v/>
      </c>
      <c r="E815" s="368" t="s">
        <v>6556</v>
      </c>
      <c r="F815" s="208">
        <v>64.0</v>
      </c>
      <c r="G815" s="208" t="s">
        <v>6557</v>
      </c>
      <c r="H815" s="208"/>
    </row>
    <row r="816">
      <c r="B816" s="367"/>
      <c r="C816" s="208" t="b">
        <v>0</v>
      </c>
      <c r="D816" s="369" t="str">
        <f t="shared" si="5"/>
        <v/>
      </c>
      <c r="E816" s="368" t="s">
        <v>6558</v>
      </c>
      <c r="F816" s="208">
        <v>64.0</v>
      </c>
      <c r="G816" s="208" t="s">
        <v>3508</v>
      </c>
      <c r="H816" s="208"/>
    </row>
    <row r="817">
      <c r="B817" s="367" t="s">
        <v>1991</v>
      </c>
      <c r="C817" s="208" t="b">
        <v>0</v>
      </c>
      <c r="D817" s="369" t="str">
        <f t="shared" si="5"/>
        <v/>
      </c>
      <c r="E817" s="368" t="s">
        <v>6559</v>
      </c>
      <c r="F817" s="208">
        <v>64.0</v>
      </c>
      <c r="G817" s="208" t="s">
        <v>6560</v>
      </c>
      <c r="H817" s="208"/>
    </row>
    <row r="818">
      <c r="B818" s="367" t="s">
        <v>1991</v>
      </c>
      <c r="C818" s="208" t="b">
        <v>0</v>
      </c>
      <c r="D818" s="369" t="str">
        <f t="shared" si="5"/>
        <v/>
      </c>
      <c r="E818" s="368" t="s">
        <v>6561</v>
      </c>
      <c r="F818" s="208">
        <v>64.0</v>
      </c>
      <c r="G818" s="208" t="s">
        <v>2923</v>
      </c>
      <c r="H818" s="208"/>
    </row>
    <row r="819">
      <c r="B819" s="367" t="s">
        <v>2905</v>
      </c>
      <c r="C819" s="208" t="b">
        <v>0</v>
      </c>
      <c r="D819" s="369" t="str">
        <f t="shared" si="5"/>
        <v/>
      </c>
      <c r="E819" s="368" t="s">
        <v>6562</v>
      </c>
      <c r="F819" s="208">
        <v>1.0</v>
      </c>
      <c r="G819" s="208" t="s">
        <v>6563</v>
      </c>
      <c r="H819" s="208"/>
    </row>
    <row r="820">
      <c r="B820" s="367"/>
      <c r="C820" s="208" t="b">
        <v>0</v>
      </c>
      <c r="D820" s="369" t="str">
        <f t="shared" si="5"/>
        <v/>
      </c>
      <c r="E820" s="368" t="s">
        <v>6564</v>
      </c>
      <c r="F820" s="208">
        <v>64.0</v>
      </c>
      <c r="G820" s="208" t="s">
        <v>1105</v>
      </c>
      <c r="H820" s="208"/>
    </row>
    <row r="821">
      <c r="B821" s="367"/>
      <c r="C821" s="208" t="b">
        <v>0</v>
      </c>
      <c r="D821" s="369" t="str">
        <f t="shared" si="5"/>
        <v/>
      </c>
      <c r="E821" s="368" t="s">
        <v>6565</v>
      </c>
      <c r="F821" s="208">
        <v>64.0</v>
      </c>
      <c r="G821" s="208" t="s">
        <v>327</v>
      </c>
      <c r="H821" s="208"/>
    </row>
    <row r="822">
      <c r="B822" s="367" t="s">
        <v>1343</v>
      </c>
      <c r="C822" s="208" t="b">
        <v>0</v>
      </c>
      <c r="D822" s="369" t="str">
        <f t="shared" si="5"/>
        <v/>
      </c>
      <c r="E822" s="368" t="s">
        <v>6566</v>
      </c>
      <c r="F822" s="208">
        <v>64.0</v>
      </c>
      <c r="G822" s="208" t="s">
        <v>1542</v>
      </c>
      <c r="H822" s="208"/>
    </row>
    <row r="823">
      <c r="B823" s="367"/>
      <c r="C823" s="208" t="b">
        <v>0</v>
      </c>
      <c r="D823" s="369" t="str">
        <f t="shared" si="5"/>
        <v/>
      </c>
      <c r="E823" s="368" t="s">
        <v>6567</v>
      </c>
      <c r="F823" s="208">
        <v>64.0</v>
      </c>
      <c r="G823" s="208" t="s">
        <v>4832</v>
      </c>
      <c r="H823" s="208"/>
    </row>
    <row r="824">
      <c r="B824" s="367"/>
      <c r="C824" s="208" t="b">
        <v>0</v>
      </c>
      <c r="D824" s="369" t="str">
        <f t="shared" si="5"/>
        <v/>
      </c>
      <c r="E824" s="368" t="s">
        <v>6568</v>
      </c>
      <c r="F824" s="208">
        <v>64.0</v>
      </c>
      <c r="G824" s="208" t="s">
        <v>6569</v>
      </c>
      <c r="H824" s="208"/>
    </row>
    <row r="825">
      <c r="B825" s="367"/>
      <c r="C825" s="208" t="b">
        <v>0</v>
      </c>
      <c r="D825" s="369" t="str">
        <f t="shared" si="5"/>
        <v/>
      </c>
      <c r="E825" s="368" t="s">
        <v>6570</v>
      </c>
      <c r="F825" s="208">
        <v>64.0</v>
      </c>
      <c r="G825" s="208" t="s">
        <v>6571</v>
      </c>
      <c r="H825" s="208"/>
    </row>
    <row r="826">
      <c r="B826" s="367"/>
      <c r="C826" s="208" t="b">
        <v>0</v>
      </c>
      <c r="D826" s="369" t="str">
        <f t="shared" si="5"/>
        <v/>
      </c>
      <c r="E826" s="368" t="s">
        <v>6572</v>
      </c>
      <c r="F826" s="208">
        <v>64.0</v>
      </c>
      <c r="G826" s="208" t="s">
        <v>6573</v>
      </c>
      <c r="H826" s="208"/>
    </row>
    <row r="827">
      <c r="B827" s="367"/>
      <c r="C827" s="208" t="b">
        <v>0</v>
      </c>
      <c r="D827" s="369" t="str">
        <f t="shared" si="5"/>
        <v/>
      </c>
      <c r="E827" s="368" t="s">
        <v>6574</v>
      </c>
      <c r="F827" s="208">
        <v>64.0</v>
      </c>
      <c r="G827" s="208" t="s">
        <v>6575</v>
      </c>
      <c r="H827" s="208"/>
    </row>
    <row r="828">
      <c r="B828" s="367"/>
      <c r="C828" s="208" t="b">
        <v>0</v>
      </c>
      <c r="D828" s="369" t="str">
        <f t="shared" si="5"/>
        <v/>
      </c>
      <c r="E828" s="368" t="s">
        <v>6576</v>
      </c>
      <c r="F828" s="208">
        <v>64.0</v>
      </c>
      <c r="G828" s="208" t="s">
        <v>6577</v>
      </c>
      <c r="H828" s="208"/>
    </row>
    <row r="829">
      <c r="B829" s="367"/>
      <c r="C829" s="208" t="b">
        <v>0</v>
      </c>
      <c r="D829" s="369" t="str">
        <f t="shared" si="5"/>
        <v/>
      </c>
      <c r="E829" s="368" t="s">
        <v>6578</v>
      </c>
      <c r="F829" s="208">
        <v>64.0</v>
      </c>
      <c r="G829" s="208" t="s">
        <v>6579</v>
      </c>
      <c r="H829" s="208"/>
    </row>
    <row r="830">
      <c r="B830" s="367"/>
      <c r="C830" s="208" t="b">
        <v>0</v>
      </c>
      <c r="D830" s="369" t="str">
        <f t="shared" si="5"/>
        <v/>
      </c>
      <c r="E830" s="368" t="s">
        <v>6580</v>
      </c>
      <c r="F830" s="208">
        <v>64.0</v>
      </c>
      <c r="G830" s="208" t="s">
        <v>6581</v>
      </c>
      <c r="H830" s="208"/>
    </row>
    <row r="831">
      <c r="B831" s="367"/>
      <c r="C831" s="208" t="b">
        <v>0</v>
      </c>
      <c r="D831" s="369" t="str">
        <f t="shared" si="5"/>
        <v/>
      </c>
      <c r="E831" s="368" t="s">
        <v>6582</v>
      </c>
      <c r="F831" s="208">
        <v>64.0</v>
      </c>
      <c r="G831" s="208" t="s">
        <v>1252</v>
      </c>
      <c r="H831" s="208"/>
    </row>
    <row r="832">
      <c r="B832" s="367"/>
      <c r="C832" s="208" t="b">
        <v>0</v>
      </c>
      <c r="D832" s="369" t="str">
        <f t="shared" si="5"/>
        <v/>
      </c>
      <c r="E832" s="368" t="s">
        <v>6583</v>
      </c>
      <c r="F832" s="208">
        <v>64.0</v>
      </c>
      <c r="G832" s="208" t="s">
        <v>6584</v>
      </c>
      <c r="H832" s="208"/>
    </row>
    <row r="833">
      <c r="B833" s="367"/>
      <c r="C833" s="208" t="b">
        <v>0</v>
      </c>
      <c r="D833" s="369" t="str">
        <f t="shared" si="5"/>
        <v/>
      </c>
      <c r="E833" s="368" t="s">
        <v>6585</v>
      </c>
      <c r="F833" s="208">
        <v>64.0</v>
      </c>
      <c r="G833" s="208" t="s">
        <v>6586</v>
      </c>
      <c r="H833" s="208"/>
    </row>
    <row r="834">
      <c r="B834" s="367"/>
      <c r="C834" s="208" t="b">
        <v>0</v>
      </c>
      <c r="D834" s="369" t="str">
        <f t="shared" si="5"/>
        <v/>
      </c>
      <c r="E834" s="368" t="s">
        <v>6587</v>
      </c>
      <c r="F834" s="208">
        <v>64.0</v>
      </c>
      <c r="G834" s="208" t="s">
        <v>6588</v>
      </c>
      <c r="H834" s="208"/>
    </row>
    <row r="835">
      <c r="B835" s="367"/>
      <c r="C835" s="208" t="b">
        <v>0</v>
      </c>
      <c r="D835" s="369" t="str">
        <f t="shared" si="5"/>
        <v/>
      </c>
      <c r="E835" s="368" t="s">
        <v>6589</v>
      </c>
      <c r="F835" s="208">
        <v>64.0</v>
      </c>
      <c r="G835" s="208" t="s">
        <v>6590</v>
      </c>
      <c r="H835" s="208"/>
    </row>
    <row r="836">
      <c r="B836" s="367"/>
      <c r="C836" s="208" t="b">
        <v>0</v>
      </c>
      <c r="D836" s="369" t="str">
        <f t="shared" si="5"/>
        <v/>
      </c>
      <c r="E836" s="368" t="s">
        <v>6591</v>
      </c>
      <c r="F836" s="208">
        <v>64.0</v>
      </c>
      <c r="G836" s="208" t="s">
        <v>6592</v>
      </c>
      <c r="H836" s="208"/>
    </row>
    <row r="837">
      <c r="B837" s="367"/>
      <c r="C837" s="208" t="b">
        <v>0</v>
      </c>
      <c r="D837" s="369" t="str">
        <f t="shared" si="5"/>
        <v/>
      </c>
      <c r="E837" s="368" t="s">
        <v>6593</v>
      </c>
      <c r="F837" s="208">
        <v>64.0</v>
      </c>
      <c r="G837" s="208" t="s">
        <v>6594</v>
      </c>
      <c r="H837" s="208"/>
    </row>
    <row r="838">
      <c r="B838" s="367"/>
      <c r="C838" s="208" t="b">
        <v>0</v>
      </c>
      <c r="D838" s="369" t="str">
        <f t="shared" si="5"/>
        <v/>
      </c>
      <c r="E838" s="368" t="s">
        <v>6595</v>
      </c>
      <c r="F838" s="208">
        <v>64.0</v>
      </c>
      <c r="G838" s="208" t="s">
        <v>6596</v>
      </c>
      <c r="H838" s="208"/>
    </row>
    <row r="839">
      <c r="B839" s="367"/>
      <c r="C839" s="208" t="b">
        <v>0</v>
      </c>
      <c r="D839" s="369" t="str">
        <f t="shared" si="5"/>
        <v/>
      </c>
      <c r="E839" s="368" t="s">
        <v>6597</v>
      </c>
      <c r="F839" s="208">
        <v>64.0</v>
      </c>
      <c r="G839" s="208" t="s">
        <v>6598</v>
      </c>
      <c r="H839" s="208"/>
    </row>
    <row r="840">
      <c r="B840" s="367"/>
      <c r="C840" s="208" t="b">
        <v>0</v>
      </c>
      <c r="D840" s="369" t="str">
        <f t="shared" si="5"/>
        <v/>
      </c>
      <c r="E840" s="368" t="s">
        <v>6599</v>
      </c>
      <c r="F840" s="208">
        <v>64.0</v>
      </c>
      <c r="G840" s="208" t="s">
        <v>6600</v>
      </c>
      <c r="H840" s="208"/>
    </row>
    <row r="841">
      <c r="B841" s="367"/>
      <c r="C841" s="208" t="b">
        <v>0</v>
      </c>
      <c r="D841" s="369" t="str">
        <f t="shared" si="5"/>
        <v/>
      </c>
      <c r="E841" s="368" t="s">
        <v>6601</v>
      </c>
      <c r="F841" s="208">
        <v>64.0</v>
      </c>
      <c r="G841" s="208" t="s">
        <v>1196</v>
      </c>
      <c r="H841" s="208"/>
    </row>
    <row r="842">
      <c r="B842" s="367"/>
      <c r="C842" s="208" t="b">
        <v>0</v>
      </c>
      <c r="D842" s="369" t="str">
        <f t="shared" si="5"/>
        <v/>
      </c>
      <c r="E842" s="368" t="s">
        <v>6602</v>
      </c>
      <c r="F842" s="208">
        <v>64.0</v>
      </c>
      <c r="G842" s="208" t="s">
        <v>6603</v>
      </c>
      <c r="H842" s="208"/>
    </row>
    <row r="843">
      <c r="B843" s="367"/>
      <c r="C843" s="208" t="b">
        <v>0</v>
      </c>
      <c r="D843" s="369" t="str">
        <f t="shared" si="5"/>
        <v/>
      </c>
      <c r="E843" s="368" t="s">
        <v>6604</v>
      </c>
      <c r="F843" s="208">
        <v>64.0</v>
      </c>
      <c r="G843" s="208" t="s">
        <v>6605</v>
      </c>
      <c r="H843" s="208"/>
    </row>
    <row r="844">
      <c r="B844" s="367"/>
      <c r="C844" s="208" t="b">
        <v>0</v>
      </c>
      <c r="D844" s="369" t="str">
        <f t="shared" si="5"/>
        <v/>
      </c>
      <c r="E844" s="368" t="s">
        <v>6606</v>
      </c>
      <c r="F844" s="208">
        <v>64.0</v>
      </c>
      <c r="G844" s="208" t="s">
        <v>6607</v>
      </c>
      <c r="H844" s="208"/>
    </row>
    <row r="845">
      <c r="B845" s="367"/>
      <c r="C845" s="208" t="b">
        <v>0</v>
      </c>
      <c r="D845" s="369" t="str">
        <f t="shared" si="5"/>
        <v/>
      </c>
      <c r="E845" s="368" t="s">
        <v>6608</v>
      </c>
      <c r="F845" s="208">
        <v>64.0</v>
      </c>
      <c r="G845" s="208" t="s">
        <v>6609</v>
      </c>
      <c r="H845" s="208"/>
    </row>
    <row r="846">
      <c r="B846" s="367"/>
      <c r="C846" s="208" t="b">
        <v>0</v>
      </c>
      <c r="D846" s="369" t="str">
        <f t="shared" si="5"/>
        <v/>
      </c>
      <c r="E846" s="368" t="s">
        <v>6610</v>
      </c>
      <c r="F846" s="208">
        <v>64.0</v>
      </c>
      <c r="G846" s="208" t="s">
        <v>6611</v>
      </c>
      <c r="H846" s="208"/>
    </row>
    <row r="847">
      <c r="B847" s="370"/>
      <c r="C847" s="208" t="b">
        <v>0</v>
      </c>
      <c r="D847" s="369" t="str">
        <f t="shared" si="5"/>
        <v/>
      </c>
      <c r="E847" s="368" t="s">
        <v>6612</v>
      </c>
      <c r="F847" s="208">
        <v>64.0</v>
      </c>
      <c r="G847" s="208" t="s">
        <v>6613</v>
      </c>
      <c r="H847" s="208"/>
    </row>
    <row r="848">
      <c r="B848" s="370"/>
      <c r="C848" s="208" t="b">
        <v>0</v>
      </c>
      <c r="D848" s="369" t="str">
        <f t="shared" si="5"/>
        <v/>
      </c>
      <c r="E848" s="368" t="s">
        <v>6614</v>
      </c>
      <c r="F848" s="208">
        <v>64.0</v>
      </c>
      <c r="G848" s="208" t="s">
        <v>6615</v>
      </c>
      <c r="H848" s="208"/>
    </row>
    <row r="849">
      <c r="B849" s="370"/>
      <c r="C849" s="208" t="b">
        <v>0</v>
      </c>
      <c r="D849" s="369" t="str">
        <f t="shared" si="5"/>
        <v/>
      </c>
      <c r="E849" s="368" t="s">
        <v>6616</v>
      </c>
      <c r="F849" s="208">
        <v>64.0</v>
      </c>
      <c r="G849" s="208" t="s">
        <v>6617</v>
      </c>
      <c r="H849" s="208"/>
    </row>
    <row r="850">
      <c r="B850" s="370"/>
      <c r="C850" s="208" t="b">
        <v>0</v>
      </c>
      <c r="D850" s="369" t="str">
        <f t="shared" si="5"/>
        <v/>
      </c>
      <c r="E850" s="368" t="s">
        <v>6618</v>
      </c>
      <c r="F850" s="208">
        <v>64.0</v>
      </c>
      <c r="G850" s="208" t="s">
        <v>6619</v>
      </c>
      <c r="H850" s="208"/>
    </row>
    <row r="851">
      <c r="B851" s="367"/>
      <c r="C851" s="208" t="b">
        <v>0</v>
      </c>
      <c r="D851" s="369" t="str">
        <f t="shared" si="5"/>
        <v/>
      </c>
      <c r="E851" s="368" t="s">
        <v>6620</v>
      </c>
      <c r="F851" s="208">
        <v>64.0</v>
      </c>
      <c r="G851" s="208" t="s">
        <v>4716</v>
      </c>
      <c r="H851" s="208"/>
    </row>
    <row r="852">
      <c r="B852" s="370"/>
      <c r="C852" s="208" t="b">
        <v>0</v>
      </c>
      <c r="D852" s="369" t="str">
        <f t="shared" si="5"/>
        <v/>
      </c>
      <c r="E852" s="368" t="s">
        <v>6621</v>
      </c>
      <c r="F852" s="208">
        <v>64.0</v>
      </c>
      <c r="G852" s="208" t="s">
        <v>4962</v>
      </c>
      <c r="H852" s="208"/>
    </row>
    <row r="853">
      <c r="B853" s="367"/>
      <c r="C853" s="208" t="b">
        <v>0</v>
      </c>
      <c r="D853" s="369" t="str">
        <f t="shared" si="5"/>
        <v/>
      </c>
      <c r="E853" s="368" t="s">
        <v>6622</v>
      </c>
      <c r="F853" s="208">
        <v>64.0</v>
      </c>
      <c r="G853" s="208" t="s">
        <v>1592</v>
      </c>
      <c r="H853" s="208"/>
    </row>
    <row r="854">
      <c r="B854" s="367"/>
      <c r="C854" s="208" t="b">
        <v>0</v>
      </c>
      <c r="D854" s="369" t="str">
        <f t="shared" si="5"/>
        <v/>
      </c>
      <c r="E854" s="368" t="s">
        <v>6623</v>
      </c>
      <c r="F854" s="208">
        <v>64.0</v>
      </c>
      <c r="G854" s="208" t="s">
        <v>1538</v>
      </c>
      <c r="H854" s="208"/>
    </row>
    <row r="855">
      <c r="B855" s="367"/>
      <c r="C855" s="208" t="b">
        <v>0</v>
      </c>
      <c r="D855" s="369" t="str">
        <f t="shared" si="5"/>
        <v/>
      </c>
      <c r="E855" s="368" t="s">
        <v>6624</v>
      </c>
      <c r="F855" s="208">
        <v>1.0</v>
      </c>
      <c r="G855" s="208" t="s">
        <v>1996</v>
      </c>
      <c r="H855" s="208"/>
    </row>
    <row r="856">
      <c r="B856" s="367"/>
      <c r="C856" s="208" t="b">
        <v>0</v>
      </c>
      <c r="D856" s="369" t="str">
        <f t="shared" si="5"/>
        <v/>
      </c>
      <c r="E856" s="368" t="s">
        <v>6625</v>
      </c>
      <c r="F856" s="208">
        <v>1.0</v>
      </c>
      <c r="G856" s="208" t="s">
        <v>4290</v>
      </c>
      <c r="H856" s="208"/>
    </row>
    <row r="857">
      <c r="B857" s="367"/>
      <c r="C857" s="208" t="b">
        <v>0</v>
      </c>
      <c r="D857" s="369" t="str">
        <f t="shared" si="5"/>
        <v/>
      </c>
      <c r="E857" s="368" t="s">
        <v>6626</v>
      </c>
      <c r="F857" s="208">
        <v>64.0</v>
      </c>
      <c r="G857" s="208" t="s">
        <v>3573</v>
      </c>
      <c r="H857" s="208"/>
    </row>
    <row r="858">
      <c r="B858" s="370"/>
      <c r="C858" s="208" t="b">
        <v>0</v>
      </c>
      <c r="D858" s="369" t="str">
        <f t="shared" si="5"/>
        <v/>
      </c>
      <c r="E858" s="368" t="s">
        <v>6627</v>
      </c>
      <c r="F858" s="208">
        <v>64.0</v>
      </c>
      <c r="G858" s="208" t="s">
        <v>3256</v>
      </c>
      <c r="H858" s="208"/>
    </row>
    <row r="859">
      <c r="B859" s="370"/>
      <c r="C859" s="208" t="b">
        <v>0</v>
      </c>
      <c r="D859" s="369" t="str">
        <f t="shared" si="5"/>
        <v/>
      </c>
      <c r="E859" s="368" t="s">
        <v>6628</v>
      </c>
      <c r="F859" s="208">
        <v>64.0</v>
      </c>
      <c r="G859" s="208" t="s">
        <v>6629</v>
      </c>
      <c r="H859" s="208"/>
    </row>
    <row r="860">
      <c r="B860" s="370"/>
      <c r="C860" s="208" t="b">
        <v>0</v>
      </c>
      <c r="D860" s="369" t="str">
        <f t="shared" si="5"/>
        <v/>
      </c>
      <c r="E860" s="368" t="s">
        <v>6630</v>
      </c>
      <c r="F860" s="208">
        <v>64.0</v>
      </c>
      <c r="G860" s="208" t="s">
        <v>6631</v>
      </c>
      <c r="H860" s="208"/>
    </row>
    <row r="861">
      <c r="B861" s="370"/>
      <c r="C861" s="208" t="b">
        <v>0</v>
      </c>
      <c r="D861" s="369" t="str">
        <f t="shared" si="5"/>
        <v/>
      </c>
      <c r="E861" s="368" t="s">
        <v>6632</v>
      </c>
      <c r="F861" s="208">
        <v>64.0</v>
      </c>
      <c r="G861" s="208" t="s">
        <v>1242</v>
      </c>
      <c r="H861" s="208"/>
    </row>
    <row r="862">
      <c r="B862" s="370"/>
      <c r="C862" s="208" t="b">
        <v>0</v>
      </c>
      <c r="D862" s="369" t="str">
        <f t="shared" si="5"/>
        <v/>
      </c>
      <c r="E862" s="368" t="s">
        <v>6633</v>
      </c>
      <c r="F862" s="208">
        <v>64.0</v>
      </c>
      <c r="G862" s="208" t="s">
        <v>3274</v>
      </c>
      <c r="H862" s="208"/>
    </row>
    <row r="863">
      <c r="B863" s="370"/>
      <c r="C863" s="208" t="b">
        <v>0</v>
      </c>
      <c r="D863" s="369" t="str">
        <f t="shared" si="5"/>
        <v/>
      </c>
      <c r="E863" s="368" t="s">
        <v>6634</v>
      </c>
      <c r="F863" s="208">
        <v>64.0</v>
      </c>
      <c r="G863" s="208" t="s">
        <v>2156</v>
      </c>
      <c r="H863" s="208"/>
    </row>
    <row r="864">
      <c r="B864" s="370"/>
      <c r="C864" s="208" t="b">
        <v>0</v>
      </c>
      <c r="D864" s="369" t="str">
        <f t="shared" si="5"/>
        <v/>
      </c>
      <c r="E864" s="368" t="s">
        <v>6635</v>
      </c>
      <c r="F864" s="208">
        <v>64.0</v>
      </c>
      <c r="G864" s="208" t="s">
        <v>6636</v>
      </c>
      <c r="H864" s="208"/>
    </row>
    <row r="865">
      <c r="B865" s="370"/>
      <c r="C865" s="208" t="b">
        <v>0</v>
      </c>
      <c r="D865" s="369" t="str">
        <f t="shared" si="5"/>
        <v/>
      </c>
      <c r="E865" s="368" t="s">
        <v>6637</v>
      </c>
      <c r="F865" s="208">
        <v>64.0</v>
      </c>
      <c r="G865" s="208" t="s">
        <v>6638</v>
      </c>
      <c r="H865" s="208"/>
    </row>
    <row r="866">
      <c r="B866" s="370"/>
      <c r="C866" s="208" t="b">
        <v>0</v>
      </c>
      <c r="D866" s="369" t="str">
        <f t="shared" si="5"/>
        <v/>
      </c>
      <c r="E866" s="368" t="s">
        <v>6639</v>
      </c>
      <c r="F866" s="208">
        <v>64.0</v>
      </c>
      <c r="G866" s="208" t="s">
        <v>6640</v>
      </c>
      <c r="H866" s="208"/>
    </row>
    <row r="867">
      <c r="B867" s="367" t="s">
        <v>2905</v>
      </c>
      <c r="C867" s="208" t="b">
        <v>0</v>
      </c>
      <c r="D867" s="369" t="str">
        <f t="shared" si="5"/>
        <v/>
      </c>
      <c r="E867" s="368" t="s">
        <v>6641</v>
      </c>
      <c r="F867" s="208">
        <v>1.0</v>
      </c>
      <c r="G867" s="208" t="s">
        <v>2908</v>
      </c>
      <c r="H867" s="208"/>
    </row>
    <row r="868">
      <c r="B868" s="367" t="s">
        <v>5518</v>
      </c>
      <c r="C868" s="208" t="b">
        <v>0</v>
      </c>
      <c r="D868" s="369" t="str">
        <f t="shared" si="5"/>
        <v/>
      </c>
      <c r="E868" s="368" t="s">
        <v>6642</v>
      </c>
      <c r="F868" s="208">
        <v>64.0</v>
      </c>
      <c r="G868" s="208" t="s">
        <v>2205</v>
      </c>
      <c r="H868" s="208"/>
    </row>
    <row r="869">
      <c r="B869" s="367" t="s">
        <v>5518</v>
      </c>
      <c r="C869" s="208" t="b">
        <v>0</v>
      </c>
      <c r="D869" s="369" t="str">
        <f t="shared" si="5"/>
        <v/>
      </c>
      <c r="E869" s="368" t="s">
        <v>6643</v>
      </c>
      <c r="F869" s="208">
        <v>1.0</v>
      </c>
      <c r="G869" s="208" t="s">
        <v>2131</v>
      </c>
      <c r="H869" s="208"/>
    </row>
    <row r="870">
      <c r="B870" s="367"/>
      <c r="C870" s="208" t="b">
        <v>0</v>
      </c>
      <c r="D870" s="369" t="str">
        <f t="shared" si="5"/>
        <v/>
      </c>
      <c r="E870" s="368" t="s">
        <v>6644</v>
      </c>
      <c r="F870" s="208">
        <v>64.0</v>
      </c>
      <c r="G870" s="208" t="s">
        <v>1498</v>
      </c>
      <c r="H870" s="208"/>
    </row>
    <row r="871">
      <c r="B871" s="367"/>
      <c r="C871" s="208" t="b">
        <v>0</v>
      </c>
      <c r="D871" s="369" t="str">
        <f t="shared" si="5"/>
        <v/>
      </c>
      <c r="E871" s="368" t="s">
        <v>6645</v>
      </c>
      <c r="F871" s="208">
        <v>64.0</v>
      </c>
      <c r="G871" s="208" t="s">
        <v>1504</v>
      </c>
      <c r="H871" s="208"/>
    </row>
    <row r="872">
      <c r="B872" s="367"/>
      <c r="C872" s="208" t="b">
        <v>0</v>
      </c>
      <c r="D872" s="369" t="str">
        <f t="shared" si="5"/>
        <v/>
      </c>
      <c r="E872" s="368" t="s">
        <v>6646</v>
      </c>
      <c r="F872" s="208">
        <v>64.0</v>
      </c>
      <c r="G872" s="208" t="s">
        <v>6647</v>
      </c>
      <c r="H872" s="208"/>
    </row>
    <row r="873">
      <c r="B873" s="367"/>
      <c r="C873" s="208" t="b">
        <v>0</v>
      </c>
      <c r="D873" s="369" t="str">
        <f t="shared" si="5"/>
        <v/>
      </c>
      <c r="E873" s="368" t="s">
        <v>6648</v>
      </c>
      <c r="F873" s="208">
        <v>16.0</v>
      </c>
      <c r="G873" s="208" t="s">
        <v>1989</v>
      </c>
      <c r="H873" s="208"/>
    </row>
    <row r="874">
      <c r="B874" s="367"/>
      <c r="C874" s="208" t="b">
        <v>0</v>
      </c>
      <c r="D874" s="369" t="str">
        <f t="shared" si="5"/>
        <v/>
      </c>
      <c r="E874" s="368" t="s">
        <v>6649</v>
      </c>
      <c r="F874" s="208">
        <v>1.0</v>
      </c>
      <c r="G874" s="208" t="s">
        <v>6650</v>
      </c>
      <c r="H874" s="208"/>
    </row>
    <row r="875">
      <c r="B875" s="367"/>
      <c r="C875" s="208" t="b">
        <v>0</v>
      </c>
      <c r="D875" s="369" t="str">
        <f t="shared" si="5"/>
        <v/>
      </c>
      <c r="E875" s="368" t="s">
        <v>6651</v>
      </c>
      <c r="F875" s="208">
        <v>64.0</v>
      </c>
      <c r="G875" s="208" t="s">
        <v>6652</v>
      </c>
      <c r="H875" s="208"/>
    </row>
    <row r="876">
      <c r="B876" s="367"/>
      <c r="C876" s="208" t="b">
        <v>0</v>
      </c>
      <c r="D876" s="369" t="str">
        <f t="shared" si="5"/>
        <v/>
      </c>
      <c r="E876" s="368" t="s">
        <v>6653</v>
      </c>
      <c r="F876" s="208">
        <v>64.0</v>
      </c>
      <c r="G876" s="208" t="s">
        <v>6654</v>
      </c>
      <c r="H876" s="208"/>
    </row>
    <row r="877">
      <c r="B877" s="367"/>
      <c r="C877" s="208" t="b">
        <v>0</v>
      </c>
      <c r="D877" s="369" t="str">
        <f t="shared" si="5"/>
        <v/>
      </c>
      <c r="E877" s="368" t="s">
        <v>6655</v>
      </c>
      <c r="F877" s="208">
        <v>64.0</v>
      </c>
      <c r="G877" s="208" t="s">
        <v>6656</v>
      </c>
      <c r="H877" s="208"/>
    </row>
    <row r="878">
      <c r="B878" s="367"/>
      <c r="C878" s="208" t="b">
        <v>0</v>
      </c>
      <c r="D878" s="369" t="str">
        <f t="shared" si="5"/>
        <v/>
      </c>
      <c r="E878" s="368" t="s">
        <v>6657</v>
      </c>
      <c r="F878" s="208">
        <v>64.0</v>
      </c>
      <c r="G878" s="208" t="s">
        <v>6658</v>
      </c>
      <c r="H878" s="208"/>
    </row>
    <row r="879">
      <c r="B879" s="367"/>
      <c r="C879" s="208" t="b">
        <v>0</v>
      </c>
      <c r="D879" s="369" t="str">
        <f t="shared" si="5"/>
        <v/>
      </c>
      <c r="E879" s="368" t="s">
        <v>6659</v>
      </c>
      <c r="F879" s="208">
        <v>64.0</v>
      </c>
      <c r="G879" s="208" t="s">
        <v>2454</v>
      </c>
      <c r="H879" s="208"/>
    </row>
    <row r="880">
      <c r="B880" s="367"/>
      <c r="C880" s="208" t="b">
        <v>0</v>
      </c>
      <c r="D880" s="369" t="str">
        <f t="shared" si="5"/>
        <v/>
      </c>
      <c r="E880" s="368" t="s">
        <v>6660</v>
      </c>
      <c r="F880" s="208">
        <v>64.0</v>
      </c>
      <c r="G880" s="208" t="s">
        <v>6661</v>
      </c>
      <c r="H880" s="208"/>
    </row>
    <row r="881">
      <c r="B881" s="367"/>
      <c r="C881" s="208" t="b">
        <v>0</v>
      </c>
      <c r="D881" s="369" t="str">
        <f t="shared" si="5"/>
        <v/>
      </c>
      <c r="E881" s="368" t="s">
        <v>6662</v>
      </c>
      <c r="F881" s="208">
        <v>1.0</v>
      </c>
      <c r="G881" s="208" t="s">
        <v>4758</v>
      </c>
      <c r="H881" s="208"/>
    </row>
    <row r="882">
      <c r="B882" s="367"/>
      <c r="C882" s="208" t="b">
        <v>0</v>
      </c>
      <c r="D882" s="369" t="str">
        <f t="shared" si="5"/>
        <v/>
      </c>
      <c r="E882" s="368" t="s">
        <v>6663</v>
      </c>
      <c r="F882" s="208">
        <v>64.0</v>
      </c>
      <c r="G882" s="208" t="s">
        <v>6664</v>
      </c>
      <c r="H882" s="208"/>
    </row>
    <row r="883">
      <c r="B883" s="367"/>
      <c r="C883" s="208" t="b">
        <v>0</v>
      </c>
      <c r="D883" s="369" t="str">
        <f t="shared" si="5"/>
        <v/>
      </c>
      <c r="E883" s="368" t="s">
        <v>6665</v>
      </c>
      <c r="F883" s="208">
        <v>64.0</v>
      </c>
      <c r="G883" s="208" t="s">
        <v>6666</v>
      </c>
      <c r="H883" s="208"/>
    </row>
    <row r="884">
      <c r="B884" s="370"/>
      <c r="C884" s="208" t="b">
        <v>0</v>
      </c>
      <c r="D884" s="369" t="str">
        <f t="shared" si="5"/>
        <v/>
      </c>
      <c r="E884" s="368" t="s">
        <v>6667</v>
      </c>
      <c r="F884" s="208">
        <v>64.0</v>
      </c>
      <c r="G884" s="208" t="s">
        <v>6668</v>
      </c>
      <c r="H884" s="208"/>
    </row>
    <row r="885">
      <c r="B885" s="367"/>
      <c r="C885" s="208" t="b">
        <v>0</v>
      </c>
      <c r="D885" s="369" t="str">
        <f t="shared" si="5"/>
        <v/>
      </c>
      <c r="E885" s="368" t="s">
        <v>6669</v>
      </c>
      <c r="F885" s="208">
        <v>64.0</v>
      </c>
      <c r="G885" s="208" t="s">
        <v>6670</v>
      </c>
      <c r="H885" s="208"/>
    </row>
    <row r="886">
      <c r="B886" s="367" t="s">
        <v>5645</v>
      </c>
      <c r="C886" s="208" t="b">
        <v>0</v>
      </c>
      <c r="D886" s="369" t="str">
        <f t="shared" si="5"/>
        <v/>
      </c>
      <c r="E886" s="368" t="s">
        <v>6671</v>
      </c>
      <c r="F886" s="208">
        <v>64.0</v>
      </c>
      <c r="G886" s="208" t="s">
        <v>4748</v>
      </c>
      <c r="H886" s="208"/>
    </row>
    <row r="887">
      <c r="B887" s="367" t="s">
        <v>5645</v>
      </c>
      <c r="C887" s="208" t="b">
        <v>0</v>
      </c>
      <c r="D887" s="369" t="str">
        <f t="shared" si="5"/>
        <v/>
      </c>
      <c r="E887" s="368" t="s">
        <v>6672</v>
      </c>
      <c r="F887" s="208">
        <v>64.0</v>
      </c>
      <c r="G887" s="208" t="s">
        <v>4711</v>
      </c>
      <c r="H887" s="208"/>
    </row>
    <row r="888">
      <c r="B888" s="367" t="s">
        <v>5645</v>
      </c>
      <c r="C888" s="208" t="b">
        <v>0</v>
      </c>
      <c r="D888" s="369" t="str">
        <f t="shared" si="5"/>
        <v/>
      </c>
      <c r="E888" s="368" t="s">
        <v>6673</v>
      </c>
      <c r="F888" s="208">
        <v>64.0</v>
      </c>
      <c r="G888" s="208" t="s">
        <v>6674</v>
      </c>
      <c r="H888" s="208"/>
    </row>
    <row r="889">
      <c r="B889" s="367" t="s">
        <v>5645</v>
      </c>
      <c r="C889" s="208" t="b">
        <v>0</v>
      </c>
      <c r="D889" s="369" t="str">
        <f t="shared" si="5"/>
        <v/>
      </c>
      <c r="E889" s="368" t="s">
        <v>6675</v>
      </c>
      <c r="F889" s="208">
        <v>64.0</v>
      </c>
      <c r="G889" s="208" t="s">
        <v>6676</v>
      </c>
      <c r="H889" s="208"/>
    </row>
    <row r="890">
      <c r="B890" s="367"/>
      <c r="C890" s="208" t="b">
        <v>0</v>
      </c>
      <c r="D890" s="369" t="str">
        <f t="shared" si="5"/>
        <v/>
      </c>
      <c r="E890" s="368" t="s">
        <v>6677</v>
      </c>
      <c r="F890" s="208">
        <v>64.0</v>
      </c>
      <c r="G890" s="208" t="s">
        <v>3430</v>
      </c>
      <c r="H890" s="208"/>
    </row>
    <row r="891">
      <c r="B891" s="367"/>
      <c r="C891" s="208" t="b">
        <v>0</v>
      </c>
      <c r="D891" s="369" t="str">
        <f t="shared" si="5"/>
        <v/>
      </c>
      <c r="E891" s="368" t="s">
        <v>6678</v>
      </c>
      <c r="F891" s="208">
        <v>64.0</v>
      </c>
      <c r="G891" s="208" t="s">
        <v>3455</v>
      </c>
      <c r="H891" s="208"/>
    </row>
    <row r="892">
      <c r="B892" s="367"/>
      <c r="C892" s="208" t="b">
        <v>0</v>
      </c>
      <c r="D892" s="369" t="str">
        <f t="shared" si="5"/>
        <v/>
      </c>
      <c r="E892" s="368" t="s">
        <v>6679</v>
      </c>
      <c r="F892" s="208">
        <v>64.0</v>
      </c>
      <c r="G892" s="208" t="s">
        <v>6680</v>
      </c>
      <c r="H892" s="208"/>
    </row>
    <row r="893">
      <c r="B893" s="367"/>
      <c r="C893" s="208" t="b">
        <v>0</v>
      </c>
      <c r="D893" s="369" t="str">
        <f t="shared" si="5"/>
        <v/>
      </c>
      <c r="E893" s="368" t="s">
        <v>6681</v>
      </c>
      <c r="F893" s="208">
        <v>64.0</v>
      </c>
      <c r="G893" s="208" t="s">
        <v>6682</v>
      </c>
      <c r="H893" s="208"/>
    </row>
    <row r="894">
      <c r="B894" s="367"/>
      <c r="C894" s="208" t="b">
        <v>0</v>
      </c>
      <c r="D894" s="369" t="str">
        <f t="shared" si="5"/>
        <v/>
      </c>
      <c r="E894" s="368" t="s">
        <v>6683</v>
      </c>
      <c r="F894" s="208">
        <v>64.0</v>
      </c>
      <c r="G894" s="208" t="s">
        <v>6684</v>
      </c>
      <c r="H894" s="208"/>
    </row>
    <row r="895">
      <c r="B895" s="367"/>
      <c r="C895" s="208" t="b">
        <v>0</v>
      </c>
      <c r="D895" s="369" t="str">
        <f t="shared" si="5"/>
        <v/>
      </c>
      <c r="E895" s="368" t="s">
        <v>6685</v>
      </c>
      <c r="F895" s="208">
        <v>64.0</v>
      </c>
      <c r="G895" s="208" t="s">
        <v>6686</v>
      </c>
      <c r="H895" s="208"/>
    </row>
    <row r="896">
      <c r="B896" s="367" t="s">
        <v>1991</v>
      </c>
      <c r="C896" s="208" t="b">
        <v>0</v>
      </c>
      <c r="D896" s="369" t="str">
        <f t="shared" si="5"/>
        <v/>
      </c>
      <c r="E896" s="368" t="s">
        <v>6687</v>
      </c>
      <c r="F896" s="208">
        <v>64.0</v>
      </c>
      <c r="G896" s="208" t="s">
        <v>916</v>
      </c>
      <c r="H896" s="208"/>
    </row>
    <row r="897">
      <c r="B897" s="367" t="s">
        <v>1991</v>
      </c>
      <c r="C897" s="208" t="b">
        <v>0</v>
      </c>
      <c r="D897" s="369" t="str">
        <f t="shared" si="5"/>
        <v/>
      </c>
      <c r="E897" s="368" t="s">
        <v>6688</v>
      </c>
      <c r="F897" s="208">
        <v>64.0</v>
      </c>
      <c r="G897" s="208" t="s">
        <v>1647</v>
      </c>
      <c r="H897" s="208"/>
    </row>
    <row r="898">
      <c r="B898" s="367" t="s">
        <v>1991</v>
      </c>
      <c r="C898" s="208" t="b">
        <v>0</v>
      </c>
      <c r="D898" s="369" t="str">
        <f t="shared" si="5"/>
        <v/>
      </c>
      <c r="E898" s="368" t="s">
        <v>6689</v>
      </c>
      <c r="F898" s="208">
        <v>64.0</v>
      </c>
      <c r="G898" s="208" t="s">
        <v>1666</v>
      </c>
      <c r="H898" s="208"/>
    </row>
    <row r="899">
      <c r="B899" s="367"/>
      <c r="C899" s="208" t="b">
        <v>0</v>
      </c>
      <c r="D899" s="369" t="str">
        <f t="shared" si="5"/>
        <v/>
      </c>
      <c r="E899" s="368" t="s">
        <v>6690</v>
      </c>
      <c r="F899" s="208">
        <v>1.0</v>
      </c>
      <c r="G899" s="208" t="s">
        <v>1600</v>
      </c>
      <c r="H899" s="208"/>
    </row>
    <row r="900">
      <c r="B900" s="367"/>
      <c r="C900" s="208" t="b">
        <v>0</v>
      </c>
      <c r="D900" s="369" t="str">
        <f t="shared" si="5"/>
        <v/>
      </c>
      <c r="E900" s="368" t="s">
        <v>6691</v>
      </c>
      <c r="F900" s="208">
        <v>64.0</v>
      </c>
      <c r="G900" s="208" t="s">
        <v>3584</v>
      </c>
      <c r="H900" s="208"/>
    </row>
    <row r="901">
      <c r="B901" s="372" t="s">
        <v>2905</v>
      </c>
      <c r="C901" s="208" t="b">
        <v>0</v>
      </c>
      <c r="D901" s="369" t="str">
        <f>image(CONCATENATE("https://nerothe.com/img/1.21/minecraft_",G901,"_smithing_template.png"))</f>
        <v/>
      </c>
      <c r="E901" s="368" t="s">
        <v>6692</v>
      </c>
      <c r="F901" s="208">
        <v>1.0</v>
      </c>
      <c r="G901" s="208" t="s">
        <v>6693</v>
      </c>
      <c r="H901" s="208"/>
    </row>
    <row r="902">
      <c r="B902" s="367"/>
      <c r="C902" s="208" t="b">
        <v>0</v>
      </c>
      <c r="D902" s="369" t="str">
        <f t="shared" ref="D902:D940" si="6">image(CONCATENATE("https://nerothe.com/img/1.21/minecraft_",G902,".png"))</f>
        <v/>
      </c>
      <c r="E902" s="368" t="s">
        <v>6694</v>
      </c>
      <c r="F902" s="208">
        <v>64.0</v>
      </c>
      <c r="G902" s="208" t="s">
        <v>467</v>
      </c>
      <c r="H902" s="208"/>
    </row>
    <row r="903">
      <c r="B903" s="367" t="s">
        <v>5110</v>
      </c>
      <c r="C903" s="208" t="b">
        <v>0</v>
      </c>
      <c r="D903" s="369" t="str">
        <f t="shared" si="6"/>
        <v/>
      </c>
      <c r="E903" s="368" t="s">
        <v>6695</v>
      </c>
      <c r="F903" s="208">
        <v>64.0</v>
      </c>
      <c r="G903" s="208" t="s">
        <v>716</v>
      </c>
      <c r="H903" s="208"/>
    </row>
    <row r="904">
      <c r="B904" s="367"/>
      <c r="C904" s="208" t="b">
        <v>0</v>
      </c>
      <c r="D904" s="369" t="str">
        <f t="shared" si="6"/>
        <v/>
      </c>
      <c r="E904" s="368" t="s">
        <v>6696</v>
      </c>
      <c r="F904" s="208">
        <v>64.0</v>
      </c>
      <c r="G904" s="208" t="s">
        <v>572</v>
      </c>
      <c r="H904" s="208"/>
    </row>
    <row r="905">
      <c r="B905" s="367" t="s">
        <v>5110</v>
      </c>
      <c r="C905" s="208" t="b">
        <v>0</v>
      </c>
      <c r="D905" s="369" t="str">
        <f t="shared" si="6"/>
        <v/>
      </c>
      <c r="E905" s="368" t="s">
        <v>6697</v>
      </c>
      <c r="F905" s="208">
        <v>64.0</v>
      </c>
      <c r="G905" s="208" t="s">
        <v>706</v>
      </c>
      <c r="H905" s="208"/>
    </row>
    <row r="906">
      <c r="B906" s="370"/>
      <c r="C906" s="208" t="b">
        <v>0</v>
      </c>
      <c r="D906" s="369" t="str">
        <f t="shared" si="6"/>
        <v/>
      </c>
      <c r="E906" s="368" t="s">
        <v>6698</v>
      </c>
      <c r="F906" s="208">
        <v>64.0</v>
      </c>
      <c r="G906" s="208" t="s">
        <v>546</v>
      </c>
      <c r="H906" s="208"/>
    </row>
    <row r="907">
      <c r="B907" s="367" t="s">
        <v>5110</v>
      </c>
      <c r="C907" s="208" t="b">
        <v>0</v>
      </c>
      <c r="D907" s="369" t="str">
        <f t="shared" si="6"/>
        <v/>
      </c>
      <c r="E907" s="368" t="s">
        <v>6699</v>
      </c>
      <c r="F907" s="208">
        <v>64.0</v>
      </c>
      <c r="G907" s="208" t="s">
        <v>6700</v>
      </c>
      <c r="H907" s="208"/>
    </row>
    <row r="908">
      <c r="B908" s="367" t="s">
        <v>117</v>
      </c>
      <c r="C908" s="208" t="b">
        <v>0</v>
      </c>
      <c r="D908" s="369" t="str">
        <f t="shared" si="6"/>
        <v/>
      </c>
      <c r="E908" s="368" t="s">
        <v>6701</v>
      </c>
      <c r="F908" s="208">
        <v>1.0</v>
      </c>
      <c r="G908" s="208" t="s">
        <v>391</v>
      </c>
      <c r="H908" s="208"/>
    </row>
    <row r="909">
      <c r="B909" s="367"/>
      <c r="C909" s="208" t="b">
        <v>0</v>
      </c>
      <c r="D909" s="369" t="str">
        <f t="shared" si="6"/>
        <v/>
      </c>
      <c r="E909" s="368" t="s">
        <v>6702</v>
      </c>
      <c r="F909" s="208">
        <v>16.0</v>
      </c>
      <c r="G909" s="208" t="s">
        <v>3046</v>
      </c>
      <c r="H909" s="208"/>
    </row>
    <row r="910">
      <c r="B910" s="367"/>
      <c r="C910" s="208" t="b">
        <v>0</v>
      </c>
      <c r="D910" s="369" t="str">
        <f t="shared" si="6"/>
        <v/>
      </c>
      <c r="E910" s="368" t="s">
        <v>6703</v>
      </c>
      <c r="F910" s="208">
        <v>1.0</v>
      </c>
      <c r="G910" s="208" t="s">
        <v>782</v>
      </c>
      <c r="H910" s="208"/>
    </row>
    <row r="911">
      <c r="B911" s="367"/>
      <c r="C911" s="208" t="b">
        <v>0</v>
      </c>
      <c r="D911" s="369" t="str">
        <f t="shared" si="6"/>
        <v/>
      </c>
      <c r="E911" s="368" t="s">
        <v>6704</v>
      </c>
      <c r="F911" s="208">
        <v>64.0</v>
      </c>
      <c r="G911" s="208" t="s">
        <v>6705</v>
      </c>
      <c r="H911" s="208"/>
    </row>
    <row r="912">
      <c r="B912" s="367"/>
      <c r="C912" s="208" t="b">
        <v>0</v>
      </c>
      <c r="D912" s="369" t="str">
        <f t="shared" si="6"/>
        <v/>
      </c>
      <c r="E912" s="368" t="s">
        <v>6706</v>
      </c>
      <c r="F912" s="208">
        <v>64.0</v>
      </c>
      <c r="G912" s="208" t="s">
        <v>6707</v>
      </c>
      <c r="H912" s="208"/>
    </row>
    <row r="913">
      <c r="B913" s="367"/>
      <c r="C913" s="208" t="b">
        <v>0</v>
      </c>
      <c r="D913" s="369" t="str">
        <f t="shared" si="6"/>
        <v/>
      </c>
      <c r="E913" s="368" t="s">
        <v>6708</v>
      </c>
      <c r="F913" s="208">
        <v>64.0</v>
      </c>
      <c r="G913" s="208" t="s">
        <v>6709</v>
      </c>
      <c r="H913" s="208"/>
    </row>
    <row r="914">
      <c r="B914" s="367"/>
      <c r="C914" s="208" t="b">
        <v>0</v>
      </c>
      <c r="D914" s="369" t="str">
        <f t="shared" si="6"/>
        <v/>
      </c>
      <c r="E914" s="368" t="s">
        <v>6710</v>
      </c>
      <c r="F914" s="208">
        <v>64.0</v>
      </c>
      <c r="G914" s="208" t="s">
        <v>6711</v>
      </c>
      <c r="H914" s="208"/>
    </row>
    <row r="915">
      <c r="B915" s="367"/>
      <c r="C915" s="208" t="b">
        <v>0</v>
      </c>
      <c r="D915" s="369" t="str">
        <f t="shared" si="6"/>
        <v/>
      </c>
      <c r="E915" s="368" t="s">
        <v>6712</v>
      </c>
      <c r="F915" s="208">
        <v>64.0</v>
      </c>
      <c r="G915" s="208" t="s">
        <v>6713</v>
      </c>
      <c r="H915" s="208"/>
    </row>
    <row r="916">
      <c r="B916" s="367"/>
      <c r="C916" s="208" t="b">
        <v>0</v>
      </c>
      <c r="D916" s="369" t="str">
        <f t="shared" si="6"/>
        <v/>
      </c>
      <c r="E916" s="368" t="s">
        <v>6714</v>
      </c>
      <c r="F916" s="208">
        <v>64.0</v>
      </c>
      <c r="G916" s="208" t="s">
        <v>4375</v>
      </c>
      <c r="H916" s="208"/>
    </row>
    <row r="917">
      <c r="B917" s="367"/>
      <c r="C917" s="208" t="b">
        <v>0</v>
      </c>
      <c r="D917" s="369" t="str">
        <f t="shared" si="6"/>
        <v/>
      </c>
      <c r="E917" s="368" t="s">
        <v>6715</v>
      </c>
      <c r="F917" s="208">
        <v>64.0</v>
      </c>
      <c r="G917" s="208" t="s">
        <v>1368</v>
      </c>
      <c r="H917" s="208"/>
    </row>
    <row r="918">
      <c r="B918" s="367"/>
      <c r="C918" s="208" t="b">
        <v>0</v>
      </c>
      <c r="D918" s="369" t="str">
        <f t="shared" si="6"/>
        <v/>
      </c>
      <c r="E918" s="368" t="s">
        <v>6716</v>
      </c>
      <c r="F918" s="208">
        <v>64.0</v>
      </c>
      <c r="G918" s="208" t="s">
        <v>1379</v>
      </c>
      <c r="H918" s="208"/>
    </row>
    <row r="919">
      <c r="B919" s="367"/>
      <c r="C919" s="208" t="b">
        <v>0</v>
      </c>
      <c r="D919" s="369" t="str">
        <f t="shared" si="6"/>
        <v/>
      </c>
      <c r="E919" s="368" t="s">
        <v>6717</v>
      </c>
      <c r="F919" s="208">
        <v>64.0</v>
      </c>
      <c r="G919" s="208" t="s">
        <v>6718</v>
      </c>
      <c r="H919" s="208"/>
    </row>
    <row r="920">
      <c r="B920" s="367"/>
      <c r="C920" s="208" t="b">
        <v>0</v>
      </c>
      <c r="D920" s="369" t="str">
        <f t="shared" si="6"/>
        <v/>
      </c>
      <c r="E920" s="368" t="s">
        <v>6719</v>
      </c>
      <c r="F920" s="208">
        <v>64.0</v>
      </c>
      <c r="G920" s="208" t="s">
        <v>6720</v>
      </c>
      <c r="H920" s="208"/>
    </row>
    <row r="921">
      <c r="B921" s="367"/>
      <c r="C921" s="208" t="b">
        <v>0</v>
      </c>
      <c r="D921" s="369" t="str">
        <f t="shared" si="6"/>
        <v/>
      </c>
      <c r="E921" s="368" t="s">
        <v>6721</v>
      </c>
      <c r="F921" s="208">
        <v>64.0</v>
      </c>
      <c r="G921" s="208" t="s">
        <v>6722</v>
      </c>
      <c r="H921" s="208"/>
    </row>
    <row r="922">
      <c r="B922" s="367"/>
      <c r="C922" s="208" t="b">
        <v>0</v>
      </c>
      <c r="D922" s="369" t="str">
        <f t="shared" si="6"/>
        <v/>
      </c>
      <c r="E922" s="368" t="s">
        <v>6723</v>
      </c>
      <c r="F922" s="208">
        <v>64.0</v>
      </c>
      <c r="G922" s="208" t="s">
        <v>1230</v>
      </c>
      <c r="H922" s="208"/>
    </row>
    <row r="923">
      <c r="B923" s="367"/>
      <c r="C923" s="208" t="b">
        <v>0</v>
      </c>
      <c r="D923" s="369" t="str">
        <f t="shared" si="6"/>
        <v/>
      </c>
      <c r="E923" s="368" t="s">
        <v>6724</v>
      </c>
      <c r="F923" s="208">
        <v>64.0</v>
      </c>
      <c r="G923" s="208" t="s">
        <v>2478</v>
      </c>
      <c r="H923" s="208"/>
    </row>
    <row r="924">
      <c r="B924" s="367"/>
      <c r="C924" s="208" t="b">
        <v>0</v>
      </c>
      <c r="D924" s="369" t="str">
        <f t="shared" si="6"/>
        <v/>
      </c>
      <c r="E924" s="368" t="s">
        <v>6725</v>
      </c>
      <c r="F924" s="208">
        <v>64.0</v>
      </c>
      <c r="G924" s="208" t="s">
        <v>6726</v>
      </c>
      <c r="H924" s="208"/>
    </row>
    <row r="925">
      <c r="B925" s="367"/>
      <c r="C925" s="208" t="b">
        <v>0</v>
      </c>
      <c r="D925" s="369" t="str">
        <f t="shared" si="6"/>
        <v/>
      </c>
      <c r="E925" s="368" t="s">
        <v>6727</v>
      </c>
      <c r="F925" s="208">
        <v>64.0</v>
      </c>
      <c r="G925" s="208" t="s">
        <v>6728</v>
      </c>
      <c r="H925" s="208"/>
    </row>
    <row r="926">
      <c r="B926" s="367"/>
      <c r="C926" s="208" t="b">
        <v>0</v>
      </c>
      <c r="D926" s="369" t="str">
        <f t="shared" si="6"/>
        <v/>
      </c>
      <c r="E926" s="368" t="s">
        <v>6729</v>
      </c>
      <c r="F926" s="208">
        <v>64.0</v>
      </c>
      <c r="G926" s="208" t="s">
        <v>6730</v>
      </c>
      <c r="H926" s="208"/>
    </row>
    <row r="927">
      <c r="B927" s="367"/>
      <c r="C927" s="208" t="b">
        <v>0</v>
      </c>
      <c r="D927" s="369" t="str">
        <f t="shared" si="6"/>
        <v/>
      </c>
      <c r="E927" s="368" t="s">
        <v>6731</v>
      </c>
      <c r="F927" s="208">
        <v>64.0</v>
      </c>
      <c r="G927" s="208" t="s">
        <v>6732</v>
      </c>
      <c r="H927" s="208"/>
    </row>
    <row r="928">
      <c r="B928" s="367"/>
      <c r="C928" s="208" t="b">
        <v>0</v>
      </c>
      <c r="D928" s="369" t="str">
        <f t="shared" si="6"/>
        <v/>
      </c>
      <c r="E928" s="368" t="s">
        <v>6733</v>
      </c>
      <c r="F928" s="208">
        <v>1.0</v>
      </c>
      <c r="G928" s="208" t="s">
        <v>6734</v>
      </c>
      <c r="H928" s="208"/>
    </row>
    <row r="929">
      <c r="B929" s="367"/>
      <c r="C929" s="208" t="b">
        <v>0</v>
      </c>
      <c r="D929" s="369" t="str">
        <f t="shared" si="6"/>
        <v/>
      </c>
      <c r="E929" s="368" t="s">
        <v>6735</v>
      </c>
      <c r="F929" s="208">
        <v>64.0</v>
      </c>
      <c r="G929" s="208" t="s">
        <v>6736</v>
      </c>
      <c r="H929" s="208"/>
    </row>
    <row r="930">
      <c r="B930" s="367"/>
      <c r="C930" s="208" t="b">
        <v>0</v>
      </c>
      <c r="D930" s="369" t="str">
        <f t="shared" si="6"/>
        <v/>
      </c>
      <c r="E930" s="368" t="s">
        <v>6737</v>
      </c>
      <c r="F930" s="208">
        <v>64.0</v>
      </c>
      <c r="G930" s="208" t="s">
        <v>6738</v>
      </c>
      <c r="H930" s="208"/>
    </row>
    <row r="931">
      <c r="B931" s="370"/>
      <c r="C931" s="208" t="b">
        <v>0</v>
      </c>
      <c r="D931" s="369" t="str">
        <f t="shared" si="6"/>
        <v/>
      </c>
      <c r="E931" s="368" t="s">
        <v>6739</v>
      </c>
      <c r="F931" s="208">
        <v>64.0</v>
      </c>
      <c r="G931" s="208" t="s">
        <v>3840</v>
      </c>
      <c r="H931" s="208"/>
    </row>
    <row r="932">
      <c r="B932" s="370"/>
      <c r="C932" s="208" t="b">
        <v>0</v>
      </c>
      <c r="D932" s="369" t="str">
        <f t="shared" si="6"/>
        <v/>
      </c>
      <c r="E932" s="368" t="s">
        <v>6740</v>
      </c>
      <c r="F932" s="208">
        <v>64.0</v>
      </c>
      <c r="G932" s="208" t="s">
        <v>3178</v>
      </c>
      <c r="H932" s="208"/>
    </row>
    <row r="933">
      <c r="B933" s="367"/>
      <c r="C933" s="208" t="b">
        <v>0</v>
      </c>
      <c r="D933" s="369" t="str">
        <f t="shared" si="6"/>
        <v/>
      </c>
      <c r="E933" s="368" t="s">
        <v>6741</v>
      </c>
      <c r="F933" s="208">
        <v>64.0</v>
      </c>
      <c r="G933" s="208" t="s">
        <v>6742</v>
      </c>
      <c r="H933" s="208"/>
    </row>
    <row r="934">
      <c r="B934" s="367"/>
      <c r="C934" s="208" t="b">
        <v>0</v>
      </c>
      <c r="D934" s="369" t="str">
        <f t="shared" si="6"/>
        <v/>
      </c>
      <c r="E934" s="368" t="s">
        <v>3376</v>
      </c>
      <c r="F934" s="208">
        <v>64.0</v>
      </c>
      <c r="G934" s="208" t="s">
        <v>614</v>
      </c>
      <c r="H934" s="208"/>
    </row>
    <row r="935">
      <c r="B935" s="367" t="s">
        <v>5110</v>
      </c>
      <c r="C935" s="208" t="b">
        <v>0</v>
      </c>
      <c r="D935" s="369" t="str">
        <f t="shared" si="6"/>
        <v/>
      </c>
      <c r="E935" s="368" t="s">
        <v>6743</v>
      </c>
      <c r="F935" s="208">
        <v>64.0</v>
      </c>
      <c r="G935" s="208" t="s">
        <v>629</v>
      </c>
      <c r="H935" s="208"/>
    </row>
    <row r="936">
      <c r="B936" s="367"/>
      <c r="C936" s="208" t="b">
        <v>0</v>
      </c>
      <c r="D936" s="369" t="str">
        <f t="shared" si="6"/>
        <v/>
      </c>
      <c r="E936" s="368" t="s">
        <v>6744</v>
      </c>
      <c r="F936" s="208">
        <v>64.0</v>
      </c>
      <c r="G936" s="208" t="s">
        <v>985</v>
      </c>
      <c r="H936" s="208"/>
    </row>
    <row r="937">
      <c r="B937" s="367" t="s">
        <v>5110</v>
      </c>
      <c r="C937" s="208" t="b">
        <v>0</v>
      </c>
      <c r="D937" s="369" t="str">
        <f t="shared" si="6"/>
        <v/>
      </c>
      <c r="E937" s="368" t="s">
        <v>6745</v>
      </c>
      <c r="F937" s="208">
        <v>64.0</v>
      </c>
      <c r="G937" s="208" t="s">
        <v>6746</v>
      </c>
      <c r="H937" s="208"/>
    </row>
    <row r="938">
      <c r="B938" s="367"/>
      <c r="C938" s="208" t="b">
        <v>0</v>
      </c>
      <c r="D938" s="369" t="str">
        <f t="shared" si="6"/>
        <v/>
      </c>
      <c r="E938" s="368" t="s">
        <v>6747</v>
      </c>
      <c r="F938" s="208">
        <v>64.0</v>
      </c>
      <c r="G938" s="208" t="s">
        <v>1478</v>
      </c>
      <c r="H938" s="208"/>
    </row>
    <row r="939">
      <c r="B939" s="367"/>
      <c r="C939" s="208" t="b">
        <v>0</v>
      </c>
      <c r="D939" s="369" t="str">
        <f t="shared" si="6"/>
        <v/>
      </c>
      <c r="E939" s="368" t="s">
        <v>6748</v>
      </c>
      <c r="F939" s="208">
        <v>64.0</v>
      </c>
      <c r="G939" s="208" t="s">
        <v>3424</v>
      </c>
      <c r="H939" s="208"/>
    </row>
    <row r="940">
      <c r="B940" s="367"/>
      <c r="C940" s="208" t="b">
        <v>0</v>
      </c>
      <c r="D940" s="369" t="str">
        <f t="shared" si="6"/>
        <v/>
      </c>
      <c r="E940" s="368" t="s">
        <v>6749</v>
      </c>
      <c r="F940" s="208">
        <v>64.0</v>
      </c>
      <c r="G940" s="208" t="s">
        <v>4221</v>
      </c>
      <c r="H940" s="208"/>
    </row>
    <row r="941">
      <c r="B941" s="367" t="s">
        <v>5992</v>
      </c>
      <c r="C941" s="208" t="b">
        <v>0</v>
      </c>
      <c r="D941" s="369" t="str">
        <f>image(CONCATENATE("https://nerothe.com/img/1.21/minecraft_",G941,"_smithing_template.png"))</f>
        <v/>
      </c>
      <c r="E941" s="368" t="s">
        <v>6750</v>
      </c>
      <c r="F941" s="208">
        <v>1.0</v>
      </c>
      <c r="G941" s="208" t="s">
        <v>6751</v>
      </c>
      <c r="H941" s="208"/>
    </row>
    <row r="942">
      <c r="B942" s="370"/>
      <c r="C942" s="208" t="b">
        <v>0</v>
      </c>
      <c r="D942" s="369" t="str">
        <f t="shared" ref="D942:D963" si="7">image(CONCATENATE("https://nerothe.com/img/1.21/minecraft_",G942,".png"))</f>
        <v/>
      </c>
      <c r="E942" s="368" t="s">
        <v>6752</v>
      </c>
      <c r="F942" s="208">
        <v>64.0</v>
      </c>
      <c r="G942" s="208" t="s">
        <v>209</v>
      </c>
      <c r="H942" s="208"/>
    </row>
    <row r="943">
      <c r="B943" s="370"/>
      <c r="C943" s="208" t="b">
        <v>0</v>
      </c>
      <c r="D943" s="369" t="str">
        <f t="shared" si="7"/>
        <v/>
      </c>
      <c r="E943" s="368" t="s">
        <v>6753</v>
      </c>
      <c r="F943" s="208">
        <v>64.0</v>
      </c>
      <c r="G943" s="208" t="s">
        <v>4981</v>
      </c>
      <c r="H943" s="208"/>
    </row>
    <row r="944">
      <c r="B944" s="367"/>
      <c r="C944" s="208" t="b">
        <v>0</v>
      </c>
      <c r="D944" s="369" t="str">
        <f t="shared" si="7"/>
        <v/>
      </c>
      <c r="E944" s="368" t="s">
        <v>6754</v>
      </c>
      <c r="F944" s="208">
        <v>64.0</v>
      </c>
      <c r="G944" s="208" t="s">
        <v>2029</v>
      </c>
      <c r="H944" s="208"/>
    </row>
    <row r="945">
      <c r="B945" s="367"/>
      <c r="C945" s="208" t="b">
        <v>0</v>
      </c>
      <c r="D945" s="369" t="str">
        <f t="shared" si="7"/>
        <v/>
      </c>
      <c r="E945" s="368" t="s">
        <v>6755</v>
      </c>
      <c r="F945" s="208">
        <v>1.0</v>
      </c>
      <c r="G945" s="208" t="s">
        <v>1919</v>
      </c>
      <c r="H945" s="208"/>
    </row>
    <row r="946">
      <c r="B946" s="367"/>
      <c r="C946" s="208" t="b">
        <v>0</v>
      </c>
      <c r="D946" s="369" t="str">
        <f t="shared" si="7"/>
        <v/>
      </c>
      <c r="E946" s="368" t="s">
        <v>6756</v>
      </c>
      <c r="F946" s="208">
        <v>64.0</v>
      </c>
      <c r="G946" s="208" t="s">
        <v>2184</v>
      </c>
      <c r="H946" s="208"/>
    </row>
    <row r="947">
      <c r="B947" s="367"/>
      <c r="C947" s="208" t="b">
        <v>0</v>
      </c>
      <c r="D947" s="369" t="str">
        <f t="shared" si="7"/>
        <v/>
      </c>
      <c r="E947" s="368" t="s">
        <v>6757</v>
      </c>
      <c r="F947" s="208">
        <v>1.0</v>
      </c>
      <c r="G947" s="208" t="s">
        <v>2137</v>
      </c>
      <c r="H947" s="208"/>
    </row>
    <row r="948">
      <c r="B948" s="367"/>
      <c r="C948" s="208" t="b">
        <v>0</v>
      </c>
      <c r="D948" s="369" t="str">
        <f t="shared" si="7"/>
        <v/>
      </c>
      <c r="E948" s="368" t="s">
        <v>6758</v>
      </c>
      <c r="F948" s="208">
        <v>64.0</v>
      </c>
      <c r="G948" s="208" t="s">
        <v>1094</v>
      </c>
      <c r="H948" s="208"/>
    </row>
    <row r="949">
      <c r="B949" s="367"/>
      <c r="C949" s="208" t="b">
        <v>0</v>
      </c>
      <c r="D949" s="369" t="str">
        <f t="shared" si="7"/>
        <v/>
      </c>
      <c r="E949" s="368" t="s">
        <v>6759</v>
      </c>
      <c r="F949" s="208">
        <v>64.0</v>
      </c>
      <c r="G949" s="208" t="s">
        <v>6760</v>
      </c>
      <c r="H949" s="208"/>
    </row>
    <row r="950">
      <c r="B950" s="367"/>
      <c r="C950" s="208" t="b">
        <v>0</v>
      </c>
      <c r="D950" s="369" t="str">
        <f t="shared" si="7"/>
        <v/>
      </c>
      <c r="E950" s="368" t="s">
        <v>6761</v>
      </c>
      <c r="F950" s="208">
        <v>64.0</v>
      </c>
      <c r="G950" s="208" t="s">
        <v>6762</v>
      </c>
      <c r="H950" s="208"/>
    </row>
    <row r="951">
      <c r="B951" s="367"/>
      <c r="C951" s="208" t="b">
        <v>0</v>
      </c>
      <c r="D951" s="369" t="str">
        <f t="shared" si="7"/>
        <v/>
      </c>
      <c r="E951" s="368" t="s">
        <v>6763</v>
      </c>
      <c r="F951" s="208">
        <v>64.0</v>
      </c>
      <c r="G951" s="208" t="s">
        <v>6764</v>
      </c>
      <c r="H951" s="208"/>
    </row>
    <row r="952">
      <c r="B952" s="367"/>
      <c r="C952" s="208" t="b">
        <v>0</v>
      </c>
      <c r="D952" s="369" t="str">
        <f t="shared" si="7"/>
        <v/>
      </c>
      <c r="E952" s="368" t="s">
        <v>6765</v>
      </c>
      <c r="F952" s="208">
        <v>64.0</v>
      </c>
      <c r="G952" s="208" t="s">
        <v>826</v>
      </c>
      <c r="H952" s="208"/>
    </row>
    <row r="953">
      <c r="B953" s="367"/>
      <c r="C953" s="208" t="b">
        <v>0</v>
      </c>
      <c r="D953" s="369" t="str">
        <f t="shared" si="7"/>
        <v/>
      </c>
      <c r="E953" s="368" t="s">
        <v>6766</v>
      </c>
      <c r="F953" s="208">
        <v>64.0</v>
      </c>
      <c r="G953" s="208" t="s">
        <v>5009</v>
      </c>
      <c r="H953" s="208"/>
    </row>
    <row r="954">
      <c r="B954" s="367" t="s">
        <v>993</v>
      </c>
      <c r="C954" s="208" t="b">
        <v>0</v>
      </c>
      <c r="D954" s="369" t="str">
        <f t="shared" si="7"/>
        <v/>
      </c>
      <c r="E954" s="368" t="s">
        <v>6767</v>
      </c>
      <c r="F954" s="208">
        <v>1.0</v>
      </c>
      <c r="G954" s="208" t="s">
        <v>6768</v>
      </c>
      <c r="H954" s="208"/>
    </row>
    <row r="955">
      <c r="B955" s="370"/>
      <c r="C955" s="208" t="b">
        <v>0</v>
      </c>
      <c r="D955" s="369" t="str">
        <f t="shared" si="7"/>
        <v/>
      </c>
      <c r="E955" s="368" t="s">
        <v>6769</v>
      </c>
      <c r="F955" s="208">
        <v>64.0</v>
      </c>
      <c r="G955" s="208" t="s">
        <v>367</v>
      </c>
      <c r="H955" s="208"/>
    </row>
    <row r="956">
      <c r="B956" s="367" t="s">
        <v>117</v>
      </c>
      <c r="C956" s="208" t="b">
        <v>0</v>
      </c>
      <c r="D956" s="369" t="str">
        <f t="shared" si="7"/>
        <v/>
      </c>
      <c r="E956" s="368" t="s">
        <v>6770</v>
      </c>
      <c r="F956" s="208">
        <v>64.0</v>
      </c>
      <c r="G956" s="208" t="s">
        <v>371</v>
      </c>
      <c r="H956" s="208"/>
    </row>
    <row r="957">
      <c r="B957" s="367" t="s">
        <v>117</v>
      </c>
      <c r="C957" s="208" t="b">
        <v>0</v>
      </c>
      <c r="D957" s="369" t="str">
        <f t="shared" si="7"/>
        <v/>
      </c>
      <c r="E957" s="368" t="s">
        <v>6771</v>
      </c>
      <c r="F957" s="208">
        <v>64.0</v>
      </c>
      <c r="G957" s="208" t="s">
        <v>1850</v>
      </c>
      <c r="H957" s="208"/>
    </row>
    <row r="958">
      <c r="B958" s="367" t="s">
        <v>117</v>
      </c>
      <c r="C958" s="208" t="b">
        <v>0</v>
      </c>
      <c r="D958" s="369" t="str">
        <f t="shared" si="7"/>
        <v/>
      </c>
      <c r="E958" s="368" t="s">
        <v>6772</v>
      </c>
      <c r="F958" s="208">
        <v>64.0</v>
      </c>
      <c r="G958" s="208" t="s">
        <v>376</v>
      </c>
      <c r="H958" s="208"/>
    </row>
    <row r="959">
      <c r="B959" s="370"/>
      <c r="C959" s="208" t="b">
        <v>0</v>
      </c>
      <c r="D959" s="369" t="str">
        <f t="shared" si="7"/>
        <v/>
      </c>
      <c r="E959" s="368" t="s">
        <v>6773</v>
      </c>
      <c r="F959" s="208">
        <v>64.0</v>
      </c>
      <c r="G959" s="208" t="s">
        <v>3605</v>
      </c>
      <c r="H959" s="208"/>
    </row>
    <row r="960">
      <c r="B960" s="367"/>
      <c r="C960" s="208" t="b">
        <v>0</v>
      </c>
      <c r="D960" s="369" t="str">
        <f t="shared" si="7"/>
        <v/>
      </c>
      <c r="E960" s="368" t="s">
        <v>6774</v>
      </c>
      <c r="F960" s="208">
        <v>64.0</v>
      </c>
      <c r="G960" s="208" t="s">
        <v>6775</v>
      </c>
      <c r="H960" s="208"/>
    </row>
    <row r="961">
      <c r="B961" s="370"/>
      <c r="C961" s="208" t="b">
        <v>0</v>
      </c>
      <c r="D961" s="369" t="str">
        <f t="shared" si="7"/>
        <v/>
      </c>
      <c r="E961" s="368" t="s">
        <v>6776</v>
      </c>
      <c r="F961" s="208">
        <v>64.0</v>
      </c>
      <c r="G961" s="208" t="s">
        <v>1003</v>
      </c>
      <c r="H961" s="208"/>
    </row>
    <row r="962">
      <c r="B962" s="367" t="s">
        <v>5518</v>
      </c>
      <c r="C962" s="208" t="b">
        <v>0</v>
      </c>
      <c r="D962" s="369" t="str">
        <f t="shared" si="7"/>
        <v/>
      </c>
      <c r="E962" s="368" t="s">
        <v>6777</v>
      </c>
      <c r="F962" s="208">
        <v>64.0</v>
      </c>
      <c r="G962" s="208" t="s">
        <v>934</v>
      </c>
      <c r="H962" s="208"/>
    </row>
    <row r="963">
      <c r="B963" s="370"/>
      <c r="C963" s="208" t="b">
        <v>0</v>
      </c>
      <c r="D963" s="369" t="str">
        <f t="shared" si="7"/>
        <v/>
      </c>
      <c r="E963" s="368" t="s">
        <v>6778</v>
      </c>
      <c r="F963" s="208">
        <v>64.0</v>
      </c>
      <c r="G963" s="208" t="s">
        <v>2214</v>
      </c>
      <c r="H963" s="208"/>
    </row>
    <row r="964">
      <c r="B964" s="367" t="s">
        <v>2891</v>
      </c>
      <c r="C964" s="208" t="b">
        <v>0</v>
      </c>
      <c r="D964" s="369" t="str">
        <f t="shared" ref="D964:D965" si="8">image(CONCATENATE("https://nerothe.com/img/1.21/minecraft_",G964,"_smithing_template.png"))</f>
        <v/>
      </c>
      <c r="E964" s="368" t="s">
        <v>6779</v>
      </c>
      <c r="F964" s="208">
        <v>1.0</v>
      </c>
      <c r="G964" s="208" t="s">
        <v>6780</v>
      </c>
      <c r="H964" s="208"/>
    </row>
    <row r="965">
      <c r="B965" s="372" t="s">
        <v>2905</v>
      </c>
      <c r="C965" s="208" t="b">
        <v>0</v>
      </c>
      <c r="D965" s="369" t="str">
        <f t="shared" si="8"/>
        <v/>
      </c>
      <c r="E965" s="368" t="s">
        <v>6781</v>
      </c>
      <c r="F965" s="208">
        <v>1.0</v>
      </c>
      <c r="G965" s="208" t="s">
        <v>6782</v>
      </c>
      <c r="H965" s="208"/>
    </row>
    <row r="966">
      <c r="B966" s="372" t="s">
        <v>2905</v>
      </c>
      <c r="C966" s="208" t="b">
        <v>0</v>
      </c>
      <c r="D966" s="369" t="str">
        <f t="shared" ref="D966:D972" si="9">image(CONCATENATE("https://nerothe.com/img/1.21/minecraft_",G966,".png"))</f>
        <v/>
      </c>
      <c r="E966" s="368" t="s">
        <v>6783</v>
      </c>
      <c r="F966" s="208">
        <v>1.0</v>
      </c>
      <c r="G966" s="208" t="s">
        <v>6784</v>
      </c>
      <c r="H966" s="208"/>
    </row>
    <row r="967">
      <c r="B967" s="367"/>
      <c r="C967" s="208" t="b">
        <v>0</v>
      </c>
      <c r="D967" s="369" t="str">
        <f t="shared" si="9"/>
        <v/>
      </c>
      <c r="E967" s="368" t="s">
        <v>6785</v>
      </c>
      <c r="F967" s="208">
        <v>1.0</v>
      </c>
      <c r="G967" s="208" t="s">
        <v>592</v>
      </c>
      <c r="H967" s="208"/>
    </row>
    <row r="968">
      <c r="B968" s="367" t="s">
        <v>2905</v>
      </c>
      <c r="C968" s="208" t="b">
        <v>0</v>
      </c>
      <c r="D968" s="369" t="str">
        <f t="shared" si="9"/>
        <v/>
      </c>
      <c r="E968" s="368" t="s">
        <v>6786</v>
      </c>
      <c r="F968" s="208">
        <v>1.0</v>
      </c>
      <c r="G968" s="208" t="s">
        <v>6787</v>
      </c>
      <c r="H968" s="208"/>
    </row>
    <row r="969">
      <c r="B969" s="367"/>
      <c r="C969" s="208" t="b">
        <v>0</v>
      </c>
      <c r="D969" s="369" t="str">
        <f t="shared" si="9"/>
        <v/>
      </c>
      <c r="E969" s="368" t="s">
        <v>6788</v>
      </c>
      <c r="F969" s="208">
        <v>1.0</v>
      </c>
      <c r="G969" s="208" t="s">
        <v>2298</v>
      </c>
      <c r="H969" s="208"/>
    </row>
    <row r="970">
      <c r="B970" s="370"/>
      <c r="C970" s="208" t="b">
        <v>0</v>
      </c>
      <c r="D970" s="369" t="str">
        <f t="shared" si="9"/>
        <v/>
      </c>
      <c r="E970" s="368" t="s">
        <v>6789</v>
      </c>
      <c r="F970" s="208">
        <v>64.0</v>
      </c>
      <c r="G970" s="208" t="s">
        <v>967</v>
      </c>
      <c r="H970" s="208"/>
    </row>
    <row r="971">
      <c r="B971" s="367"/>
      <c r="C971" s="208" t="b">
        <v>0</v>
      </c>
      <c r="D971" s="369" t="str">
        <f t="shared" si="9"/>
        <v/>
      </c>
      <c r="E971" s="368" t="s">
        <v>6790</v>
      </c>
      <c r="F971" s="208">
        <v>1.0</v>
      </c>
      <c r="G971" s="208" t="s">
        <v>4752</v>
      </c>
      <c r="H971" s="208"/>
    </row>
    <row r="972">
      <c r="B972" s="367" t="s">
        <v>5645</v>
      </c>
      <c r="C972" s="208" t="b">
        <v>0</v>
      </c>
      <c r="D972" s="369" t="str">
        <f t="shared" si="9"/>
        <v/>
      </c>
      <c r="E972" s="368" t="s">
        <v>6791</v>
      </c>
      <c r="F972" s="208">
        <v>64.0</v>
      </c>
      <c r="G972" s="208" t="s">
        <v>4779</v>
      </c>
      <c r="H972" s="208"/>
    </row>
    <row r="973">
      <c r="B973" s="367" t="s">
        <v>117</v>
      </c>
      <c r="C973" s="208" t="b">
        <v>0</v>
      </c>
      <c r="D973" s="369" t="str">
        <f>image(CONCATENATE("https://nerothe.com/img/1.21/minecraft_",G973,"_smithing_template.png"))</f>
        <v/>
      </c>
      <c r="E973" s="368" t="s">
        <v>6792</v>
      </c>
      <c r="F973" s="208">
        <v>1.0</v>
      </c>
      <c r="G973" s="208" t="s">
        <v>6793</v>
      </c>
      <c r="H973" s="208"/>
    </row>
    <row r="974">
      <c r="B974" s="367" t="s">
        <v>28</v>
      </c>
      <c r="C974" s="208" t="b">
        <v>0</v>
      </c>
      <c r="D974" s="369" t="str">
        <f t="shared" ref="D974:D997" si="10">image(CONCATENATE("https://nerothe.com/img/1.21/minecraft_",G974,".png"))</f>
        <v/>
      </c>
      <c r="E974" s="368" t="s">
        <v>65</v>
      </c>
      <c r="F974" s="208">
        <v>64.0</v>
      </c>
      <c r="G974" s="208" t="s">
        <v>2373</v>
      </c>
      <c r="H974" s="208"/>
    </row>
    <row r="975">
      <c r="B975" s="367"/>
      <c r="C975" s="208" t="b">
        <v>0</v>
      </c>
      <c r="D975" s="369" t="str">
        <f t="shared" si="10"/>
        <v/>
      </c>
      <c r="E975" s="368" t="s">
        <v>6794</v>
      </c>
      <c r="F975" s="208">
        <v>1.0</v>
      </c>
      <c r="G975" s="208" t="s">
        <v>6795</v>
      </c>
      <c r="H975" s="208"/>
    </row>
    <row r="976">
      <c r="B976" s="367" t="s">
        <v>2905</v>
      </c>
      <c r="C976" s="208" t="b">
        <v>0</v>
      </c>
      <c r="D976" s="369" t="str">
        <f t="shared" si="10"/>
        <v/>
      </c>
      <c r="E976" s="368" t="s">
        <v>6796</v>
      </c>
      <c r="F976" s="208">
        <v>1.0</v>
      </c>
      <c r="G976" s="208" t="s">
        <v>6797</v>
      </c>
      <c r="H976" s="208"/>
    </row>
    <row r="977">
      <c r="B977" s="367"/>
      <c r="C977" s="208" t="b">
        <v>0</v>
      </c>
      <c r="D977" s="369" t="str">
        <f t="shared" si="10"/>
        <v/>
      </c>
      <c r="E977" s="368" t="s">
        <v>6798</v>
      </c>
      <c r="F977" s="208">
        <v>64.0</v>
      </c>
      <c r="G977" s="208" t="s">
        <v>1389</v>
      </c>
      <c r="H977" s="208"/>
    </row>
    <row r="978">
      <c r="B978" s="367"/>
      <c r="C978" s="208" t="b">
        <v>0</v>
      </c>
      <c r="D978" s="369" t="str">
        <f t="shared" si="10"/>
        <v/>
      </c>
      <c r="E978" s="368" t="s">
        <v>6799</v>
      </c>
      <c r="F978" s="208">
        <v>64.0</v>
      </c>
      <c r="G978" s="208" t="s">
        <v>2499</v>
      </c>
      <c r="H978" s="208"/>
    </row>
    <row r="979">
      <c r="B979" s="367" t="s">
        <v>1343</v>
      </c>
      <c r="C979" s="208" t="b">
        <v>0</v>
      </c>
      <c r="D979" s="369" t="str">
        <f t="shared" si="10"/>
        <v/>
      </c>
      <c r="E979" s="368" t="s">
        <v>6800</v>
      </c>
      <c r="F979" s="208">
        <v>64.0</v>
      </c>
      <c r="G979" s="208" t="s">
        <v>6801</v>
      </c>
      <c r="H979" s="208"/>
    </row>
    <row r="980">
      <c r="B980" s="367" t="s">
        <v>6802</v>
      </c>
      <c r="C980" s="208" t="b">
        <v>0</v>
      </c>
      <c r="D980" s="369" t="str">
        <f t="shared" si="10"/>
        <v/>
      </c>
      <c r="E980" s="368" t="s">
        <v>6803</v>
      </c>
      <c r="F980" s="208">
        <v>64.0</v>
      </c>
      <c r="G980" s="208" t="s">
        <v>6804</v>
      </c>
      <c r="H980" s="208"/>
    </row>
    <row r="981">
      <c r="B981" s="367"/>
      <c r="C981" s="208" t="b">
        <v>0</v>
      </c>
      <c r="D981" s="369" t="str">
        <f t="shared" si="10"/>
        <v/>
      </c>
      <c r="E981" s="368" t="s">
        <v>6805</v>
      </c>
      <c r="F981" s="208">
        <v>64.0</v>
      </c>
      <c r="G981" s="208" t="s">
        <v>1292</v>
      </c>
      <c r="H981" s="208"/>
    </row>
    <row r="982">
      <c r="B982" s="367"/>
      <c r="C982" s="208" t="b">
        <v>0</v>
      </c>
      <c r="D982" s="369" t="str">
        <f t="shared" si="10"/>
        <v/>
      </c>
      <c r="E982" s="368" t="s">
        <v>6806</v>
      </c>
      <c r="F982" s="208">
        <v>64.0</v>
      </c>
      <c r="G982" s="208" t="s">
        <v>6807</v>
      </c>
      <c r="H982" s="208"/>
    </row>
    <row r="983">
      <c r="B983" s="367"/>
      <c r="C983" s="208" t="b">
        <v>0</v>
      </c>
      <c r="D983" s="369" t="str">
        <f t="shared" si="10"/>
        <v/>
      </c>
      <c r="E983" s="368" t="s">
        <v>6808</v>
      </c>
      <c r="F983" s="208">
        <v>64.0</v>
      </c>
      <c r="G983" s="208" t="s">
        <v>456</v>
      </c>
      <c r="H983" s="208"/>
    </row>
    <row r="984">
      <c r="B984" s="367"/>
      <c r="C984" s="208" t="b">
        <v>0</v>
      </c>
      <c r="D984" s="369" t="str">
        <f t="shared" si="10"/>
        <v/>
      </c>
      <c r="E984" s="368" t="s">
        <v>6809</v>
      </c>
      <c r="F984" s="208">
        <v>64.0</v>
      </c>
      <c r="G984" s="208" t="s">
        <v>6810</v>
      </c>
      <c r="H984" s="208"/>
    </row>
    <row r="985">
      <c r="B985" s="367"/>
      <c r="C985" s="208" t="b">
        <v>0</v>
      </c>
      <c r="D985" s="369" t="str">
        <f t="shared" si="10"/>
        <v/>
      </c>
      <c r="E985" s="368" t="s">
        <v>6811</v>
      </c>
      <c r="F985" s="208">
        <v>64.0</v>
      </c>
      <c r="G985" s="208" t="s">
        <v>6812</v>
      </c>
      <c r="H985" s="208"/>
    </row>
    <row r="986">
      <c r="B986" s="367"/>
      <c r="C986" s="208" t="b">
        <v>0</v>
      </c>
      <c r="D986" s="369" t="str">
        <f t="shared" si="10"/>
        <v/>
      </c>
      <c r="E986" s="368" t="s">
        <v>6813</v>
      </c>
      <c r="F986" s="208">
        <v>64.0</v>
      </c>
      <c r="G986" s="208" t="s">
        <v>6814</v>
      </c>
      <c r="H986" s="208"/>
    </row>
    <row r="987">
      <c r="B987" s="367"/>
      <c r="C987" s="208" t="b">
        <v>0</v>
      </c>
      <c r="D987" s="369" t="str">
        <f t="shared" si="10"/>
        <v/>
      </c>
      <c r="E987" s="368" t="s">
        <v>6815</v>
      </c>
      <c r="F987" s="208">
        <v>64.0</v>
      </c>
      <c r="G987" s="208" t="s">
        <v>6816</v>
      </c>
      <c r="H987" s="208"/>
    </row>
    <row r="988">
      <c r="B988" s="367"/>
      <c r="C988" s="208" t="b">
        <v>0</v>
      </c>
      <c r="D988" s="369" t="str">
        <f t="shared" si="10"/>
        <v/>
      </c>
      <c r="E988" s="368" t="s">
        <v>6817</v>
      </c>
      <c r="F988" s="208">
        <v>64.0</v>
      </c>
      <c r="G988" s="208" t="s">
        <v>6818</v>
      </c>
      <c r="H988" s="208"/>
    </row>
    <row r="989">
      <c r="B989" s="367"/>
      <c r="C989" s="208" t="b">
        <v>0</v>
      </c>
      <c r="D989" s="369" t="str">
        <f t="shared" si="10"/>
        <v/>
      </c>
      <c r="E989" s="368" t="s">
        <v>6819</v>
      </c>
      <c r="F989" s="208">
        <v>64.0</v>
      </c>
      <c r="G989" s="208" t="s">
        <v>6820</v>
      </c>
      <c r="H989" s="208"/>
    </row>
    <row r="990">
      <c r="B990" s="367"/>
      <c r="C990" s="208" t="b">
        <v>0</v>
      </c>
      <c r="D990" s="369" t="str">
        <f t="shared" si="10"/>
        <v/>
      </c>
      <c r="E990" s="368" t="s">
        <v>6821</v>
      </c>
      <c r="F990" s="208">
        <v>64.0</v>
      </c>
      <c r="G990" s="208" t="s">
        <v>1216</v>
      </c>
      <c r="H990" s="208"/>
    </row>
    <row r="991">
      <c r="B991" s="367"/>
      <c r="C991" s="208" t="b">
        <v>0</v>
      </c>
      <c r="D991" s="369" t="str">
        <f t="shared" si="10"/>
        <v/>
      </c>
      <c r="E991" s="368" t="s">
        <v>6822</v>
      </c>
      <c r="F991" s="208">
        <v>64.0</v>
      </c>
      <c r="G991" s="208" t="s">
        <v>6823</v>
      </c>
      <c r="H991" s="208"/>
    </row>
    <row r="992">
      <c r="B992" s="367"/>
      <c r="C992" s="208" t="b">
        <v>0</v>
      </c>
      <c r="D992" s="369" t="str">
        <f t="shared" si="10"/>
        <v/>
      </c>
      <c r="E992" s="368" t="s">
        <v>6824</v>
      </c>
      <c r="F992" s="208">
        <v>64.0</v>
      </c>
      <c r="G992" s="208" t="s">
        <v>6825</v>
      </c>
      <c r="H992" s="208"/>
    </row>
    <row r="993">
      <c r="B993" s="367"/>
      <c r="C993" s="208" t="b">
        <v>0</v>
      </c>
      <c r="D993" s="369" t="str">
        <f t="shared" si="10"/>
        <v/>
      </c>
      <c r="E993" s="368" t="s">
        <v>6826</v>
      </c>
      <c r="F993" s="208">
        <v>64.0</v>
      </c>
      <c r="G993" s="208" t="s">
        <v>6827</v>
      </c>
      <c r="H993" s="208"/>
    </row>
    <row r="994">
      <c r="B994" s="367"/>
      <c r="C994" s="208" t="b">
        <v>0</v>
      </c>
      <c r="D994" s="369" t="str">
        <f t="shared" si="10"/>
        <v/>
      </c>
      <c r="E994" s="368" t="s">
        <v>6828</v>
      </c>
      <c r="F994" s="208">
        <v>64.0</v>
      </c>
      <c r="G994" s="208" t="s">
        <v>1260</v>
      </c>
      <c r="H994" s="208"/>
    </row>
    <row r="995">
      <c r="B995" s="367"/>
      <c r="C995" s="208" t="b">
        <v>0</v>
      </c>
      <c r="D995" s="369" t="str">
        <f t="shared" si="10"/>
        <v/>
      </c>
      <c r="E995" s="368" t="s">
        <v>6829</v>
      </c>
      <c r="F995" s="208">
        <v>64.0</v>
      </c>
      <c r="G995" s="208" t="s">
        <v>773</v>
      </c>
      <c r="H995" s="208"/>
    </row>
    <row r="996">
      <c r="B996" s="367" t="s">
        <v>1991</v>
      </c>
      <c r="C996" s="208" t="b">
        <v>0</v>
      </c>
      <c r="D996" s="369" t="str">
        <f t="shared" si="10"/>
        <v/>
      </c>
      <c r="E996" s="368" t="s">
        <v>6830</v>
      </c>
      <c r="F996" s="208">
        <v>64.0</v>
      </c>
      <c r="G996" s="208" t="s">
        <v>2918</v>
      </c>
      <c r="H996" s="208"/>
    </row>
    <row r="997">
      <c r="B997" s="367" t="s">
        <v>2905</v>
      </c>
      <c r="C997" s="208" t="b">
        <v>0</v>
      </c>
      <c r="D997" s="369" t="str">
        <f t="shared" si="10"/>
        <v/>
      </c>
      <c r="E997" s="368" t="s">
        <v>6831</v>
      </c>
      <c r="F997" s="208">
        <v>1.0</v>
      </c>
      <c r="G997" s="208" t="s">
        <v>6832</v>
      </c>
      <c r="H997" s="208"/>
    </row>
    <row r="998">
      <c r="B998" s="367" t="s">
        <v>5992</v>
      </c>
      <c r="C998" s="208" t="b">
        <v>0</v>
      </c>
      <c r="D998" s="369" t="str">
        <f>image(CONCATENATE("https://nerothe.com/img/1.21/minecraft_",G998,"_smithing_template.png"))</f>
        <v/>
      </c>
      <c r="E998" s="368" t="s">
        <v>6833</v>
      </c>
      <c r="F998" s="208">
        <v>1.0</v>
      </c>
      <c r="G998" s="208" t="s">
        <v>6834</v>
      </c>
      <c r="H998" s="208"/>
    </row>
    <row r="999">
      <c r="B999" s="367"/>
      <c r="C999" s="208" t="b">
        <v>0</v>
      </c>
      <c r="D999" s="369" t="str">
        <f t="shared" ref="D999:D1008" si="11">image(CONCATENATE("https://nerothe.com/img/1.21/minecraft_",G999,".png"))</f>
        <v/>
      </c>
      <c r="E999" s="368" t="s">
        <v>6835</v>
      </c>
      <c r="F999" s="208">
        <v>64.0</v>
      </c>
      <c r="G999" s="208" t="s">
        <v>5081</v>
      </c>
      <c r="H999" s="208"/>
    </row>
    <row r="1000">
      <c r="B1000" s="367"/>
      <c r="C1000" s="208" t="b">
        <v>0</v>
      </c>
      <c r="D1000" s="369" t="str">
        <f t="shared" si="11"/>
        <v/>
      </c>
      <c r="E1000" s="368" t="s">
        <v>6836</v>
      </c>
      <c r="F1000" s="208">
        <v>64.0</v>
      </c>
      <c r="G1000" s="208" t="s">
        <v>1509</v>
      </c>
      <c r="H1000" s="208"/>
    </row>
    <row r="1001">
      <c r="B1001" s="367"/>
      <c r="C1001" s="208" t="b">
        <v>0</v>
      </c>
      <c r="D1001" s="369" t="str">
        <f t="shared" si="11"/>
        <v/>
      </c>
      <c r="E1001" s="368" t="s">
        <v>6837</v>
      </c>
      <c r="F1001" s="208">
        <v>16.0</v>
      </c>
      <c r="G1001" s="208" t="s">
        <v>2350</v>
      </c>
      <c r="H1001" s="208"/>
    </row>
    <row r="1002">
      <c r="B1002" s="367"/>
      <c r="C1002" s="208" t="b">
        <v>0</v>
      </c>
      <c r="D1002" s="369" t="str">
        <f t="shared" si="11"/>
        <v/>
      </c>
      <c r="E1002" s="368" t="s">
        <v>6838</v>
      </c>
      <c r="F1002" s="208">
        <v>64.0</v>
      </c>
      <c r="G1002" s="208" t="s">
        <v>4323</v>
      </c>
      <c r="H1002" s="208"/>
    </row>
    <row r="1003">
      <c r="B1003" s="367"/>
      <c r="C1003" s="208" t="b">
        <v>0</v>
      </c>
      <c r="D1003" s="369" t="str">
        <f t="shared" si="11"/>
        <v/>
      </c>
      <c r="E1003" s="368" t="s">
        <v>6839</v>
      </c>
      <c r="F1003" s="208">
        <v>64.0</v>
      </c>
      <c r="G1003" s="208" t="s">
        <v>1013</v>
      </c>
      <c r="H1003" s="208"/>
    </row>
    <row r="1004">
      <c r="B1004" s="367"/>
      <c r="C1004" s="208" t="b">
        <v>0</v>
      </c>
      <c r="D1004" s="369" t="str">
        <f t="shared" si="11"/>
        <v/>
      </c>
      <c r="E1004" s="368" t="s">
        <v>6840</v>
      </c>
      <c r="F1004" s="208">
        <v>64.0</v>
      </c>
      <c r="G1004" s="208" t="s">
        <v>4315</v>
      </c>
      <c r="H1004" s="208"/>
    </row>
    <row r="1005">
      <c r="B1005" s="367"/>
      <c r="C1005" s="208" t="b">
        <v>0</v>
      </c>
      <c r="D1005" s="369" t="str">
        <f t="shared" si="11"/>
        <v/>
      </c>
      <c r="E1005" s="368" t="s">
        <v>6841</v>
      </c>
      <c r="F1005" s="208">
        <v>64.0</v>
      </c>
      <c r="G1005" s="208" t="s">
        <v>3746</v>
      </c>
      <c r="H1005" s="208"/>
    </row>
    <row r="1006">
      <c r="B1006" s="367"/>
      <c r="C1006" s="208" t="b">
        <v>0</v>
      </c>
      <c r="D1006" s="369" t="str">
        <f t="shared" si="11"/>
        <v/>
      </c>
      <c r="E1006" s="368" t="s">
        <v>6842</v>
      </c>
      <c r="F1006" s="208">
        <v>64.0</v>
      </c>
      <c r="G1006" s="208" t="s">
        <v>973</v>
      </c>
      <c r="H1006" s="208"/>
    </row>
    <row r="1007">
      <c r="B1007" s="367"/>
      <c r="C1007" s="208" t="b">
        <v>0</v>
      </c>
      <c r="D1007" s="369" t="str">
        <f t="shared" si="11"/>
        <v/>
      </c>
      <c r="E1007" s="368" t="s">
        <v>6843</v>
      </c>
      <c r="F1007" s="208">
        <v>64.0</v>
      </c>
      <c r="G1007" s="208" t="s">
        <v>2626</v>
      </c>
      <c r="H1007" s="208"/>
    </row>
    <row r="1008">
      <c r="B1008" s="367"/>
      <c r="C1008" s="208" t="b">
        <v>0</v>
      </c>
      <c r="D1008" s="369" t="str">
        <f t="shared" si="11"/>
        <v/>
      </c>
      <c r="E1008" s="368" t="s">
        <v>6844</v>
      </c>
      <c r="F1008" s="208">
        <v>64.0</v>
      </c>
      <c r="G1008" s="208" t="s">
        <v>2040</v>
      </c>
      <c r="H1008" s="208"/>
    </row>
    <row r="1009">
      <c r="B1009" s="367" t="s">
        <v>5645</v>
      </c>
      <c r="C1009" s="208" t="b">
        <v>0</v>
      </c>
      <c r="D1009" s="369" t="str">
        <f>image(CONCATENATE("https://nerothe.com/img/1.21/minecraft_",G1009,"_smithing_template.png"))</f>
        <v/>
      </c>
      <c r="E1009" s="368" t="s">
        <v>6845</v>
      </c>
      <c r="F1009" s="208">
        <v>1.0</v>
      </c>
      <c r="G1009" s="208" t="s">
        <v>6846</v>
      </c>
      <c r="H1009" s="208"/>
    </row>
    <row r="1010">
      <c r="B1010" s="367"/>
      <c r="C1010" s="208" t="b">
        <v>0</v>
      </c>
      <c r="D1010" s="369" t="str">
        <f t="shared" ref="D1010:D1080" si="12">image(CONCATENATE("https://nerothe.com/img/1.21/minecraft_",G1010,".png"))</f>
        <v/>
      </c>
      <c r="E1010" s="368" t="s">
        <v>6847</v>
      </c>
      <c r="F1010" s="208">
        <v>1.0</v>
      </c>
      <c r="G1010" s="208" t="s">
        <v>2490</v>
      </c>
      <c r="H1010" s="208"/>
    </row>
    <row r="1011">
      <c r="B1011" s="370"/>
      <c r="C1011" s="208" t="b">
        <v>0</v>
      </c>
      <c r="D1011" s="369" t="str">
        <f t="shared" si="12"/>
        <v/>
      </c>
      <c r="E1011" s="368" t="s">
        <v>6848</v>
      </c>
      <c r="F1011" s="208">
        <v>64.0</v>
      </c>
      <c r="G1011" s="208" t="s">
        <v>3285</v>
      </c>
      <c r="H1011" s="208"/>
    </row>
    <row r="1012">
      <c r="B1012" s="367" t="s">
        <v>6802</v>
      </c>
      <c r="C1012" s="208" t="b">
        <v>0</v>
      </c>
      <c r="D1012" s="369" t="str">
        <f t="shared" si="12"/>
        <v/>
      </c>
      <c r="E1012" s="368" t="s">
        <v>6849</v>
      </c>
      <c r="F1012" s="208">
        <v>64.0</v>
      </c>
      <c r="G1012" s="208" t="s">
        <v>224</v>
      </c>
      <c r="H1012" s="208"/>
    </row>
    <row r="1013">
      <c r="B1013" s="367"/>
      <c r="C1013" s="208" t="b">
        <v>0</v>
      </c>
      <c r="D1013" s="369" t="str">
        <f t="shared" si="12"/>
        <v/>
      </c>
      <c r="E1013" s="368" t="s">
        <v>6850</v>
      </c>
      <c r="F1013" s="208">
        <v>1.0</v>
      </c>
      <c r="G1013" s="208" t="s">
        <v>3920</v>
      </c>
      <c r="H1013" s="208"/>
    </row>
    <row r="1014">
      <c r="B1014" s="367"/>
      <c r="C1014" s="208" t="b">
        <v>0</v>
      </c>
      <c r="D1014" s="369" t="str">
        <f t="shared" si="12"/>
        <v/>
      </c>
      <c r="E1014" s="368" t="s">
        <v>6851</v>
      </c>
      <c r="F1014" s="208">
        <v>64.0</v>
      </c>
      <c r="G1014" s="208" t="s">
        <v>6852</v>
      </c>
      <c r="H1014" s="208"/>
    </row>
    <row r="1015">
      <c r="B1015" s="367"/>
      <c r="C1015" s="208" t="b">
        <v>0</v>
      </c>
      <c r="D1015" s="369" t="str">
        <f t="shared" si="12"/>
        <v/>
      </c>
      <c r="E1015" s="368" t="s">
        <v>6853</v>
      </c>
      <c r="F1015" s="208">
        <v>1.0</v>
      </c>
      <c r="G1015" s="208" t="s">
        <v>5114</v>
      </c>
      <c r="H1015" s="208"/>
    </row>
    <row r="1016">
      <c r="B1016" s="367"/>
      <c r="C1016" s="208" t="b">
        <v>0</v>
      </c>
      <c r="D1016" s="369" t="str">
        <f t="shared" si="12"/>
        <v/>
      </c>
      <c r="E1016" s="368" t="s">
        <v>6854</v>
      </c>
      <c r="F1016" s="208">
        <v>64.0</v>
      </c>
      <c r="G1016" s="208" t="s">
        <v>6855</v>
      </c>
      <c r="H1016" s="208"/>
    </row>
    <row r="1017">
      <c r="B1017" s="367"/>
      <c r="C1017" s="208" t="b">
        <v>0</v>
      </c>
      <c r="D1017" s="369" t="str">
        <f t="shared" si="12"/>
        <v/>
      </c>
      <c r="E1017" s="368" t="s">
        <v>6856</v>
      </c>
      <c r="F1017" s="208">
        <v>64.0</v>
      </c>
      <c r="G1017" s="208" t="s">
        <v>5160</v>
      </c>
      <c r="H1017" s="208"/>
    </row>
    <row r="1018">
      <c r="B1018" s="367"/>
      <c r="C1018" s="208" t="b">
        <v>0</v>
      </c>
      <c r="D1018" s="369" t="str">
        <f t="shared" si="12"/>
        <v/>
      </c>
      <c r="E1018" s="368" t="s">
        <v>6857</v>
      </c>
      <c r="F1018" s="208">
        <v>64.0</v>
      </c>
      <c r="G1018" s="208" t="s">
        <v>6858</v>
      </c>
      <c r="H1018" s="208"/>
    </row>
    <row r="1019">
      <c r="B1019" s="367"/>
      <c r="C1019" s="208" t="b">
        <v>0</v>
      </c>
      <c r="D1019" s="369" t="str">
        <f t="shared" si="12"/>
        <v/>
      </c>
      <c r="E1019" s="368" t="s">
        <v>6859</v>
      </c>
      <c r="F1019" s="208">
        <v>16.0</v>
      </c>
      <c r="G1019" s="208" t="s">
        <v>6860</v>
      </c>
      <c r="H1019" s="208"/>
    </row>
    <row r="1020">
      <c r="B1020" s="367"/>
      <c r="C1020" s="208" t="b">
        <v>0</v>
      </c>
      <c r="D1020" s="369" t="str">
        <f t="shared" si="12"/>
        <v/>
      </c>
      <c r="E1020" s="368" t="s">
        <v>6861</v>
      </c>
      <c r="F1020" s="208">
        <v>64.0</v>
      </c>
      <c r="G1020" s="208" t="s">
        <v>1362</v>
      </c>
      <c r="H1020" s="208"/>
    </row>
    <row r="1021">
      <c r="B1021" s="367"/>
      <c r="C1021" s="208" t="b">
        <v>0</v>
      </c>
      <c r="D1021" s="369" t="str">
        <f t="shared" si="12"/>
        <v/>
      </c>
      <c r="E1021" s="368" t="s">
        <v>6862</v>
      </c>
      <c r="F1021" s="208">
        <v>64.0</v>
      </c>
      <c r="G1021" s="208" t="s">
        <v>6863</v>
      </c>
      <c r="H1021" s="208"/>
    </row>
    <row r="1022">
      <c r="B1022" s="367"/>
      <c r="C1022" s="208" t="b">
        <v>0</v>
      </c>
      <c r="D1022" s="369" t="str">
        <f t="shared" si="12"/>
        <v/>
      </c>
      <c r="E1022" s="368" t="s">
        <v>6864</v>
      </c>
      <c r="F1022" s="208">
        <v>64.0</v>
      </c>
      <c r="G1022" s="208" t="s">
        <v>6865</v>
      </c>
      <c r="H1022" s="208"/>
    </row>
    <row r="1023">
      <c r="B1023" s="367"/>
      <c r="C1023" s="208" t="b">
        <v>0</v>
      </c>
      <c r="D1023" s="369" t="str">
        <f t="shared" si="12"/>
        <v/>
      </c>
      <c r="E1023" s="368" t="s">
        <v>6866</v>
      </c>
      <c r="F1023" s="208">
        <v>64.0</v>
      </c>
      <c r="G1023" s="208" t="s">
        <v>6867</v>
      </c>
      <c r="H1023" s="208"/>
    </row>
    <row r="1024">
      <c r="B1024" s="367"/>
      <c r="C1024" s="208" t="b">
        <v>0</v>
      </c>
      <c r="D1024" s="369" t="str">
        <f t="shared" si="12"/>
        <v/>
      </c>
      <c r="E1024" s="368" t="s">
        <v>6868</v>
      </c>
      <c r="F1024" s="208">
        <v>64.0</v>
      </c>
      <c r="G1024" s="208" t="s">
        <v>1038</v>
      </c>
      <c r="H1024" s="208"/>
    </row>
    <row r="1025">
      <c r="B1025" s="367"/>
      <c r="C1025" s="208" t="b">
        <v>0</v>
      </c>
      <c r="D1025" s="369" t="str">
        <f t="shared" si="12"/>
        <v/>
      </c>
      <c r="E1025" s="368" t="s">
        <v>6869</v>
      </c>
      <c r="F1025" s="208">
        <v>16.0</v>
      </c>
      <c r="G1025" s="208" t="s">
        <v>6870</v>
      </c>
      <c r="H1025" s="208"/>
    </row>
    <row r="1026">
      <c r="B1026" s="367"/>
      <c r="C1026" s="208" t="b">
        <v>0</v>
      </c>
      <c r="D1026" s="369" t="str">
        <f t="shared" si="12"/>
        <v/>
      </c>
      <c r="E1026" s="368" t="s">
        <v>6871</v>
      </c>
      <c r="F1026" s="208">
        <v>64.0</v>
      </c>
      <c r="G1026" s="208" t="s">
        <v>6872</v>
      </c>
      <c r="H1026" s="208"/>
    </row>
    <row r="1027">
      <c r="B1027" s="367"/>
      <c r="C1027" s="208" t="b">
        <v>0</v>
      </c>
      <c r="D1027" s="369" t="str">
        <f t="shared" si="12"/>
        <v/>
      </c>
      <c r="E1027" s="368" t="s">
        <v>6873</v>
      </c>
      <c r="F1027" s="208">
        <v>64.0</v>
      </c>
      <c r="G1027" s="208" t="s">
        <v>769</v>
      </c>
      <c r="H1027" s="208"/>
    </row>
    <row r="1028">
      <c r="B1028" s="367"/>
      <c r="C1028" s="208" t="b">
        <v>0</v>
      </c>
      <c r="D1028" s="369" t="str">
        <f t="shared" si="12"/>
        <v/>
      </c>
      <c r="E1028" s="368" t="s">
        <v>6874</v>
      </c>
      <c r="F1028" s="208">
        <v>64.0</v>
      </c>
      <c r="G1028" s="208" t="s">
        <v>6875</v>
      </c>
      <c r="H1028" s="208"/>
    </row>
    <row r="1029">
      <c r="B1029" s="367"/>
      <c r="C1029" s="208" t="b">
        <v>0</v>
      </c>
      <c r="D1029" s="369" t="str">
        <f t="shared" si="12"/>
        <v/>
      </c>
      <c r="E1029" s="368" t="s">
        <v>6876</v>
      </c>
      <c r="F1029" s="208">
        <v>64.0</v>
      </c>
      <c r="G1029" s="208" t="s">
        <v>6877</v>
      </c>
      <c r="H1029" s="208"/>
    </row>
    <row r="1030">
      <c r="B1030" s="367"/>
      <c r="C1030" s="208" t="b">
        <v>0</v>
      </c>
      <c r="D1030" s="369" t="str">
        <f t="shared" si="12"/>
        <v/>
      </c>
      <c r="E1030" s="368" t="s">
        <v>6878</v>
      </c>
      <c r="F1030" s="208">
        <v>1.0</v>
      </c>
      <c r="G1030" s="208" t="s">
        <v>645</v>
      </c>
      <c r="H1030" s="208"/>
    </row>
    <row r="1031">
      <c r="B1031" s="367"/>
      <c r="C1031" s="208" t="b">
        <v>0</v>
      </c>
      <c r="D1031" s="369" t="str">
        <f t="shared" si="12"/>
        <v/>
      </c>
      <c r="E1031" s="368" t="s">
        <v>6879</v>
      </c>
      <c r="F1031" s="208">
        <v>64.0</v>
      </c>
      <c r="G1031" s="208" t="s">
        <v>416</v>
      </c>
      <c r="H1031" s="208"/>
    </row>
    <row r="1032">
      <c r="B1032" s="367"/>
      <c r="C1032" s="208" t="b">
        <v>0</v>
      </c>
      <c r="D1032" s="369" t="str">
        <f t="shared" si="12"/>
        <v/>
      </c>
      <c r="E1032" s="368" t="s">
        <v>6880</v>
      </c>
      <c r="F1032" s="208">
        <v>64.0</v>
      </c>
      <c r="G1032" s="208" t="s">
        <v>3513</v>
      </c>
      <c r="H1032" s="208"/>
    </row>
    <row r="1033">
      <c r="B1033" s="367"/>
      <c r="C1033" s="208" t="b">
        <v>0</v>
      </c>
      <c r="D1033" s="369" t="str">
        <f t="shared" si="12"/>
        <v/>
      </c>
      <c r="E1033" s="368" t="s">
        <v>6881</v>
      </c>
      <c r="F1033" s="208">
        <v>64.0</v>
      </c>
      <c r="G1033" s="208" t="s">
        <v>427</v>
      </c>
      <c r="H1033" s="208"/>
    </row>
    <row r="1034">
      <c r="B1034" s="367"/>
      <c r="C1034" s="208" t="b">
        <v>0</v>
      </c>
      <c r="D1034" s="369" t="str">
        <f t="shared" si="12"/>
        <v/>
      </c>
      <c r="E1034" s="368" t="s">
        <v>6882</v>
      </c>
      <c r="F1034" s="208">
        <v>1.0</v>
      </c>
      <c r="G1034" s="208" t="s">
        <v>506</v>
      </c>
      <c r="H1034" s="208"/>
    </row>
    <row r="1035">
      <c r="B1035" s="367"/>
      <c r="C1035" s="208" t="b">
        <v>0</v>
      </c>
      <c r="D1035" s="369" t="str">
        <f t="shared" si="12"/>
        <v/>
      </c>
      <c r="E1035" s="368" t="s">
        <v>6883</v>
      </c>
      <c r="F1035" s="208">
        <v>64.0</v>
      </c>
      <c r="G1035" s="208" t="s">
        <v>6884</v>
      </c>
      <c r="H1035" s="208"/>
    </row>
    <row r="1036">
      <c r="B1036" s="367"/>
      <c r="C1036" s="208" t="b">
        <v>0</v>
      </c>
      <c r="D1036" s="369" t="str">
        <f t="shared" si="12"/>
        <v/>
      </c>
      <c r="E1036" s="368" t="s">
        <v>6885</v>
      </c>
      <c r="F1036" s="208">
        <v>64.0</v>
      </c>
      <c r="G1036" s="208" t="s">
        <v>777</v>
      </c>
      <c r="H1036" s="208"/>
    </row>
    <row r="1037">
      <c r="B1037" s="367"/>
      <c r="C1037" s="208" t="b">
        <v>0</v>
      </c>
      <c r="D1037" s="369" t="str">
        <f t="shared" si="12"/>
        <v/>
      </c>
      <c r="E1037" s="368" t="s">
        <v>6886</v>
      </c>
      <c r="F1037" s="208">
        <v>64.0</v>
      </c>
      <c r="G1037" s="208" t="s">
        <v>6887</v>
      </c>
      <c r="H1037" s="208"/>
    </row>
    <row r="1038">
      <c r="B1038" s="367"/>
      <c r="C1038" s="208" t="b">
        <v>0</v>
      </c>
      <c r="D1038" s="369" t="str">
        <f t="shared" si="12"/>
        <v/>
      </c>
      <c r="E1038" s="368" t="s">
        <v>6888</v>
      </c>
      <c r="F1038" s="208">
        <v>64.0</v>
      </c>
      <c r="G1038" s="208" t="s">
        <v>2587</v>
      </c>
      <c r="H1038" s="208"/>
    </row>
    <row r="1039">
      <c r="B1039" s="367"/>
      <c r="C1039" s="208" t="b">
        <v>0</v>
      </c>
      <c r="D1039" s="369" t="str">
        <f t="shared" si="12"/>
        <v/>
      </c>
      <c r="E1039" s="368" t="s">
        <v>6889</v>
      </c>
      <c r="F1039" s="208">
        <v>64.0</v>
      </c>
      <c r="G1039" s="208" t="s">
        <v>6890</v>
      </c>
      <c r="H1039" s="208"/>
    </row>
    <row r="1040">
      <c r="B1040" s="367"/>
      <c r="C1040" s="208" t="b">
        <v>0</v>
      </c>
      <c r="D1040" s="369" t="str">
        <f t="shared" si="12"/>
        <v/>
      </c>
      <c r="E1040" s="368" t="s">
        <v>6891</v>
      </c>
      <c r="F1040" s="208">
        <v>1.0</v>
      </c>
      <c r="G1040" s="208" t="s">
        <v>6892</v>
      </c>
      <c r="H1040" s="208"/>
    </row>
    <row r="1041">
      <c r="B1041" s="367"/>
      <c r="C1041" s="208" t="b">
        <v>0</v>
      </c>
      <c r="D1041" s="369" t="str">
        <f t="shared" si="12"/>
        <v/>
      </c>
      <c r="E1041" s="368" t="s">
        <v>6893</v>
      </c>
      <c r="F1041" s="208">
        <v>1.0</v>
      </c>
      <c r="G1041" s="208" t="s">
        <v>407</v>
      </c>
      <c r="H1041" s="208"/>
    </row>
    <row r="1042">
      <c r="B1042" s="367"/>
      <c r="C1042" s="208" t="b">
        <v>0</v>
      </c>
      <c r="D1042" s="369" t="str">
        <f t="shared" si="12"/>
        <v/>
      </c>
      <c r="E1042" s="368" t="s">
        <v>6894</v>
      </c>
      <c r="F1042" s="208">
        <v>64.0</v>
      </c>
      <c r="G1042" s="208" t="s">
        <v>3390</v>
      </c>
      <c r="H1042" s="208"/>
    </row>
    <row r="1043">
      <c r="B1043" s="367"/>
      <c r="C1043" s="208" t="b">
        <v>0</v>
      </c>
      <c r="D1043" s="369" t="str">
        <f t="shared" si="12"/>
        <v/>
      </c>
      <c r="E1043" s="368" t="s">
        <v>6895</v>
      </c>
      <c r="F1043" s="208">
        <v>1.0</v>
      </c>
      <c r="G1043" s="208" t="s">
        <v>412</v>
      </c>
      <c r="H1043" s="208"/>
    </row>
    <row r="1044">
      <c r="B1044" s="367"/>
      <c r="C1044" s="208" t="b">
        <v>0</v>
      </c>
      <c r="D1044" s="369" t="str">
        <f t="shared" si="12"/>
        <v/>
      </c>
      <c r="E1044" s="368" t="s">
        <v>6896</v>
      </c>
      <c r="F1044" s="208">
        <v>64.0</v>
      </c>
      <c r="G1044" s="208" t="s">
        <v>6897</v>
      </c>
      <c r="H1044" s="208"/>
    </row>
    <row r="1045">
      <c r="B1045" s="367"/>
      <c r="C1045" s="208" t="b">
        <v>0</v>
      </c>
      <c r="D1045" s="369" t="str">
        <f t="shared" si="12"/>
        <v/>
      </c>
      <c r="E1045" s="368" t="s">
        <v>6898</v>
      </c>
      <c r="F1045" s="208">
        <v>64.0</v>
      </c>
      <c r="G1045" s="208" t="s">
        <v>6899</v>
      </c>
      <c r="H1045" s="208"/>
    </row>
    <row r="1046">
      <c r="B1046" s="367"/>
      <c r="C1046" s="208" t="b">
        <v>0</v>
      </c>
      <c r="D1046" s="369" t="str">
        <f t="shared" si="12"/>
        <v/>
      </c>
      <c r="E1046" s="368" t="s">
        <v>6900</v>
      </c>
      <c r="F1046" s="208">
        <v>1.0</v>
      </c>
      <c r="G1046" s="208" t="s">
        <v>2101</v>
      </c>
      <c r="H1046" s="208"/>
    </row>
    <row r="1047">
      <c r="B1047" s="367"/>
      <c r="C1047" s="208" t="b">
        <v>0</v>
      </c>
      <c r="D1047" s="369" t="str">
        <f t="shared" si="12"/>
        <v/>
      </c>
      <c r="E1047" s="368" t="s">
        <v>6901</v>
      </c>
      <c r="F1047" s="208">
        <v>64.0</v>
      </c>
      <c r="G1047" s="208" t="s">
        <v>1288</v>
      </c>
      <c r="H1047" s="208"/>
    </row>
    <row r="1048">
      <c r="B1048" s="367"/>
      <c r="C1048" s="208" t="b">
        <v>0</v>
      </c>
      <c r="D1048" s="369" t="str">
        <f t="shared" si="12"/>
        <v/>
      </c>
      <c r="E1048" s="368" t="s">
        <v>6902</v>
      </c>
      <c r="F1048" s="208">
        <v>64.0</v>
      </c>
      <c r="G1048" s="208" t="s">
        <v>2381</v>
      </c>
      <c r="H1048" s="208"/>
    </row>
    <row r="1049">
      <c r="B1049" s="370"/>
      <c r="C1049" s="208" t="b">
        <v>0</v>
      </c>
      <c r="D1049" s="369" t="str">
        <f t="shared" si="12"/>
        <v/>
      </c>
      <c r="E1049" s="368" t="s">
        <v>6903</v>
      </c>
      <c r="F1049" s="208">
        <v>64.0</v>
      </c>
      <c r="G1049" s="208" t="s">
        <v>6904</v>
      </c>
      <c r="H1049" s="208"/>
    </row>
    <row r="1050">
      <c r="B1050" s="367"/>
      <c r="C1050" s="208" t="b">
        <v>0</v>
      </c>
      <c r="D1050" s="369" t="str">
        <f t="shared" si="12"/>
        <v/>
      </c>
      <c r="E1050" s="368" t="s">
        <v>6905</v>
      </c>
      <c r="F1050" s="208">
        <v>64.0</v>
      </c>
      <c r="G1050" s="208" t="s">
        <v>6906</v>
      </c>
      <c r="H1050" s="208"/>
    </row>
    <row r="1051">
      <c r="B1051" s="370"/>
      <c r="C1051" s="208" t="b">
        <v>0</v>
      </c>
      <c r="D1051" s="369" t="str">
        <f t="shared" si="12"/>
        <v/>
      </c>
      <c r="E1051" s="368" t="s">
        <v>6907</v>
      </c>
      <c r="F1051" s="208">
        <v>64.0</v>
      </c>
      <c r="G1051" s="208" t="s">
        <v>6908</v>
      </c>
      <c r="H1051" s="208"/>
    </row>
    <row r="1052">
      <c r="B1052" s="370"/>
      <c r="C1052" s="208" t="b">
        <v>0</v>
      </c>
      <c r="D1052" s="369" t="str">
        <f t="shared" si="12"/>
        <v/>
      </c>
      <c r="E1052" s="368" t="s">
        <v>6909</v>
      </c>
      <c r="F1052" s="208">
        <v>64.0</v>
      </c>
      <c r="G1052" s="208" t="s">
        <v>6910</v>
      </c>
      <c r="H1052" s="208"/>
    </row>
    <row r="1053">
      <c r="B1053" s="367"/>
      <c r="C1053" s="208" t="b">
        <v>0</v>
      </c>
      <c r="D1053" s="369" t="str">
        <f t="shared" si="12"/>
        <v/>
      </c>
      <c r="E1053" s="368" t="s">
        <v>6911</v>
      </c>
      <c r="F1053" s="208">
        <v>64.0</v>
      </c>
      <c r="G1053" s="208" t="s">
        <v>6912</v>
      </c>
      <c r="H1053" s="208"/>
    </row>
    <row r="1054">
      <c r="B1054" s="370"/>
      <c r="C1054" s="208" t="b">
        <v>0</v>
      </c>
      <c r="D1054" s="369" t="str">
        <f t="shared" si="12"/>
        <v/>
      </c>
      <c r="E1054" s="368" t="s">
        <v>6913</v>
      </c>
      <c r="F1054" s="208">
        <v>64.0</v>
      </c>
      <c r="G1054" s="208" t="s">
        <v>6914</v>
      </c>
      <c r="H1054" s="208"/>
    </row>
    <row r="1055">
      <c r="B1055" s="367"/>
      <c r="C1055" s="208" t="b">
        <v>0</v>
      </c>
      <c r="D1055" s="369" t="str">
        <f t="shared" si="12"/>
        <v/>
      </c>
      <c r="E1055" s="368" t="s">
        <v>6915</v>
      </c>
      <c r="F1055" s="208">
        <v>64.0</v>
      </c>
      <c r="G1055" s="208" t="s">
        <v>6916</v>
      </c>
      <c r="H1055" s="208"/>
    </row>
    <row r="1056">
      <c r="B1056" s="367"/>
      <c r="C1056" s="208" t="b">
        <v>0</v>
      </c>
      <c r="D1056" s="369" t="str">
        <f t="shared" si="12"/>
        <v/>
      </c>
      <c r="E1056" s="368" t="s">
        <v>6917</v>
      </c>
      <c r="F1056" s="208">
        <v>64.0</v>
      </c>
      <c r="G1056" s="208" t="s">
        <v>6918</v>
      </c>
      <c r="H1056" s="208"/>
    </row>
    <row r="1057">
      <c r="B1057" s="370"/>
      <c r="C1057" s="208" t="b">
        <v>0</v>
      </c>
      <c r="D1057" s="369" t="str">
        <f t="shared" si="12"/>
        <v/>
      </c>
      <c r="E1057" s="368" t="s">
        <v>6919</v>
      </c>
      <c r="F1057" s="208">
        <v>64.0</v>
      </c>
      <c r="G1057" s="208" t="s">
        <v>6920</v>
      </c>
      <c r="H1057" s="208"/>
    </row>
    <row r="1058">
      <c r="B1058" s="370"/>
      <c r="C1058" s="208" t="b">
        <v>0</v>
      </c>
      <c r="D1058" s="369" t="str">
        <f t="shared" si="12"/>
        <v/>
      </c>
      <c r="E1058" s="368" t="s">
        <v>6921</v>
      </c>
      <c r="F1058" s="208">
        <v>64.0</v>
      </c>
      <c r="G1058" s="208" t="s">
        <v>6922</v>
      </c>
      <c r="H1058" s="208"/>
    </row>
    <row r="1059">
      <c r="B1059" s="367"/>
      <c r="C1059" s="208" t="b">
        <v>0</v>
      </c>
      <c r="D1059" s="369" t="str">
        <f t="shared" si="12"/>
        <v/>
      </c>
      <c r="E1059" s="368" t="s">
        <v>6923</v>
      </c>
      <c r="F1059" s="208">
        <v>64.0</v>
      </c>
      <c r="G1059" s="208" t="s">
        <v>6924</v>
      </c>
      <c r="H1059" s="208"/>
    </row>
    <row r="1060">
      <c r="B1060" s="370"/>
      <c r="C1060" s="208" t="b">
        <v>0</v>
      </c>
      <c r="D1060" s="369" t="str">
        <f t="shared" si="12"/>
        <v/>
      </c>
      <c r="E1060" s="368" t="s">
        <v>6925</v>
      </c>
      <c r="F1060" s="208">
        <v>64.0</v>
      </c>
      <c r="G1060" s="208" t="s">
        <v>1083</v>
      </c>
      <c r="H1060" s="208"/>
    </row>
    <row r="1061">
      <c r="B1061" s="367"/>
      <c r="C1061" s="208" t="b">
        <v>0</v>
      </c>
      <c r="D1061" s="369" t="str">
        <f t="shared" si="12"/>
        <v/>
      </c>
      <c r="E1061" s="368" t="s">
        <v>6926</v>
      </c>
      <c r="F1061" s="208">
        <v>64.0</v>
      </c>
      <c r="G1061" s="208" t="s">
        <v>6927</v>
      </c>
      <c r="H1061" s="208"/>
    </row>
    <row r="1062">
      <c r="B1062" s="370"/>
      <c r="C1062" s="208" t="b">
        <v>0</v>
      </c>
      <c r="D1062" s="369" t="str">
        <f t="shared" si="12"/>
        <v/>
      </c>
      <c r="E1062" s="368" t="s">
        <v>6928</v>
      </c>
      <c r="F1062" s="208">
        <v>64.0</v>
      </c>
      <c r="G1062" s="208" t="s">
        <v>6929</v>
      </c>
      <c r="H1062" s="208"/>
    </row>
    <row r="1063">
      <c r="B1063" s="367"/>
      <c r="C1063" s="208" t="b">
        <v>0</v>
      </c>
      <c r="D1063" s="369" t="str">
        <f t="shared" si="12"/>
        <v/>
      </c>
      <c r="E1063" s="368" t="s">
        <v>6930</v>
      </c>
      <c r="F1063" s="208">
        <v>64.0</v>
      </c>
      <c r="G1063" s="208" t="s">
        <v>6931</v>
      </c>
      <c r="H1063" s="208"/>
    </row>
    <row r="1064">
      <c r="B1064" s="370"/>
      <c r="C1064" s="208" t="b">
        <v>0</v>
      </c>
      <c r="D1064" s="369" t="str">
        <f t="shared" si="12"/>
        <v/>
      </c>
      <c r="E1064" s="368" t="s">
        <v>6932</v>
      </c>
      <c r="F1064" s="208">
        <v>64.0</v>
      </c>
      <c r="G1064" s="208" t="s">
        <v>6933</v>
      </c>
      <c r="H1064" s="208"/>
    </row>
    <row r="1065">
      <c r="B1065" s="367"/>
      <c r="C1065" s="208" t="b">
        <v>0</v>
      </c>
      <c r="D1065" s="369" t="str">
        <f t="shared" si="12"/>
        <v/>
      </c>
      <c r="E1065" s="368" t="s">
        <v>6934</v>
      </c>
      <c r="F1065" s="208">
        <v>64.0</v>
      </c>
      <c r="G1065" s="208" t="s">
        <v>1028</v>
      </c>
      <c r="H1065" s="208"/>
    </row>
    <row r="1066">
      <c r="B1066" s="370"/>
      <c r="C1066" s="208" t="b">
        <v>0</v>
      </c>
      <c r="D1066" s="369" t="str">
        <f t="shared" si="12"/>
        <v/>
      </c>
      <c r="E1066" s="368" t="s">
        <v>6935</v>
      </c>
      <c r="F1066" s="208">
        <v>64.0</v>
      </c>
      <c r="G1066" s="208" t="s">
        <v>288</v>
      </c>
      <c r="H1066" s="208"/>
    </row>
    <row r="1067">
      <c r="B1067" s="367"/>
      <c r="C1067" s="208" t="b">
        <v>0</v>
      </c>
      <c r="D1067" s="369" t="str">
        <f t="shared" si="12"/>
        <v/>
      </c>
      <c r="E1067" s="368" t="s">
        <v>6936</v>
      </c>
      <c r="F1067" s="208">
        <v>64.0</v>
      </c>
      <c r="G1067" s="208" t="s">
        <v>6937</v>
      </c>
      <c r="H1067" s="208"/>
    </row>
    <row r="1068">
      <c r="B1068" s="367"/>
      <c r="C1068" s="208" t="b">
        <v>0</v>
      </c>
      <c r="D1068" s="369" t="str">
        <f t="shared" si="12"/>
        <v/>
      </c>
      <c r="E1068" s="368" t="s">
        <v>6938</v>
      </c>
      <c r="F1068" s="208">
        <v>64.0</v>
      </c>
      <c r="G1068" s="208" t="s">
        <v>6939</v>
      </c>
      <c r="H1068" s="208"/>
    </row>
    <row r="1069">
      <c r="B1069" s="370"/>
      <c r="C1069" s="208" t="b">
        <v>0</v>
      </c>
      <c r="D1069" s="369" t="str">
        <f t="shared" si="12"/>
        <v/>
      </c>
      <c r="E1069" s="368" t="s">
        <v>6940</v>
      </c>
      <c r="F1069" s="208">
        <v>64.0</v>
      </c>
      <c r="G1069" s="208" t="s">
        <v>6941</v>
      </c>
      <c r="H1069" s="208"/>
    </row>
    <row r="1070">
      <c r="B1070" s="367"/>
      <c r="C1070" s="208" t="b">
        <v>0</v>
      </c>
      <c r="D1070" s="369" t="str">
        <f t="shared" si="12"/>
        <v/>
      </c>
      <c r="E1070" s="368" t="s">
        <v>6942</v>
      </c>
      <c r="F1070" s="208">
        <v>64.0</v>
      </c>
      <c r="G1070" s="208" t="s">
        <v>2482</v>
      </c>
      <c r="H1070" s="208"/>
    </row>
    <row r="1071">
      <c r="B1071" s="367"/>
      <c r="C1071" s="208" t="b">
        <v>0</v>
      </c>
      <c r="D1071" s="369" t="str">
        <f t="shared" si="12"/>
        <v/>
      </c>
      <c r="E1071" s="368" t="s">
        <v>6943</v>
      </c>
      <c r="F1071" s="208">
        <v>64.0</v>
      </c>
      <c r="G1071" s="208" t="s">
        <v>1395</v>
      </c>
      <c r="H1071" s="208"/>
    </row>
    <row r="1072">
      <c r="B1072" s="370"/>
      <c r="C1072" s="208" t="b">
        <v>0</v>
      </c>
      <c r="D1072" s="369" t="str">
        <f t="shared" si="12"/>
        <v/>
      </c>
      <c r="E1072" s="368" t="s">
        <v>6944</v>
      </c>
      <c r="F1072" s="208">
        <v>64.0</v>
      </c>
      <c r="G1072" s="208" t="s">
        <v>4027</v>
      </c>
      <c r="H1072" s="208"/>
    </row>
    <row r="1073">
      <c r="B1073" s="367" t="s">
        <v>2905</v>
      </c>
      <c r="C1073" s="208" t="b">
        <v>0</v>
      </c>
      <c r="D1073" s="369" t="str">
        <f t="shared" si="12"/>
        <v/>
      </c>
      <c r="E1073" s="368" t="s">
        <v>6945</v>
      </c>
      <c r="F1073" s="208">
        <v>1.0</v>
      </c>
      <c r="G1073" s="208" t="s">
        <v>2913</v>
      </c>
      <c r="H1073" s="208"/>
    </row>
    <row r="1074">
      <c r="B1074" s="367" t="s">
        <v>2905</v>
      </c>
      <c r="C1074" s="208" t="b">
        <v>0</v>
      </c>
      <c r="D1074" s="369" t="str">
        <f t="shared" si="12"/>
        <v/>
      </c>
      <c r="E1074" s="368" t="s">
        <v>6946</v>
      </c>
      <c r="F1074" s="208">
        <v>1.0</v>
      </c>
      <c r="G1074" s="208" t="s">
        <v>2898</v>
      </c>
      <c r="H1074" s="208"/>
    </row>
    <row r="1075">
      <c r="B1075" s="367"/>
      <c r="C1075" s="208" t="b">
        <v>0</v>
      </c>
      <c r="D1075" s="369" t="str">
        <f t="shared" si="12"/>
        <v/>
      </c>
      <c r="E1075" s="368" t="s">
        <v>6947</v>
      </c>
      <c r="F1075" s="208">
        <v>1.0</v>
      </c>
      <c r="G1075" s="208" t="s">
        <v>1384</v>
      </c>
      <c r="H1075" s="208"/>
    </row>
    <row r="1076">
      <c r="B1076" s="367"/>
      <c r="C1076" s="208" t="b">
        <v>0</v>
      </c>
      <c r="D1076" s="369" t="str">
        <f t="shared" si="12"/>
        <v/>
      </c>
      <c r="E1076" s="368" t="s">
        <v>6948</v>
      </c>
      <c r="F1076" s="208">
        <v>64.0</v>
      </c>
      <c r="G1076" s="208" t="s">
        <v>1357</v>
      </c>
      <c r="H1076" s="208"/>
    </row>
    <row r="1077">
      <c r="B1077" s="367"/>
      <c r="C1077" s="208" t="b">
        <v>0</v>
      </c>
      <c r="D1077" s="369" t="str">
        <f t="shared" si="12"/>
        <v/>
      </c>
      <c r="E1077" s="368" t="s">
        <v>6949</v>
      </c>
      <c r="F1077" s="208">
        <v>1.0</v>
      </c>
      <c r="G1077" s="208" t="s">
        <v>2087</v>
      </c>
      <c r="H1077" s="208"/>
    </row>
    <row r="1078">
      <c r="B1078" s="367" t="s">
        <v>1343</v>
      </c>
      <c r="C1078" s="208" t="b">
        <v>0</v>
      </c>
      <c r="D1078" s="369" t="str">
        <f t="shared" si="12"/>
        <v/>
      </c>
      <c r="E1078" s="368" t="s">
        <v>6950</v>
      </c>
      <c r="F1078" s="208">
        <v>1.0</v>
      </c>
      <c r="G1078" s="208" t="s">
        <v>6951</v>
      </c>
      <c r="H1078" s="208"/>
    </row>
    <row r="1079">
      <c r="B1079" s="367"/>
      <c r="C1079" s="208" t="b">
        <v>0</v>
      </c>
      <c r="D1079" s="369" t="str">
        <f t="shared" si="12"/>
        <v/>
      </c>
      <c r="E1079" s="368" t="s">
        <v>6952</v>
      </c>
      <c r="F1079" s="208">
        <v>64.0</v>
      </c>
      <c r="G1079" s="208" t="s">
        <v>3480</v>
      </c>
      <c r="H1079" s="208"/>
    </row>
    <row r="1080">
      <c r="B1080" s="370"/>
      <c r="C1080" s="208" t="b">
        <v>0</v>
      </c>
      <c r="D1080" s="369" t="str">
        <f t="shared" si="12"/>
        <v/>
      </c>
      <c r="E1080" s="368" t="s">
        <v>6953</v>
      </c>
      <c r="F1080" s="208">
        <v>64.0</v>
      </c>
      <c r="G1080" s="208" t="s">
        <v>6954</v>
      </c>
      <c r="H1080" s="208"/>
    </row>
    <row r="1081">
      <c r="B1081" s="367" t="s">
        <v>6955</v>
      </c>
      <c r="C1081" s="208" t="b">
        <v>0</v>
      </c>
      <c r="D1081" s="369" t="str">
        <f>image(CONCATENATE("https://nerothe.com/img/1.21/minecraft_",G1081,"_smithing_template.png"))</f>
        <v/>
      </c>
      <c r="E1081" s="368" t="s">
        <v>6956</v>
      </c>
      <c r="F1081" s="208">
        <v>1.0</v>
      </c>
      <c r="G1081" s="208" t="s">
        <v>6957</v>
      </c>
      <c r="H1081" s="208"/>
    </row>
    <row r="1082">
      <c r="B1082" s="367"/>
      <c r="C1082" s="208" t="b">
        <v>0</v>
      </c>
      <c r="D1082" s="369" t="str">
        <f t="shared" ref="D1082:D1110" si="13">image(CONCATENATE("https://nerothe.com/img/1.21/minecraft_",G1082,".png"))</f>
        <v/>
      </c>
      <c r="E1082" s="368" t="s">
        <v>6958</v>
      </c>
      <c r="F1082" s="208">
        <v>64.0</v>
      </c>
      <c r="G1082" s="208" t="s">
        <v>651</v>
      </c>
      <c r="H1082" s="208"/>
    </row>
    <row r="1083">
      <c r="B1083" s="367"/>
      <c r="C1083" s="208" t="b">
        <v>0</v>
      </c>
      <c r="D1083" s="369" t="str">
        <f t="shared" si="13"/>
        <v/>
      </c>
      <c r="E1083" s="368" t="s">
        <v>6959</v>
      </c>
      <c r="F1083" s="208">
        <v>64.0</v>
      </c>
      <c r="G1083" s="208" t="s">
        <v>2359</v>
      </c>
      <c r="H1083" s="208"/>
    </row>
    <row r="1084">
      <c r="B1084" s="367"/>
      <c r="C1084" s="208" t="b">
        <v>0</v>
      </c>
      <c r="D1084" s="369" t="str">
        <f t="shared" si="13"/>
        <v/>
      </c>
      <c r="E1084" s="368" t="s">
        <v>6960</v>
      </c>
      <c r="F1084" s="208">
        <v>64.0</v>
      </c>
      <c r="G1084" s="208" t="s">
        <v>2731</v>
      </c>
      <c r="H1084" s="208"/>
    </row>
    <row r="1085">
      <c r="B1085" s="367"/>
      <c r="C1085" s="208" t="b">
        <v>0</v>
      </c>
      <c r="D1085" s="369" t="str">
        <f t="shared" si="13"/>
        <v/>
      </c>
      <c r="E1085" s="368" t="s">
        <v>6961</v>
      </c>
      <c r="F1085" s="208">
        <v>1.0</v>
      </c>
      <c r="G1085" s="208" t="s">
        <v>3567</v>
      </c>
      <c r="H1085" s="208"/>
    </row>
    <row r="1086">
      <c r="B1086" s="367"/>
      <c r="C1086" s="208" t="b">
        <v>0</v>
      </c>
      <c r="D1086" s="369" t="str">
        <f t="shared" si="13"/>
        <v/>
      </c>
      <c r="E1086" s="368" t="s">
        <v>6962</v>
      </c>
      <c r="F1086" s="208">
        <v>64.0</v>
      </c>
      <c r="G1086" s="208" t="s">
        <v>907</v>
      </c>
      <c r="H1086" s="208"/>
    </row>
    <row r="1087">
      <c r="B1087" s="367" t="s">
        <v>1991</v>
      </c>
      <c r="C1087" s="208" t="b">
        <v>0</v>
      </c>
      <c r="D1087" s="369" t="str">
        <f t="shared" si="13"/>
        <v/>
      </c>
      <c r="E1087" s="368" t="s">
        <v>6963</v>
      </c>
      <c r="F1087" s="208">
        <v>64.0</v>
      </c>
      <c r="G1087" s="208" t="s">
        <v>2938</v>
      </c>
      <c r="H1087" s="208"/>
    </row>
    <row r="1088">
      <c r="B1088" s="367" t="s">
        <v>1991</v>
      </c>
      <c r="C1088" s="208" t="b">
        <v>0</v>
      </c>
      <c r="D1088" s="369" t="str">
        <f t="shared" si="13"/>
        <v/>
      </c>
      <c r="E1088" s="368" t="s">
        <v>6964</v>
      </c>
      <c r="F1088" s="208">
        <v>64.0</v>
      </c>
      <c r="G1088" s="208" t="s">
        <v>2928</v>
      </c>
      <c r="H1088" s="208"/>
    </row>
    <row r="1089">
      <c r="B1089" s="367"/>
      <c r="C1089" s="208" t="b">
        <v>0</v>
      </c>
      <c r="D1089" s="369" t="str">
        <f t="shared" si="13"/>
        <v/>
      </c>
      <c r="E1089" s="368" t="s">
        <v>6965</v>
      </c>
      <c r="F1089" s="208">
        <v>1.0</v>
      </c>
      <c r="G1089" s="208" t="s">
        <v>2078</v>
      </c>
      <c r="H1089" s="208"/>
    </row>
    <row r="1090">
      <c r="B1090" s="367"/>
      <c r="C1090" s="208" t="b">
        <v>0</v>
      </c>
      <c r="D1090" s="369" t="str">
        <f t="shared" si="13"/>
        <v/>
      </c>
      <c r="E1090" s="368" t="s">
        <v>6966</v>
      </c>
      <c r="F1090" s="208">
        <v>64.0</v>
      </c>
      <c r="G1090" s="208" t="s">
        <v>3414</v>
      </c>
      <c r="H1090" s="208"/>
    </row>
    <row r="1091">
      <c r="B1091" s="367" t="s">
        <v>993</v>
      </c>
      <c r="C1091" s="208" t="b">
        <v>0</v>
      </c>
      <c r="D1091" s="369" t="str">
        <f t="shared" si="13"/>
        <v/>
      </c>
      <c r="E1091" s="368" t="s">
        <v>6967</v>
      </c>
      <c r="F1091" s="208">
        <v>64.0</v>
      </c>
      <c r="G1091" s="208" t="s">
        <v>3347</v>
      </c>
      <c r="H1091" s="208"/>
    </row>
    <row r="1092">
      <c r="B1092" s="367"/>
      <c r="C1092" s="208" t="b">
        <v>0</v>
      </c>
      <c r="D1092" s="369" t="str">
        <f t="shared" si="13"/>
        <v/>
      </c>
      <c r="E1092" s="368" t="s">
        <v>6968</v>
      </c>
      <c r="F1092" s="208">
        <v>1.0</v>
      </c>
      <c r="G1092" s="208" t="s">
        <v>1716</v>
      </c>
      <c r="H1092" s="208"/>
    </row>
    <row r="1093">
      <c r="B1093" s="367"/>
      <c r="C1093" s="208" t="b">
        <v>0</v>
      </c>
      <c r="D1093" s="369" t="str">
        <f t="shared" si="13"/>
        <v/>
      </c>
      <c r="E1093" s="368" t="s">
        <v>6969</v>
      </c>
      <c r="F1093" s="208">
        <v>64.0</v>
      </c>
      <c r="G1093" s="208" t="s">
        <v>2631</v>
      </c>
      <c r="H1093" s="208"/>
    </row>
    <row r="1094">
      <c r="B1094" s="367"/>
      <c r="C1094" s="208" t="b">
        <v>0</v>
      </c>
      <c r="D1094" s="369" t="str">
        <f t="shared" si="13"/>
        <v/>
      </c>
      <c r="E1094" s="368" t="s">
        <v>6970</v>
      </c>
      <c r="F1094" s="208">
        <v>64.0</v>
      </c>
      <c r="G1094" s="208" t="s">
        <v>2107</v>
      </c>
      <c r="H1094" s="208"/>
    </row>
    <row r="1095">
      <c r="B1095" s="367"/>
      <c r="C1095" s="208" t="b">
        <v>0</v>
      </c>
      <c r="D1095" s="369" t="str">
        <f t="shared" si="13"/>
        <v/>
      </c>
      <c r="E1095" s="368" t="s">
        <v>6971</v>
      </c>
      <c r="F1095" s="208">
        <v>1.0</v>
      </c>
      <c r="G1095" s="208" t="s">
        <v>2141</v>
      </c>
      <c r="H1095" s="208"/>
    </row>
    <row r="1096">
      <c r="B1096" s="367" t="s">
        <v>5518</v>
      </c>
      <c r="C1096" s="208" t="b">
        <v>0</v>
      </c>
      <c r="D1096" s="369" t="str">
        <f t="shared" si="13"/>
        <v/>
      </c>
      <c r="E1096" s="368" t="s">
        <v>6972</v>
      </c>
      <c r="F1096" s="208">
        <v>64.0</v>
      </c>
      <c r="G1096" s="208" t="s">
        <v>6973</v>
      </c>
      <c r="H1096" s="208"/>
    </row>
    <row r="1097">
      <c r="B1097" s="367" t="s">
        <v>5518</v>
      </c>
      <c r="C1097" s="208" t="b">
        <v>0</v>
      </c>
      <c r="D1097" s="369" t="str">
        <f t="shared" si="13"/>
        <v/>
      </c>
      <c r="E1097" s="368" t="s">
        <v>6974</v>
      </c>
      <c r="F1097" s="208">
        <v>64.0</v>
      </c>
      <c r="G1097" s="208" t="s">
        <v>3115</v>
      </c>
      <c r="H1097" s="208"/>
    </row>
    <row r="1098">
      <c r="B1098" s="367" t="s">
        <v>5518</v>
      </c>
      <c r="C1098" s="208" t="b">
        <v>0</v>
      </c>
      <c r="D1098" s="369" t="str">
        <f t="shared" si="13"/>
        <v/>
      </c>
      <c r="E1098" s="368" t="s">
        <v>6975</v>
      </c>
      <c r="F1098" s="208">
        <v>64.0</v>
      </c>
      <c r="G1098" s="208" t="s">
        <v>5103</v>
      </c>
      <c r="H1098" s="208"/>
    </row>
    <row r="1099">
      <c r="B1099" s="367"/>
      <c r="C1099" s="208" t="b">
        <v>0</v>
      </c>
      <c r="D1099" s="369" t="str">
        <f t="shared" si="13"/>
        <v/>
      </c>
      <c r="E1099" s="368" t="s">
        <v>6976</v>
      </c>
      <c r="F1099" s="208">
        <v>64.0</v>
      </c>
      <c r="G1099" s="208" t="s">
        <v>6977</v>
      </c>
      <c r="H1099" s="208"/>
    </row>
    <row r="1100">
      <c r="B1100" s="370"/>
      <c r="C1100" s="208" t="b">
        <v>0</v>
      </c>
      <c r="D1100" s="369" t="str">
        <f t="shared" si="13"/>
        <v/>
      </c>
      <c r="E1100" s="368" t="s">
        <v>6978</v>
      </c>
      <c r="F1100" s="208">
        <v>64.0</v>
      </c>
      <c r="G1100" s="208" t="s">
        <v>6979</v>
      </c>
      <c r="H1100" s="208"/>
    </row>
    <row r="1101">
      <c r="B1101" s="370"/>
      <c r="C1101" s="208" t="b">
        <v>0</v>
      </c>
      <c r="D1101" s="369" t="str">
        <f t="shared" si="13"/>
        <v/>
      </c>
      <c r="E1101" s="368" t="s">
        <v>6980</v>
      </c>
      <c r="F1101" s="208">
        <v>64.0</v>
      </c>
      <c r="G1101" s="208" t="s">
        <v>6981</v>
      </c>
      <c r="H1101" s="208"/>
    </row>
    <row r="1102">
      <c r="B1102" s="370"/>
      <c r="C1102" s="208" t="b">
        <v>0</v>
      </c>
      <c r="D1102" s="369" t="str">
        <f t="shared" si="13"/>
        <v/>
      </c>
      <c r="E1102" s="368" t="s">
        <v>6982</v>
      </c>
      <c r="F1102" s="208">
        <v>64.0</v>
      </c>
      <c r="G1102" s="208" t="s">
        <v>6983</v>
      </c>
      <c r="H1102" s="208"/>
    </row>
    <row r="1103">
      <c r="B1103" s="370"/>
      <c r="C1103" s="208" t="b">
        <v>0</v>
      </c>
      <c r="D1103" s="369" t="str">
        <f t="shared" si="13"/>
        <v/>
      </c>
      <c r="E1103" s="368" t="s">
        <v>6984</v>
      </c>
      <c r="F1103" s="208">
        <v>64.0</v>
      </c>
      <c r="G1103" s="208" t="s">
        <v>6985</v>
      </c>
      <c r="H1103" s="208"/>
    </row>
    <row r="1104">
      <c r="B1104" s="370"/>
      <c r="C1104" s="208" t="b">
        <v>0</v>
      </c>
      <c r="D1104" s="369" t="str">
        <f t="shared" si="13"/>
        <v/>
      </c>
      <c r="E1104" s="368" t="s">
        <v>6986</v>
      </c>
      <c r="F1104" s="208">
        <v>64.0</v>
      </c>
      <c r="G1104" s="208" t="s">
        <v>6987</v>
      </c>
      <c r="H1104" s="208"/>
    </row>
    <row r="1105">
      <c r="B1105" s="370"/>
      <c r="C1105" s="208" t="b">
        <v>0</v>
      </c>
      <c r="D1105" s="369" t="str">
        <f t="shared" si="13"/>
        <v/>
      </c>
      <c r="E1105" s="368" t="s">
        <v>6988</v>
      </c>
      <c r="F1105" s="208">
        <v>64.0</v>
      </c>
      <c r="G1105" s="208" t="s">
        <v>6989</v>
      </c>
      <c r="H1105" s="208"/>
    </row>
    <row r="1106">
      <c r="B1106" s="370"/>
      <c r="C1106" s="208" t="b">
        <v>0</v>
      </c>
      <c r="D1106" s="369" t="str">
        <f t="shared" si="13"/>
        <v/>
      </c>
      <c r="E1106" s="368" t="s">
        <v>6990</v>
      </c>
      <c r="F1106" s="208">
        <v>64.0</v>
      </c>
      <c r="G1106" s="208" t="s">
        <v>6991</v>
      </c>
      <c r="H1106" s="208"/>
    </row>
    <row r="1107">
      <c r="B1107" s="367" t="s">
        <v>1661</v>
      </c>
      <c r="C1107" s="208" t="b">
        <v>0</v>
      </c>
      <c r="D1107" s="369" t="str">
        <f t="shared" si="13"/>
        <v/>
      </c>
      <c r="E1107" s="368" t="s">
        <v>6992</v>
      </c>
      <c r="F1107" s="208">
        <v>64.0</v>
      </c>
      <c r="G1107" s="208" t="s">
        <v>2218</v>
      </c>
      <c r="H1107" s="208"/>
    </row>
    <row r="1108">
      <c r="B1108" s="367"/>
      <c r="C1108" s="208" t="b">
        <v>0</v>
      </c>
      <c r="D1108" s="369" t="str">
        <f t="shared" si="13"/>
        <v/>
      </c>
      <c r="E1108" s="368" t="s">
        <v>6993</v>
      </c>
      <c r="F1108" s="208">
        <v>1.0</v>
      </c>
      <c r="G1108" s="208" t="s">
        <v>2229</v>
      </c>
      <c r="H1108" s="208"/>
    </row>
    <row r="1109">
      <c r="B1109" s="370"/>
      <c r="C1109" s="208" t="b">
        <v>0</v>
      </c>
      <c r="D1109" s="369" t="str">
        <f t="shared" si="13"/>
        <v/>
      </c>
      <c r="E1109" s="368" t="s">
        <v>6994</v>
      </c>
      <c r="F1109" s="208">
        <v>64.0</v>
      </c>
      <c r="G1109" s="208" t="s">
        <v>4060</v>
      </c>
      <c r="H1109" s="208"/>
    </row>
    <row r="1110">
      <c r="B1110" s="367"/>
      <c r="C1110" s="208" t="b">
        <v>0</v>
      </c>
      <c r="D1110" s="369" t="str">
        <f t="shared" si="13"/>
        <v/>
      </c>
      <c r="E1110" s="368" t="s">
        <v>6995</v>
      </c>
      <c r="F1110" s="208">
        <v>64.0</v>
      </c>
      <c r="G1110" s="208" t="s">
        <v>979</v>
      </c>
      <c r="H1110" s="208"/>
    </row>
    <row r="1111">
      <c r="B1111" s="367" t="s">
        <v>2891</v>
      </c>
      <c r="C1111" s="208" t="b">
        <v>0</v>
      </c>
      <c r="D1111" s="369" t="str">
        <f>image(CONCATENATE("https://nerothe.com/img/1.21/minecraft_",G1111,"_smithing_template.png"))</f>
        <v/>
      </c>
      <c r="E1111" s="368" t="s">
        <v>6996</v>
      </c>
      <c r="F1111" s="208">
        <v>1.0</v>
      </c>
      <c r="G1111" s="208" t="s">
        <v>6997</v>
      </c>
      <c r="H1111" s="208"/>
    </row>
    <row r="1112">
      <c r="B1112" s="370"/>
      <c r="C1112" s="208" t="b">
        <v>0</v>
      </c>
      <c r="D1112" s="369" t="str">
        <f>image(CONCATENATE("https://nerothe.com/img/1.21/minecraft_",G1112,".png"))</f>
        <v/>
      </c>
      <c r="E1112" s="368" t="s">
        <v>6998</v>
      </c>
      <c r="F1112" s="208">
        <v>64.0</v>
      </c>
      <c r="G1112" s="208" t="s">
        <v>4992</v>
      </c>
      <c r="H1112" s="208"/>
    </row>
    <row r="1113">
      <c r="B1113" s="367" t="s">
        <v>117</v>
      </c>
      <c r="C1113" s="208" t="b">
        <v>0</v>
      </c>
      <c r="D1113" s="369" t="str">
        <f>image(CONCATENATE("https://nerothe.com/img/1.21/minecraft_",G1113,"_smithing_template.png"))</f>
        <v/>
      </c>
      <c r="E1113" s="368" t="s">
        <v>6999</v>
      </c>
      <c r="F1113" s="208">
        <v>1.0</v>
      </c>
      <c r="G1113" s="208" t="s">
        <v>7000</v>
      </c>
      <c r="H1113" s="208"/>
    </row>
    <row r="1114">
      <c r="B1114" s="367"/>
      <c r="C1114" s="208" t="b">
        <v>0</v>
      </c>
      <c r="D1114" s="369" t="str">
        <f t="shared" ref="D1114:D1168" si="14">image(CONCATENATE("https://nerothe.com/img/1.21/minecraft_",G1114,".png"))</f>
        <v/>
      </c>
      <c r="E1114" s="368" t="s">
        <v>7001</v>
      </c>
      <c r="F1114" s="208">
        <v>64.0</v>
      </c>
      <c r="G1114" s="208" t="s">
        <v>7002</v>
      </c>
      <c r="H1114" s="208"/>
    </row>
    <row r="1115">
      <c r="B1115" s="367"/>
      <c r="C1115" s="208" t="b">
        <v>0</v>
      </c>
      <c r="D1115" s="369" t="str">
        <f t="shared" si="14"/>
        <v/>
      </c>
      <c r="E1115" s="368" t="s">
        <v>7003</v>
      </c>
      <c r="F1115" s="208">
        <v>64.0</v>
      </c>
      <c r="G1115" s="208" t="s">
        <v>7004</v>
      </c>
      <c r="H1115" s="208"/>
    </row>
    <row r="1116">
      <c r="B1116" s="367"/>
      <c r="C1116" s="208" t="b">
        <v>0</v>
      </c>
      <c r="D1116" s="369" t="str">
        <f t="shared" si="14"/>
        <v/>
      </c>
      <c r="E1116" s="368" t="s">
        <v>7005</v>
      </c>
      <c r="F1116" s="208">
        <v>64.0</v>
      </c>
      <c r="G1116" s="208" t="s">
        <v>7006</v>
      </c>
      <c r="H1116" s="208"/>
    </row>
    <row r="1117">
      <c r="B1117" s="367"/>
      <c r="C1117" s="208" t="b">
        <v>0</v>
      </c>
      <c r="D1117" s="369" t="str">
        <f t="shared" si="14"/>
        <v/>
      </c>
      <c r="E1117" s="368" t="s">
        <v>7007</v>
      </c>
      <c r="F1117" s="208">
        <v>64.0</v>
      </c>
      <c r="G1117" s="208" t="s">
        <v>7008</v>
      </c>
      <c r="H1117" s="208"/>
    </row>
    <row r="1118">
      <c r="B1118" s="370"/>
      <c r="C1118" s="208" t="b">
        <v>0</v>
      </c>
      <c r="D1118" s="369" t="str">
        <f t="shared" si="14"/>
        <v/>
      </c>
      <c r="E1118" s="368" t="s">
        <v>7009</v>
      </c>
      <c r="F1118" s="208">
        <v>64.0</v>
      </c>
      <c r="G1118" s="208" t="s">
        <v>4048</v>
      </c>
      <c r="H1118" s="208"/>
    </row>
    <row r="1119">
      <c r="B1119" s="367"/>
      <c r="C1119" s="208" t="b">
        <v>0</v>
      </c>
      <c r="D1119" s="369" t="str">
        <f t="shared" si="14"/>
        <v/>
      </c>
      <c r="E1119" s="368" t="s">
        <v>7010</v>
      </c>
      <c r="F1119" s="208">
        <v>1.0</v>
      </c>
      <c r="G1119" s="208" t="s">
        <v>3933</v>
      </c>
      <c r="H1119" s="208"/>
    </row>
    <row r="1120">
      <c r="B1120" s="367"/>
      <c r="C1120" s="208" t="b">
        <v>0</v>
      </c>
      <c r="D1120" s="369" t="str">
        <f t="shared" si="14"/>
        <v/>
      </c>
      <c r="E1120" s="368" t="s">
        <v>7011</v>
      </c>
      <c r="F1120" s="208">
        <v>16.0</v>
      </c>
      <c r="G1120" s="208" t="s">
        <v>7012</v>
      </c>
      <c r="H1120" s="208"/>
    </row>
    <row r="1121">
      <c r="B1121" s="367"/>
      <c r="C1121" s="208" t="b">
        <v>0</v>
      </c>
      <c r="D1121" s="369" t="str">
        <f t="shared" si="14"/>
        <v/>
      </c>
      <c r="E1121" s="368" t="s">
        <v>7013</v>
      </c>
      <c r="F1121" s="208">
        <v>64.0</v>
      </c>
      <c r="G1121" s="208" t="s">
        <v>7014</v>
      </c>
      <c r="H1121" s="208"/>
    </row>
    <row r="1122">
      <c r="B1122" s="367"/>
      <c r="C1122" s="208" t="b">
        <v>0</v>
      </c>
      <c r="D1122" s="369" t="str">
        <f t="shared" si="14"/>
        <v/>
      </c>
      <c r="E1122" s="368" t="s">
        <v>7015</v>
      </c>
      <c r="F1122" s="208">
        <v>64.0</v>
      </c>
      <c r="G1122" s="208" t="s">
        <v>7016</v>
      </c>
      <c r="H1122" s="208"/>
    </row>
    <row r="1123">
      <c r="B1123" s="367"/>
      <c r="C1123" s="208" t="b">
        <v>0</v>
      </c>
      <c r="D1123" s="369" t="str">
        <f t="shared" si="14"/>
        <v/>
      </c>
      <c r="E1123" s="368" t="s">
        <v>7017</v>
      </c>
      <c r="F1123" s="208">
        <v>64.0</v>
      </c>
      <c r="G1123" s="208" t="s">
        <v>4070</v>
      </c>
      <c r="H1123" s="208"/>
    </row>
    <row r="1124">
      <c r="B1124" s="367"/>
      <c r="C1124" s="208" t="b">
        <v>0</v>
      </c>
      <c r="D1124" s="369" t="str">
        <f t="shared" si="14"/>
        <v/>
      </c>
      <c r="E1124" s="368" t="s">
        <v>7018</v>
      </c>
      <c r="F1124" s="208">
        <v>64.0</v>
      </c>
      <c r="G1124" s="208" t="s">
        <v>7019</v>
      </c>
      <c r="H1124" s="208"/>
    </row>
    <row r="1125">
      <c r="B1125" s="370"/>
      <c r="C1125" s="208" t="b">
        <v>0</v>
      </c>
      <c r="D1125" s="369" t="str">
        <f t="shared" si="14"/>
        <v/>
      </c>
      <c r="E1125" s="368" t="s">
        <v>7020</v>
      </c>
      <c r="F1125" s="208">
        <v>64.0</v>
      </c>
      <c r="G1125" s="208" t="s">
        <v>4079</v>
      </c>
      <c r="H1125" s="208"/>
    </row>
    <row r="1126">
      <c r="B1126" s="367"/>
      <c r="C1126" s="208" t="b">
        <v>0</v>
      </c>
      <c r="D1126" s="369" t="str">
        <f t="shared" si="14"/>
        <v/>
      </c>
      <c r="E1126" s="368" t="s">
        <v>7021</v>
      </c>
      <c r="F1126" s="208">
        <v>16.0</v>
      </c>
      <c r="G1126" s="208" t="s">
        <v>2116</v>
      </c>
      <c r="H1126" s="208"/>
    </row>
    <row r="1127">
      <c r="B1127" s="367"/>
      <c r="C1127" s="208" t="b">
        <v>0</v>
      </c>
      <c r="D1127" s="369" t="str">
        <f t="shared" si="14"/>
        <v/>
      </c>
      <c r="E1127" s="368" t="s">
        <v>7022</v>
      </c>
      <c r="F1127" s="208">
        <v>64.0</v>
      </c>
      <c r="G1127" s="208" t="s">
        <v>7023</v>
      </c>
      <c r="H1127" s="208"/>
    </row>
    <row r="1128">
      <c r="B1128" s="367"/>
      <c r="C1128" s="208" t="b">
        <v>0</v>
      </c>
      <c r="D1128" s="369" t="str">
        <f t="shared" si="14"/>
        <v/>
      </c>
      <c r="E1128" s="368" t="s">
        <v>7024</v>
      </c>
      <c r="F1128" s="208">
        <v>64.0</v>
      </c>
      <c r="G1128" s="208" t="s">
        <v>7025</v>
      </c>
      <c r="H1128" s="208"/>
    </row>
    <row r="1129">
      <c r="B1129" s="370"/>
      <c r="C1129" s="208" t="b">
        <v>0</v>
      </c>
      <c r="D1129" s="369" t="str">
        <f t="shared" si="14"/>
        <v/>
      </c>
      <c r="E1129" s="368" t="s">
        <v>7026</v>
      </c>
      <c r="F1129" s="208">
        <v>64.0</v>
      </c>
      <c r="G1129" s="208" t="s">
        <v>7027</v>
      </c>
      <c r="H1129" s="208"/>
    </row>
    <row r="1130">
      <c r="B1130" s="367"/>
      <c r="C1130" s="208" t="b">
        <v>0</v>
      </c>
      <c r="D1130" s="369" t="str">
        <f t="shared" si="14"/>
        <v/>
      </c>
      <c r="E1130" s="368" t="s">
        <v>7028</v>
      </c>
      <c r="F1130" s="208">
        <v>64.0</v>
      </c>
      <c r="G1130" s="208" t="s">
        <v>7029</v>
      </c>
      <c r="H1130" s="208"/>
    </row>
    <row r="1131">
      <c r="B1131" s="370"/>
      <c r="C1131" s="208" t="b">
        <v>0</v>
      </c>
      <c r="D1131" s="369" t="str">
        <f t="shared" si="14"/>
        <v/>
      </c>
      <c r="E1131" s="368" t="s">
        <v>7030</v>
      </c>
      <c r="F1131" s="208">
        <v>64.0</v>
      </c>
      <c r="G1131" s="208" t="s">
        <v>7031</v>
      </c>
      <c r="H1131" s="208"/>
    </row>
    <row r="1132">
      <c r="B1132" s="367"/>
      <c r="C1132" s="208" t="b">
        <v>0</v>
      </c>
      <c r="D1132" s="369" t="str">
        <f t="shared" si="14"/>
        <v/>
      </c>
      <c r="E1132" s="368" t="s">
        <v>7032</v>
      </c>
      <c r="F1132" s="208">
        <v>1.0</v>
      </c>
      <c r="G1132" s="208" t="s">
        <v>345</v>
      </c>
      <c r="H1132" s="208"/>
    </row>
    <row r="1133">
      <c r="B1133" s="370"/>
      <c r="C1133" s="208" t="b">
        <v>0</v>
      </c>
      <c r="D1133" s="369" t="str">
        <f t="shared" si="14"/>
        <v/>
      </c>
      <c r="E1133" s="368" t="s">
        <v>7033</v>
      </c>
      <c r="F1133" s="208">
        <v>64.0</v>
      </c>
      <c r="G1133" s="208" t="s">
        <v>7034</v>
      </c>
      <c r="H1133" s="208"/>
    </row>
    <row r="1134">
      <c r="B1134" s="367"/>
      <c r="C1134" s="208" t="b">
        <v>0</v>
      </c>
      <c r="D1134" s="369" t="str">
        <f t="shared" si="14"/>
        <v/>
      </c>
      <c r="E1134" s="368" t="s">
        <v>7035</v>
      </c>
      <c r="F1134" s="208">
        <v>64.0</v>
      </c>
      <c r="G1134" s="208" t="s">
        <v>7036</v>
      </c>
      <c r="H1134" s="208"/>
    </row>
    <row r="1135">
      <c r="B1135" s="370"/>
      <c r="C1135" s="208" t="b">
        <v>0</v>
      </c>
      <c r="D1135" s="369" t="str">
        <f t="shared" si="14"/>
        <v/>
      </c>
      <c r="E1135" s="368" t="s">
        <v>7037</v>
      </c>
      <c r="F1135" s="208">
        <v>64.0</v>
      </c>
      <c r="G1135" s="208" t="s">
        <v>7038</v>
      </c>
      <c r="H1135" s="208"/>
    </row>
    <row r="1136">
      <c r="B1136" s="370"/>
      <c r="C1136" s="208" t="b">
        <v>0</v>
      </c>
      <c r="D1136" s="369" t="str">
        <f t="shared" si="14"/>
        <v/>
      </c>
      <c r="E1136" s="368" t="s">
        <v>7039</v>
      </c>
      <c r="F1136" s="208">
        <v>64.0</v>
      </c>
      <c r="G1136" s="208" t="s">
        <v>7040</v>
      </c>
      <c r="H1136" s="208"/>
    </row>
    <row r="1137">
      <c r="B1137" s="370"/>
      <c r="C1137" s="208" t="b">
        <v>0</v>
      </c>
      <c r="D1137" s="369" t="str">
        <f t="shared" si="14"/>
        <v/>
      </c>
      <c r="E1137" s="368" t="s">
        <v>7041</v>
      </c>
      <c r="F1137" s="208">
        <v>64.0</v>
      </c>
      <c r="G1137" s="208" t="s">
        <v>7042</v>
      </c>
      <c r="H1137" s="208"/>
    </row>
    <row r="1138">
      <c r="B1138" s="370"/>
      <c r="C1138" s="208" t="b">
        <v>0</v>
      </c>
      <c r="D1138" s="369" t="str">
        <f t="shared" si="14"/>
        <v/>
      </c>
      <c r="E1138" s="368" t="s">
        <v>7043</v>
      </c>
      <c r="F1138" s="208">
        <v>64.0</v>
      </c>
      <c r="G1138" s="208" t="s">
        <v>7044</v>
      </c>
      <c r="H1138" s="208"/>
    </row>
    <row r="1139">
      <c r="B1139" s="367"/>
      <c r="C1139" s="208" t="b">
        <v>0</v>
      </c>
      <c r="D1139" s="369" t="str">
        <f t="shared" si="14"/>
        <v/>
      </c>
      <c r="E1139" s="368" t="s">
        <v>7045</v>
      </c>
      <c r="F1139" s="208">
        <v>64.0</v>
      </c>
      <c r="G1139" s="208" t="s">
        <v>7046</v>
      </c>
      <c r="H1139" s="208"/>
    </row>
    <row r="1140">
      <c r="B1140" s="367"/>
      <c r="C1140" s="208" t="b">
        <v>0</v>
      </c>
      <c r="D1140" s="369" t="str">
        <f t="shared" si="14"/>
        <v/>
      </c>
      <c r="E1140" s="368" t="s">
        <v>7047</v>
      </c>
      <c r="F1140" s="208">
        <v>64.0</v>
      </c>
      <c r="G1140" s="208" t="s">
        <v>7048</v>
      </c>
      <c r="H1140" s="208"/>
    </row>
    <row r="1141">
      <c r="B1141" s="367"/>
      <c r="C1141" s="208" t="b">
        <v>0</v>
      </c>
      <c r="D1141" s="369" t="str">
        <f t="shared" si="14"/>
        <v/>
      </c>
      <c r="E1141" s="368" t="s">
        <v>7049</v>
      </c>
      <c r="F1141" s="208">
        <v>64.0</v>
      </c>
      <c r="G1141" s="208" t="s">
        <v>7050</v>
      </c>
      <c r="H1141" s="208"/>
    </row>
    <row r="1142">
      <c r="B1142" s="370"/>
      <c r="C1142" s="208" t="b">
        <v>0</v>
      </c>
      <c r="D1142" s="369" t="str">
        <f t="shared" si="14"/>
        <v/>
      </c>
      <c r="E1142" s="368" t="s">
        <v>7051</v>
      </c>
      <c r="F1142" s="208">
        <v>64.0</v>
      </c>
      <c r="G1142" s="208" t="s">
        <v>7052</v>
      </c>
      <c r="H1142" s="208"/>
    </row>
    <row r="1143">
      <c r="B1143" s="367"/>
      <c r="C1143" s="208" t="b">
        <v>0</v>
      </c>
      <c r="D1143" s="369" t="str">
        <f t="shared" si="14"/>
        <v/>
      </c>
      <c r="E1143" s="368" t="s">
        <v>7053</v>
      </c>
      <c r="F1143" s="208">
        <v>64.0</v>
      </c>
      <c r="G1143" s="208" t="s">
        <v>7054</v>
      </c>
      <c r="H1143" s="208"/>
    </row>
    <row r="1144">
      <c r="B1144" s="370"/>
      <c r="C1144" s="208" t="b">
        <v>0</v>
      </c>
      <c r="D1144" s="369" t="str">
        <f t="shared" si="14"/>
        <v/>
      </c>
      <c r="E1144" s="368" t="s">
        <v>7055</v>
      </c>
      <c r="F1144" s="208">
        <v>64.0</v>
      </c>
      <c r="G1144" s="208" t="s">
        <v>7056</v>
      </c>
      <c r="H1144" s="208"/>
    </row>
    <row r="1145">
      <c r="B1145" s="367"/>
      <c r="C1145" s="208" t="b">
        <v>0</v>
      </c>
      <c r="D1145" s="369" t="str">
        <f t="shared" si="14"/>
        <v/>
      </c>
      <c r="E1145" s="368" t="s">
        <v>7057</v>
      </c>
      <c r="F1145" s="208">
        <v>64.0</v>
      </c>
      <c r="G1145" s="208" t="s">
        <v>7058</v>
      </c>
      <c r="H1145" s="208"/>
    </row>
    <row r="1146">
      <c r="B1146" s="370"/>
      <c r="C1146" s="208" t="b">
        <v>0</v>
      </c>
      <c r="D1146" s="369" t="str">
        <f t="shared" si="14"/>
        <v/>
      </c>
      <c r="E1146" s="368" t="s">
        <v>7059</v>
      </c>
      <c r="F1146" s="208">
        <v>64.0</v>
      </c>
      <c r="G1146" s="208" t="s">
        <v>7060</v>
      </c>
      <c r="H1146" s="208"/>
    </row>
    <row r="1147">
      <c r="B1147" s="370"/>
      <c r="C1147" s="208" t="b">
        <v>0</v>
      </c>
      <c r="D1147" s="369" t="str">
        <f t="shared" si="14"/>
        <v/>
      </c>
      <c r="E1147" s="368" t="s">
        <v>7061</v>
      </c>
      <c r="F1147" s="208">
        <v>64.0</v>
      </c>
      <c r="G1147" s="208" t="s">
        <v>7062</v>
      </c>
      <c r="H1147" s="208"/>
    </row>
    <row r="1148">
      <c r="B1148" s="367"/>
      <c r="C1148" s="208" t="b">
        <v>0</v>
      </c>
      <c r="D1148" s="369" t="str">
        <f t="shared" si="14"/>
        <v/>
      </c>
      <c r="E1148" s="368" t="s">
        <v>7063</v>
      </c>
      <c r="F1148" s="208">
        <v>64.0</v>
      </c>
      <c r="G1148" s="208" t="s">
        <v>7064</v>
      </c>
      <c r="H1148" s="208"/>
    </row>
    <row r="1149">
      <c r="B1149" s="367"/>
      <c r="C1149" s="208" t="b">
        <v>0</v>
      </c>
      <c r="D1149" s="369" t="str">
        <f t="shared" si="14"/>
        <v/>
      </c>
      <c r="E1149" s="368" t="s">
        <v>7065</v>
      </c>
      <c r="F1149" s="208">
        <v>64.0</v>
      </c>
      <c r="G1149" s="208" t="s">
        <v>7066</v>
      </c>
      <c r="H1149" s="208"/>
    </row>
    <row r="1150">
      <c r="B1150" s="367"/>
      <c r="C1150" s="208" t="b">
        <v>0</v>
      </c>
      <c r="D1150" s="369" t="str">
        <f t="shared" si="14"/>
        <v/>
      </c>
      <c r="E1150" s="368" t="s">
        <v>7067</v>
      </c>
      <c r="F1150" s="208">
        <v>64.0</v>
      </c>
      <c r="G1150" s="208" t="s">
        <v>7068</v>
      </c>
      <c r="H1150" s="208"/>
    </row>
    <row r="1151">
      <c r="B1151" s="370"/>
      <c r="C1151" s="208" t="b">
        <v>0</v>
      </c>
      <c r="D1151" s="369" t="str">
        <f t="shared" si="14"/>
        <v/>
      </c>
      <c r="E1151" s="368" t="s">
        <v>7069</v>
      </c>
      <c r="F1151" s="208">
        <v>64.0</v>
      </c>
      <c r="G1151" s="208" t="s">
        <v>7070</v>
      </c>
      <c r="H1151" s="208"/>
    </row>
    <row r="1152">
      <c r="B1152" s="370"/>
      <c r="C1152" s="208" t="b">
        <v>0</v>
      </c>
      <c r="D1152" s="369" t="str">
        <f t="shared" si="14"/>
        <v/>
      </c>
      <c r="E1152" s="368" t="s">
        <v>7071</v>
      </c>
      <c r="F1152" s="208">
        <v>64.0</v>
      </c>
      <c r="G1152" s="208" t="s">
        <v>7072</v>
      </c>
      <c r="H1152" s="208"/>
    </row>
    <row r="1153">
      <c r="B1153" s="370"/>
      <c r="C1153" s="208" t="b">
        <v>0</v>
      </c>
      <c r="D1153" s="369" t="str">
        <f t="shared" si="14"/>
        <v/>
      </c>
      <c r="E1153" s="368" t="s">
        <v>7073</v>
      </c>
      <c r="F1153" s="208">
        <v>64.0</v>
      </c>
      <c r="G1153" s="208" t="s">
        <v>7074</v>
      </c>
      <c r="H1153" s="208"/>
    </row>
    <row r="1154">
      <c r="B1154" s="370"/>
      <c r="C1154" s="208" t="b">
        <v>0</v>
      </c>
      <c r="D1154" s="369" t="str">
        <f t="shared" si="14"/>
        <v/>
      </c>
      <c r="E1154" s="368" t="s">
        <v>7075</v>
      </c>
      <c r="F1154" s="208">
        <v>64.0</v>
      </c>
      <c r="G1154" s="208" t="s">
        <v>7076</v>
      </c>
      <c r="H1154" s="208"/>
    </row>
    <row r="1155">
      <c r="B1155" s="370"/>
      <c r="C1155" s="208" t="b">
        <v>0</v>
      </c>
      <c r="D1155" s="369" t="str">
        <f t="shared" si="14"/>
        <v/>
      </c>
      <c r="E1155" s="368" t="s">
        <v>7077</v>
      </c>
      <c r="F1155" s="208">
        <v>64.0</v>
      </c>
      <c r="G1155" s="208" t="s">
        <v>7078</v>
      </c>
      <c r="H1155" s="208"/>
    </row>
    <row r="1156">
      <c r="B1156" s="370"/>
      <c r="C1156" s="208" t="b">
        <v>0</v>
      </c>
      <c r="D1156" s="369" t="str">
        <f t="shared" si="14"/>
        <v/>
      </c>
      <c r="E1156" s="368" t="s">
        <v>7079</v>
      </c>
      <c r="F1156" s="208">
        <v>64.0</v>
      </c>
      <c r="G1156" s="208" t="s">
        <v>7080</v>
      </c>
      <c r="H1156" s="208"/>
    </row>
    <row r="1157">
      <c r="B1157" s="367"/>
      <c r="C1157" s="208" t="b">
        <v>0</v>
      </c>
      <c r="D1157" s="369" t="str">
        <f t="shared" si="14"/>
        <v/>
      </c>
      <c r="E1157" s="368" t="s">
        <v>7081</v>
      </c>
      <c r="F1157" s="208">
        <v>64.0</v>
      </c>
      <c r="G1157" s="208" t="s">
        <v>7082</v>
      </c>
      <c r="H1157" s="208"/>
    </row>
    <row r="1158">
      <c r="B1158" s="367"/>
      <c r="C1158" s="208" t="b">
        <v>0</v>
      </c>
      <c r="D1158" s="369" t="str">
        <f t="shared" si="14"/>
        <v/>
      </c>
      <c r="E1158" s="368" t="s">
        <v>7083</v>
      </c>
      <c r="F1158" s="208">
        <v>64.0</v>
      </c>
      <c r="G1158" s="208" t="s">
        <v>7084</v>
      </c>
      <c r="H1158" s="208"/>
    </row>
    <row r="1159">
      <c r="B1159" s="367"/>
      <c r="C1159" s="208" t="b">
        <v>0</v>
      </c>
      <c r="D1159" s="369" t="str">
        <f t="shared" si="14"/>
        <v/>
      </c>
      <c r="E1159" s="368" t="s">
        <v>7085</v>
      </c>
      <c r="F1159" s="208">
        <v>64.0</v>
      </c>
      <c r="G1159" s="208" t="s">
        <v>7086</v>
      </c>
      <c r="H1159" s="208"/>
    </row>
    <row r="1160">
      <c r="B1160" s="370"/>
      <c r="C1160" s="208" t="b">
        <v>0</v>
      </c>
      <c r="D1160" s="369" t="str">
        <f t="shared" si="14"/>
        <v/>
      </c>
      <c r="E1160" s="368" t="s">
        <v>7087</v>
      </c>
      <c r="F1160" s="208">
        <v>64.0</v>
      </c>
      <c r="G1160" s="208" t="s">
        <v>7088</v>
      </c>
      <c r="H1160" s="208"/>
    </row>
    <row r="1161">
      <c r="B1161" s="367"/>
      <c r="C1161" s="208" t="b">
        <v>0</v>
      </c>
      <c r="D1161" s="369" t="str">
        <f t="shared" si="14"/>
        <v/>
      </c>
      <c r="E1161" s="368" t="s">
        <v>7089</v>
      </c>
      <c r="F1161" s="208">
        <v>64.0</v>
      </c>
      <c r="G1161" s="208" t="s">
        <v>7090</v>
      </c>
      <c r="H1161" s="208"/>
    </row>
    <row r="1162">
      <c r="B1162" s="370"/>
      <c r="C1162" s="208" t="b">
        <v>0</v>
      </c>
      <c r="D1162" s="369" t="str">
        <f t="shared" si="14"/>
        <v/>
      </c>
      <c r="E1162" s="368" t="s">
        <v>7091</v>
      </c>
      <c r="F1162" s="208">
        <v>64.0</v>
      </c>
      <c r="G1162" s="208" t="s">
        <v>7092</v>
      </c>
      <c r="H1162" s="208"/>
    </row>
    <row r="1163">
      <c r="B1163" s="370"/>
      <c r="C1163" s="208" t="b">
        <v>0</v>
      </c>
      <c r="D1163" s="369" t="str">
        <f t="shared" si="14"/>
        <v/>
      </c>
      <c r="E1163" s="368" t="s">
        <v>7093</v>
      </c>
      <c r="F1163" s="208">
        <v>64.0</v>
      </c>
      <c r="G1163" s="208" t="s">
        <v>7094</v>
      </c>
      <c r="H1163" s="208"/>
    </row>
    <row r="1164">
      <c r="B1164" s="370"/>
      <c r="C1164" s="208" t="b">
        <v>0</v>
      </c>
      <c r="D1164" s="369" t="str">
        <f t="shared" si="14"/>
        <v/>
      </c>
      <c r="E1164" s="368" t="s">
        <v>7095</v>
      </c>
      <c r="F1164" s="208">
        <v>64.0</v>
      </c>
      <c r="G1164" s="208" t="s">
        <v>7096</v>
      </c>
      <c r="H1164" s="208"/>
    </row>
    <row r="1165">
      <c r="B1165" s="370"/>
      <c r="C1165" s="208" t="b">
        <v>0</v>
      </c>
      <c r="D1165" s="369" t="str">
        <f t="shared" si="14"/>
        <v/>
      </c>
      <c r="E1165" s="368" t="s">
        <v>7097</v>
      </c>
      <c r="F1165" s="208">
        <v>64.0</v>
      </c>
      <c r="G1165" s="208" t="s">
        <v>7098</v>
      </c>
      <c r="H1165" s="208"/>
    </row>
    <row r="1166">
      <c r="B1166" s="367"/>
      <c r="C1166" s="208" t="b">
        <v>0</v>
      </c>
      <c r="D1166" s="369" t="str">
        <f t="shared" si="14"/>
        <v/>
      </c>
      <c r="E1166" s="368" t="s">
        <v>7099</v>
      </c>
      <c r="F1166" s="208">
        <v>64.0</v>
      </c>
      <c r="G1166" s="208" t="s">
        <v>7100</v>
      </c>
      <c r="H1166" s="208"/>
    </row>
    <row r="1167">
      <c r="B1167" s="367"/>
      <c r="C1167" s="208" t="b">
        <v>0</v>
      </c>
      <c r="D1167" s="369" t="str">
        <f t="shared" si="14"/>
        <v/>
      </c>
      <c r="E1167" s="368" t="s">
        <v>7101</v>
      </c>
      <c r="F1167" s="208">
        <v>64.0</v>
      </c>
      <c r="G1167" s="208" t="s">
        <v>7102</v>
      </c>
      <c r="H1167" s="208"/>
    </row>
    <row r="1168">
      <c r="B1168" s="367"/>
      <c r="C1168" s="208" t="b">
        <v>0</v>
      </c>
      <c r="D1168" s="369" t="str">
        <f t="shared" si="14"/>
        <v/>
      </c>
      <c r="E1168" s="368" t="s">
        <v>7103</v>
      </c>
      <c r="F1168" s="208">
        <v>64.0</v>
      </c>
      <c r="G1168" s="208" t="s">
        <v>515</v>
      </c>
      <c r="H1168" s="208"/>
    </row>
    <row r="1169">
      <c r="B1169" s="372" t="s">
        <v>2905</v>
      </c>
      <c r="C1169" s="208" t="b">
        <v>0</v>
      </c>
      <c r="D1169" s="369" t="str">
        <f>image(CONCATENATE("https://nerothe.com/img/1.21/minecraft_",G1169,"_smithing_template.png"))</f>
        <v/>
      </c>
      <c r="E1169" s="368" t="s">
        <v>7104</v>
      </c>
      <c r="F1169" s="208">
        <v>1.0</v>
      </c>
      <c r="G1169" s="208" t="s">
        <v>7105</v>
      </c>
      <c r="H1169" s="208"/>
    </row>
    <row r="1170">
      <c r="B1170" s="370"/>
      <c r="C1170" s="208" t="b">
        <v>0</v>
      </c>
      <c r="D1170" s="369" t="str">
        <f t="shared" ref="D1170:D1196" si="15">image(CONCATENATE("https://nerothe.com/img/1.21/minecraft_",G1170,".png"))</f>
        <v/>
      </c>
      <c r="E1170" s="368" t="s">
        <v>7106</v>
      </c>
      <c r="F1170" s="208">
        <v>64.0</v>
      </c>
      <c r="G1170" s="208" t="s">
        <v>7107</v>
      </c>
      <c r="H1170" s="208"/>
    </row>
    <row r="1171">
      <c r="B1171" s="367"/>
      <c r="C1171" s="208" t="b">
        <v>0</v>
      </c>
      <c r="D1171" s="369" t="str">
        <f t="shared" si="15"/>
        <v/>
      </c>
      <c r="E1171" s="368" t="s">
        <v>7108</v>
      </c>
      <c r="F1171" s="208">
        <v>64.0</v>
      </c>
      <c r="G1171" s="208" t="s">
        <v>7109</v>
      </c>
      <c r="H1171" s="208"/>
    </row>
    <row r="1172">
      <c r="B1172" s="370"/>
      <c r="C1172" s="208" t="b">
        <v>0</v>
      </c>
      <c r="D1172" s="369" t="str">
        <f t="shared" si="15"/>
        <v/>
      </c>
      <c r="E1172" s="368" t="s">
        <v>7110</v>
      </c>
      <c r="F1172" s="208">
        <v>64.0</v>
      </c>
      <c r="G1172" s="208" t="s">
        <v>997</v>
      </c>
      <c r="H1172" s="208"/>
    </row>
    <row r="1173">
      <c r="B1173" s="370"/>
      <c r="C1173" s="208" t="b">
        <v>0</v>
      </c>
      <c r="D1173" s="369" t="str">
        <f t="shared" si="15"/>
        <v/>
      </c>
      <c r="E1173" s="368" t="s">
        <v>7111</v>
      </c>
      <c r="F1173" s="208">
        <v>64.0</v>
      </c>
      <c r="G1173" s="208" t="s">
        <v>7112</v>
      </c>
      <c r="H1173" s="208"/>
    </row>
    <row r="1174">
      <c r="B1174" s="370"/>
      <c r="C1174" s="208" t="b">
        <v>0</v>
      </c>
      <c r="D1174" s="369" t="str">
        <f t="shared" si="15"/>
        <v/>
      </c>
      <c r="E1174" s="368" t="s">
        <v>7113</v>
      </c>
      <c r="F1174" s="208">
        <v>64.0</v>
      </c>
      <c r="G1174" s="208" t="s">
        <v>7114</v>
      </c>
      <c r="H1174" s="208"/>
    </row>
    <row r="1175">
      <c r="B1175" s="370"/>
      <c r="C1175" s="208" t="b">
        <v>0</v>
      </c>
      <c r="D1175" s="369" t="str">
        <f t="shared" si="15"/>
        <v/>
      </c>
      <c r="E1175" s="368" t="s">
        <v>7115</v>
      </c>
      <c r="F1175" s="208">
        <v>64.0</v>
      </c>
      <c r="G1175" s="208" t="s">
        <v>7116</v>
      </c>
      <c r="H1175" s="208"/>
    </row>
    <row r="1176">
      <c r="B1176" s="367"/>
      <c r="C1176" s="208" t="b">
        <v>0</v>
      </c>
      <c r="D1176" s="369" t="str">
        <f t="shared" si="15"/>
        <v/>
      </c>
      <c r="E1176" s="368" t="s">
        <v>7117</v>
      </c>
      <c r="F1176" s="208">
        <v>64.0</v>
      </c>
      <c r="G1176" s="208" t="s">
        <v>7118</v>
      </c>
      <c r="H1176" s="208"/>
    </row>
    <row r="1177">
      <c r="B1177" s="367"/>
      <c r="C1177" s="208" t="b">
        <v>0</v>
      </c>
      <c r="D1177" s="369" t="str">
        <f t="shared" si="15"/>
        <v/>
      </c>
      <c r="E1177" s="368" t="s">
        <v>7119</v>
      </c>
      <c r="F1177" s="208">
        <v>64.0</v>
      </c>
      <c r="G1177" s="208" t="s">
        <v>7120</v>
      </c>
      <c r="H1177" s="208"/>
    </row>
    <row r="1178">
      <c r="B1178" s="367"/>
      <c r="C1178" s="208" t="b">
        <v>0</v>
      </c>
      <c r="D1178" s="369" t="str">
        <f t="shared" si="15"/>
        <v/>
      </c>
      <c r="E1178" s="368" t="s">
        <v>7121</v>
      </c>
      <c r="F1178" s="208">
        <v>64.0</v>
      </c>
      <c r="G1178" s="208" t="s">
        <v>7122</v>
      </c>
      <c r="H1178" s="208"/>
    </row>
    <row r="1179">
      <c r="B1179" s="370"/>
      <c r="C1179" s="208" t="b">
        <v>0</v>
      </c>
      <c r="D1179" s="369" t="str">
        <f t="shared" si="15"/>
        <v/>
      </c>
      <c r="E1179" s="368" t="s">
        <v>7123</v>
      </c>
      <c r="F1179" s="208">
        <v>64.0</v>
      </c>
      <c r="G1179" s="208" t="s">
        <v>4056</v>
      </c>
      <c r="H1179" s="208"/>
    </row>
    <row r="1180">
      <c r="B1180" s="367" t="s">
        <v>6955</v>
      </c>
      <c r="C1180" s="208" t="b">
        <v>0</v>
      </c>
      <c r="D1180" s="369" t="str">
        <f t="shared" si="15"/>
        <v/>
      </c>
      <c r="E1180" s="368" t="s">
        <v>7124</v>
      </c>
      <c r="F1180" s="208">
        <v>64.0</v>
      </c>
      <c r="G1180" s="208" t="s">
        <v>3279</v>
      </c>
      <c r="H1180" s="208"/>
    </row>
    <row r="1181">
      <c r="B1181" s="367"/>
      <c r="C1181" s="208" t="b">
        <v>0</v>
      </c>
      <c r="D1181" s="369" t="str">
        <f t="shared" si="15"/>
        <v/>
      </c>
      <c r="E1181" s="368" t="s">
        <v>7125</v>
      </c>
      <c r="F1181" s="208">
        <v>64.0</v>
      </c>
      <c r="G1181" s="208" t="s">
        <v>1689</v>
      </c>
      <c r="H1181" s="208"/>
    </row>
    <row r="1182">
      <c r="B1182" s="367"/>
      <c r="C1182" s="208" t="b">
        <v>0</v>
      </c>
      <c r="D1182" s="369" t="str">
        <f t="shared" si="15"/>
        <v/>
      </c>
      <c r="E1182" s="368" t="s">
        <v>7126</v>
      </c>
      <c r="F1182" s="208">
        <v>64.0</v>
      </c>
      <c r="G1182" s="208" t="s">
        <v>1453</v>
      </c>
      <c r="H1182" s="208"/>
    </row>
    <row r="1183">
      <c r="B1183" s="367"/>
      <c r="C1183" s="208" t="b">
        <v>0</v>
      </c>
      <c r="D1183" s="369" t="str">
        <f t="shared" si="15"/>
        <v/>
      </c>
      <c r="E1183" s="368" t="s">
        <v>7127</v>
      </c>
      <c r="F1183" s="208">
        <v>16.0</v>
      </c>
      <c r="G1183" s="208" t="s">
        <v>1861</v>
      </c>
      <c r="H1183" s="208"/>
    </row>
    <row r="1184">
      <c r="B1184" s="367"/>
      <c r="C1184" s="208" t="b">
        <v>0</v>
      </c>
      <c r="D1184" s="369" t="str">
        <f t="shared" si="15"/>
        <v/>
      </c>
      <c r="E1184" s="368" t="s">
        <v>7128</v>
      </c>
      <c r="F1184" s="208">
        <v>1.0</v>
      </c>
      <c r="G1184" s="208" t="s">
        <v>4419</v>
      </c>
      <c r="H1184" s="208"/>
    </row>
    <row r="1185">
      <c r="B1185" s="367"/>
      <c r="C1185" s="208" t="b">
        <v>0</v>
      </c>
      <c r="D1185" s="369" t="str">
        <f t="shared" si="15"/>
        <v/>
      </c>
      <c r="E1185" s="368" t="s">
        <v>7129</v>
      </c>
      <c r="F1185" s="208">
        <v>64.0</v>
      </c>
      <c r="G1185" s="208" t="s">
        <v>7130</v>
      </c>
      <c r="H1185" s="208"/>
    </row>
    <row r="1186">
      <c r="B1186" s="367"/>
      <c r="C1186" s="208" t="b">
        <v>0</v>
      </c>
      <c r="D1186" s="369" t="str">
        <f t="shared" si="15"/>
        <v/>
      </c>
      <c r="E1186" s="368" t="s">
        <v>7131</v>
      </c>
      <c r="F1186" s="208">
        <v>64.0</v>
      </c>
      <c r="G1186" s="208" t="s">
        <v>7132</v>
      </c>
      <c r="H1186" s="208"/>
    </row>
    <row r="1187">
      <c r="B1187" s="367"/>
      <c r="C1187" s="208" t="b">
        <v>0</v>
      </c>
      <c r="D1187" s="369" t="str">
        <f t="shared" si="15"/>
        <v/>
      </c>
      <c r="E1187" s="368" t="s">
        <v>7133</v>
      </c>
      <c r="F1187" s="208">
        <v>64.0</v>
      </c>
      <c r="G1187" s="208" t="s">
        <v>7134</v>
      </c>
      <c r="H1187" s="208"/>
    </row>
    <row r="1188">
      <c r="B1188" s="367"/>
      <c r="C1188" s="208" t="b">
        <v>0</v>
      </c>
      <c r="D1188" s="369" t="str">
        <f t="shared" si="15"/>
        <v/>
      </c>
      <c r="E1188" s="368" t="s">
        <v>7135</v>
      </c>
      <c r="F1188" s="208">
        <v>64.0</v>
      </c>
      <c r="G1188" s="208" t="s">
        <v>7136</v>
      </c>
      <c r="H1188" s="208"/>
    </row>
    <row r="1189">
      <c r="B1189" s="367"/>
      <c r="C1189" s="208" t="b">
        <v>0</v>
      </c>
      <c r="D1189" s="369" t="str">
        <f t="shared" si="15"/>
        <v/>
      </c>
      <c r="E1189" s="368" t="s">
        <v>7137</v>
      </c>
      <c r="F1189" s="208">
        <v>64.0</v>
      </c>
      <c r="G1189" s="208" t="s">
        <v>1823</v>
      </c>
      <c r="H1189" s="208"/>
    </row>
    <row r="1190">
      <c r="B1190" s="367"/>
      <c r="C1190" s="208" t="b">
        <v>0</v>
      </c>
      <c r="D1190" s="369" t="str">
        <f t="shared" si="15"/>
        <v/>
      </c>
      <c r="E1190" s="368" t="s">
        <v>7138</v>
      </c>
      <c r="F1190" s="208">
        <v>64.0</v>
      </c>
      <c r="G1190" s="208" t="s">
        <v>2943</v>
      </c>
      <c r="H1190" s="208"/>
    </row>
    <row r="1191">
      <c r="B1191" s="367"/>
      <c r="C1191" s="208" t="b">
        <v>0</v>
      </c>
      <c r="D1191" s="369" t="str">
        <f t="shared" si="15"/>
        <v/>
      </c>
      <c r="E1191" s="368" t="s">
        <v>7139</v>
      </c>
      <c r="F1191" s="208">
        <v>1.0</v>
      </c>
      <c r="G1191" s="208" t="s">
        <v>7140</v>
      </c>
      <c r="H1191" s="208"/>
    </row>
    <row r="1192">
      <c r="B1192" s="367"/>
      <c r="C1192" s="208" t="b">
        <v>0</v>
      </c>
      <c r="D1192" s="369" t="str">
        <f t="shared" si="15"/>
        <v/>
      </c>
      <c r="E1192" s="368" t="s">
        <v>7141</v>
      </c>
      <c r="F1192" s="208">
        <v>64.0</v>
      </c>
      <c r="G1192" s="208" t="s">
        <v>7142</v>
      </c>
      <c r="H1192" s="208"/>
    </row>
    <row r="1193">
      <c r="B1193" s="367"/>
      <c r="C1193" s="208" t="b">
        <v>0</v>
      </c>
      <c r="D1193" s="369" t="str">
        <f t="shared" si="15"/>
        <v/>
      </c>
      <c r="E1193" s="368" t="s">
        <v>7143</v>
      </c>
      <c r="F1193" s="208">
        <v>64.0</v>
      </c>
      <c r="G1193" s="208" t="s">
        <v>7144</v>
      </c>
      <c r="H1193" s="208"/>
    </row>
    <row r="1194">
      <c r="B1194" s="370"/>
      <c r="C1194" s="208" t="b">
        <v>0</v>
      </c>
      <c r="D1194" s="369" t="str">
        <f t="shared" si="15"/>
        <v/>
      </c>
      <c r="E1194" s="368" t="s">
        <v>7145</v>
      </c>
      <c r="F1194" s="208">
        <v>64.0</v>
      </c>
      <c r="G1194" s="208" t="s">
        <v>7146</v>
      </c>
      <c r="H1194" s="208"/>
    </row>
    <row r="1195">
      <c r="B1195" s="370"/>
      <c r="C1195" s="208" t="b">
        <v>0</v>
      </c>
      <c r="D1195" s="369" t="str">
        <f t="shared" si="15"/>
        <v/>
      </c>
      <c r="E1195" s="368" t="s">
        <v>7147</v>
      </c>
      <c r="F1195" s="208">
        <v>64.0</v>
      </c>
      <c r="G1195" s="208" t="s">
        <v>7148</v>
      </c>
      <c r="H1195" s="208"/>
    </row>
    <row r="1196">
      <c r="B1196" s="367"/>
      <c r="C1196" s="208" t="b">
        <v>0</v>
      </c>
      <c r="D1196" s="369" t="str">
        <f t="shared" si="15"/>
        <v/>
      </c>
      <c r="E1196" s="368" t="s">
        <v>7149</v>
      </c>
      <c r="F1196" s="208">
        <v>64.0</v>
      </c>
      <c r="G1196" s="208" t="s">
        <v>1785</v>
      </c>
      <c r="H1196" s="208"/>
    </row>
    <row r="1197">
      <c r="B1197" s="367" t="s">
        <v>2891</v>
      </c>
      <c r="C1197" s="208" t="b">
        <v>0</v>
      </c>
      <c r="D1197" s="369" t="str">
        <f>image(CONCATENATE("https://nerothe.com/img/1.21/minecraft_",G1197,"_smithing_template.png"))</f>
        <v/>
      </c>
      <c r="E1197" s="368" t="s">
        <v>7150</v>
      </c>
      <c r="F1197" s="208">
        <v>1.0</v>
      </c>
      <c r="G1197" s="208" t="s">
        <v>7151</v>
      </c>
      <c r="H1197" s="208"/>
    </row>
    <row r="1198">
      <c r="B1198" s="370"/>
      <c r="C1198" s="208" t="b">
        <v>0</v>
      </c>
      <c r="D1198" s="369" t="str">
        <f t="shared" ref="D1198:D1222" si="16">image(CONCATENATE("https://nerothe.com/img/1.21/minecraft_",G1198,".png"))</f>
        <v/>
      </c>
      <c r="E1198" s="368" t="s">
        <v>7152</v>
      </c>
      <c r="F1198" s="208">
        <v>64.0</v>
      </c>
      <c r="G1198" s="208" t="s">
        <v>3327</v>
      </c>
      <c r="H1198" s="208"/>
    </row>
    <row r="1199">
      <c r="B1199" s="367" t="s">
        <v>5510</v>
      </c>
      <c r="C1199" s="208" t="b">
        <v>0</v>
      </c>
      <c r="D1199" s="369" t="str">
        <f t="shared" si="16"/>
        <v/>
      </c>
      <c r="E1199" s="368" t="s">
        <v>7153</v>
      </c>
      <c r="F1199" s="208">
        <v>64.0</v>
      </c>
      <c r="G1199" s="208" t="s">
        <v>4446</v>
      </c>
      <c r="H1199" s="208"/>
    </row>
    <row r="1200">
      <c r="B1200" s="367" t="s">
        <v>5510</v>
      </c>
      <c r="C1200" s="208" t="b">
        <v>0</v>
      </c>
      <c r="D1200" s="369" t="str">
        <f t="shared" si="16"/>
        <v/>
      </c>
      <c r="E1200" s="368" t="s">
        <v>7154</v>
      </c>
      <c r="F1200" s="208">
        <v>64.0</v>
      </c>
      <c r="G1200" s="208" t="s">
        <v>2444</v>
      </c>
      <c r="H1200" s="208"/>
    </row>
    <row r="1201">
      <c r="B1201" s="370"/>
      <c r="C1201" s="208" t="b">
        <v>0</v>
      </c>
      <c r="D1201" s="369" t="str">
        <f t="shared" si="16"/>
        <v/>
      </c>
      <c r="E1201" s="368" t="s">
        <v>7155</v>
      </c>
      <c r="F1201" s="208">
        <v>1.0</v>
      </c>
      <c r="G1201" s="208" t="s">
        <v>2045</v>
      </c>
      <c r="H1201" s="208"/>
    </row>
    <row r="1202">
      <c r="B1202" s="367"/>
      <c r="C1202" s="208" t="b">
        <v>0</v>
      </c>
      <c r="D1202" s="369" t="str">
        <f t="shared" si="16"/>
        <v/>
      </c>
      <c r="E1202" s="368" t="s">
        <v>7156</v>
      </c>
      <c r="F1202" s="208">
        <v>1.0</v>
      </c>
      <c r="G1202" s="208" t="s">
        <v>5239</v>
      </c>
      <c r="H1202" s="208"/>
    </row>
    <row r="1203">
      <c r="B1203" s="367"/>
      <c r="C1203" s="208" t="b">
        <v>0</v>
      </c>
      <c r="D1203" s="369" t="str">
        <f t="shared" si="16"/>
        <v/>
      </c>
      <c r="E1203" s="368" t="s">
        <v>7157</v>
      </c>
      <c r="F1203" s="208">
        <v>1.0</v>
      </c>
      <c r="G1203" s="208" t="s">
        <v>5249</v>
      </c>
      <c r="H1203" s="208"/>
    </row>
    <row r="1204">
      <c r="B1204" s="367"/>
      <c r="C1204" s="208" t="b">
        <v>0</v>
      </c>
      <c r="D1204" s="369" t="str">
        <f t="shared" si="16"/>
        <v/>
      </c>
      <c r="E1204" s="368" t="s">
        <v>7158</v>
      </c>
      <c r="F1204" s="208">
        <v>1.0</v>
      </c>
      <c r="G1204" s="208" t="s">
        <v>199</v>
      </c>
      <c r="H1204" s="208"/>
    </row>
    <row r="1205">
      <c r="B1205" s="367"/>
      <c r="C1205" s="208" t="b">
        <v>0</v>
      </c>
      <c r="D1205" s="369" t="str">
        <f t="shared" si="16"/>
        <v/>
      </c>
      <c r="E1205" s="368" t="s">
        <v>7159</v>
      </c>
      <c r="F1205" s="208">
        <v>1.0</v>
      </c>
      <c r="G1205" s="208" t="s">
        <v>5244</v>
      </c>
      <c r="H1205" s="208"/>
    </row>
    <row r="1206">
      <c r="B1206" s="367"/>
      <c r="C1206" s="208" t="b">
        <v>0</v>
      </c>
      <c r="D1206" s="369" t="str">
        <f t="shared" si="16"/>
        <v/>
      </c>
      <c r="E1206" s="368" t="s">
        <v>7160</v>
      </c>
      <c r="F1206" s="208">
        <v>1.0</v>
      </c>
      <c r="G1206" s="208" t="s">
        <v>5234</v>
      </c>
      <c r="H1206" s="208"/>
    </row>
    <row r="1207">
      <c r="B1207" s="367"/>
      <c r="C1207" s="208" t="b">
        <v>0</v>
      </c>
      <c r="D1207" s="369" t="str">
        <f t="shared" si="16"/>
        <v/>
      </c>
      <c r="E1207" s="368" t="s">
        <v>7161</v>
      </c>
      <c r="F1207" s="208">
        <v>1.0</v>
      </c>
      <c r="G1207" s="208" t="s">
        <v>1409</v>
      </c>
      <c r="H1207" s="208"/>
    </row>
    <row r="1208">
      <c r="B1208" s="367"/>
      <c r="C1208" s="208" t="b">
        <v>0</v>
      </c>
      <c r="D1208" s="369" t="str">
        <f t="shared" si="16"/>
        <v/>
      </c>
      <c r="E1208" s="368" t="s">
        <v>7162</v>
      </c>
      <c r="F1208" s="208">
        <v>16.0</v>
      </c>
      <c r="G1208" s="208" t="s">
        <v>1415</v>
      </c>
      <c r="H1208" s="208"/>
    </row>
    <row r="1209">
      <c r="B1209" s="367"/>
      <c r="C1209" s="208" t="b">
        <v>0</v>
      </c>
      <c r="D1209" s="369" t="str">
        <f t="shared" si="16"/>
        <v/>
      </c>
      <c r="E1209" s="368" t="s">
        <v>7163</v>
      </c>
      <c r="F1209" s="208">
        <v>16.0</v>
      </c>
      <c r="G1209" s="208" t="s">
        <v>7164</v>
      </c>
      <c r="H1209" s="208"/>
    </row>
    <row r="1210">
      <c r="B1210" s="367"/>
      <c r="C1210" s="208" t="b">
        <v>0</v>
      </c>
      <c r="D1210" s="369" t="str">
        <f t="shared" si="16"/>
        <v/>
      </c>
      <c r="E1210" s="368" t="s">
        <v>7165</v>
      </c>
      <c r="F1210" s="208">
        <v>1.0</v>
      </c>
      <c r="G1210" s="208" t="s">
        <v>7166</v>
      </c>
      <c r="H1210" s="208"/>
    </row>
    <row r="1211">
      <c r="B1211" s="367"/>
      <c r="C1211" s="208" t="b">
        <v>0</v>
      </c>
      <c r="D1211" s="369" t="str">
        <f t="shared" si="16"/>
        <v/>
      </c>
      <c r="E1211" s="368" t="s">
        <v>7167</v>
      </c>
      <c r="F1211" s="208">
        <v>64.0</v>
      </c>
      <c r="G1211" s="208" t="s">
        <v>7168</v>
      </c>
      <c r="H1211" s="208"/>
    </row>
    <row r="1212">
      <c r="B1212" s="367"/>
      <c r="C1212" s="208" t="b">
        <v>0</v>
      </c>
      <c r="D1212" s="369" t="str">
        <f t="shared" si="16"/>
        <v/>
      </c>
      <c r="E1212" s="368" t="s">
        <v>7169</v>
      </c>
      <c r="F1212" s="208">
        <v>64.0</v>
      </c>
      <c r="G1212" s="208" t="s">
        <v>7170</v>
      </c>
      <c r="H1212" s="208"/>
    </row>
    <row r="1213">
      <c r="B1213" s="367"/>
      <c r="C1213" s="208" t="b">
        <v>0</v>
      </c>
      <c r="D1213" s="369" t="str">
        <f t="shared" si="16"/>
        <v/>
      </c>
      <c r="E1213" s="368" t="s">
        <v>7171</v>
      </c>
      <c r="F1213" s="208">
        <v>64.0</v>
      </c>
      <c r="G1213" s="208" t="s">
        <v>7172</v>
      </c>
      <c r="H1213" s="208"/>
    </row>
    <row r="1214">
      <c r="B1214" s="367"/>
      <c r="C1214" s="208" t="b">
        <v>0</v>
      </c>
      <c r="D1214" s="369" t="str">
        <f t="shared" si="16"/>
        <v/>
      </c>
      <c r="E1214" s="368" t="s">
        <v>7173</v>
      </c>
      <c r="F1214" s="208">
        <v>64.0</v>
      </c>
      <c r="G1214" s="208" t="s">
        <v>7174</v>
      </c>
      <c r="H1214" s="208"/>
    </row>
    <row r="1215">
      <c r="B1215" s="367"/>
      <c r="C1215" s="208" t="b">
        <v>0</v>
      </c>
      <c r="D1215" s="369" t="str">
        <f t="shared" si="16"/>
        <v/>
      </c>
      <c r="E1215" s="368" t="s">
        <v>7175</v>
      </c>
      <c r="F1215" s="208">
        <v>64.0</v>
      </c>
      <c r="G1215" s="208" t="s">
        <v>868</v>
      </c>
      <c r="H1215" s="208"/>
    </row>
    <row r="1216">
      <c r="B1216" s="367"/>
      <c r="C1216" s="208" t="b">
        <v>0</v>
      </c>
      <c r="D1216" s="369" t="str">
        <f t="shared" si="16"/>
        <v/>
      </c>
      <c r="E1216" s="368" t="s">
        <v>7176</v>
      </c>
      <c r="F1216" s="208">
        <v>64.0</v>
      </c>
      <c r="G1216" s="208" t="s">
        <v>7177</v>
      </c>
      <c r="H1216" s="208"/>
    </row>
    <row r="1217">
      <c r="B1217" s="367"/>
      <c r="C1217" s="208" t="b">
        <v>0</v>
      </c>
      <c r="D1217" s="369" t="str">
        <f t="shared" si="16"/>
        <v/>
      </c>
      <c r="E1217" s="368" t="s">
        <v>7178</v>
      </c>
      <c r="F1217" s="208">
        <v>1.0</v>
      </c>
      <c r="G1217" s="208" t="s">
        <v>7179</v>
      </c>
      <c r="H1217" s="208"/>
    </row>
    <row r="1218">
      <c r="B1218" s="367"/>
      <c r="C1218" s="208" t="b">
        <v>0</v>
      </c>
      <c r="D1218" s="369" t="str">
        <f t="shared" si="16"/>
        <v/>
      </c>
      <c r="E1218" s="368" t="s">
        <v>7180</v>
      </c>
      <c r="F1218" s="208">
        <v>64.0</v>
      </c>
      <c r="G1218" s="208" t="s">
        <v>7181</v>
      </c>
      <c r="H1218" s="208"/>
    </row>
    <row r="1219">
      <c r="B1219" s="367"/>
      <c r="C1219" s="208" t="b">
        <v>0</v>
      </c>
      <c r="D1219" s="369" t="str">
        <f t="shared" si="16"/>
        <v/>
      </c>
      <c r="E1219" s="368" t="s">
        <v>7182</v>
      </c>
      <c r="F1219" s="208">
        <v>64.0</v>
      </c>
      <c r="G1219" s="208" t="s">
        <v>7183</v>
      </c>
      <c r="H1219" s="208"/>
    </row>
    <row r="1220">
      <c r="B1220" s="370"/>
      <c r="C1220" s="208" t="b">
        <v>0</v>
      </c>
      <c r="D1220" s="369" t="str">
        <f t="shared" si="16"/>
        <v/>
      </c>
      <c r="E1220" s="368" t="s">
        <v>7184</v>
      </c>
      <c r="F1220" s="208">
        <v>64.0</v>
      </c>
      <c r="G1220" s="208" t="s">
        <v>7185</v>
      </c>
      <c r="H1220" s="208"/>
    </row>
    <row r="1221">
      <c r="B1221" s="367"/>
      <c r="C1221" s="208" t="b">
        <v>0</v>
      </c>
      <c r="D1221" s="369" t="str">
        <f t="shared" si="16"/>
        <v/>
      </c>
      <c r="E1221" s="368" t="s">
        <v>7186</v>
      </c>
      <c r="F1221" s="208">
        <v>64.0</v>
      </c>
      <c r="G1221" s="208" t="s">
        <v>7187</v>
      </c>
      <c r="H1221" s="208"/>
    </row>
    <row r="1222">
      <c r="B1222" s="367" t="s">
        <v>28</v>
      </c>
      <c r="C1222" s="208" t="b">
        <v>0</v>
      </c>
      <c r="D1222" s="369" t="str">
        <f t="shared" si="16"/>
        <v/>
      </c>
      <c r="E1222" s="368" t="s">
        <v>69</v>
      </c>
      <c r="F1222" s="208">
        <v>64.0</v>
      </c>
      <c r="G1222" s="208" t="s">
        <v>2243</v>
      </c>
      <c r="H1222" s="208"/>
    </row>
  </sheetData>
  <autoFilter ref="$A$1:$H$1222">
    <sortState ref="A1:H1222">
      <sortCondition ref="E1:E1222"/>
      <sortCondition ref="B1:B1222"/>
    </sortState>
  </autoFilter>
  <conditionalFormatting sqref="D2:D1222">
    <cfRule type="expression" dxfId="2" priority="1">
      <formula>$G2=TRUE</formula>
    </cfRule>
  </conditionalFormatting>
  <conditionalFormatting sqref="D2:D1222">
    <cfRule type="cellIs" dxfId="7" priority="2" operator="equal">
      <formula>"Subset"</formula>
    </cfRule>
  </conditionalFormatting>
  <conditionalFormatting sqref="D2:D1222">
    <cfRule type="cellIs" dxfId="8" priority="3" operator="equal">
      <formula>"Super Set"</formula>
    </cfRule>
  </conditionalFormatting>
  <conditionalFormatting sqref="D2:D1222">
    <cfRule type="cellIs" dxfId="9" priority="4" operator="equal">
      <formula>"Incidental"</formula>
    </cfRule>
  </conditionalFormatting>
  <conditionalFormatting sqref="D2:D1222">
    <cfRule type="cellIs" dxfId="10" priority="5" operator="equal">
      <formula>"Unique"</formula>
    </cfRule>
  </conditionalFormatting>
  <conditionalFormatting sqref="D2:D1222">
    <cfRule type="cellIs" dxfId="11" priority="6" operator="equal">
      <formula>"Child"</formula>
    </cfRule>
  </conditionalFormatting>
  <conditionalFormatting sqref="B166:B177">
    <cfRule type="expression" dxfId="4" priority="7">
      <formula>$C166=TRUE</formula>
    </cfRule>
  </conditionalFormatting>
  <conditionalFormatting sqref="B166:B177">
    <cfRule type="expression" dxfId="5" priority="8">
      <formula>$F166="Description"</formula>
    </cfRule>
  </conditionalFormatting>
  <conditionalFormatting sqref="B166:B177">
    <cfRule type="expression" dxfId="6" priority="9">
      <formula>$F166="Description"</formula>
    </cfRule>
  </conditionalFormatting>
  <conditionalFormatting sqref="A1:H1222">
    <cfRule type="expression" dxfId="4" priority="10">
      <formula>$C1=TRUE</formula>
    </cfRule>
  </conditionalFormatting>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outlinePr summaryBelow="0" summaryRight="0"/>
  </sheetPr>
  <sheetViews>
    <sheetView workbookViewId="0"/>
  </sheetViews>
  <sheetFormatPr customHeight="1" defaultColWidth="12.63" defaultRowHeight="15.75"/>
  <cols>
    <col customWidth="1" min="1" max="1" width="2.63"/>
    <col customWidth="1" min="2" max="2" width="3.88"/>
    <col customWidth="1" min="3" max="4" width="2.63"/>
    <col customWidth="1" min="5" max="5" width="3.25"/>
    <col customWidth="1" min="6" max="6" width="2.63"/>
    <col customWidth="1" min="7" max="7" width="18.88"/>
    <col customWidth="1" min="8" max="9" width="2.63"/>
    <col customWidth="1" min="10" max="10" width="3.25"/>
    <col customWidth="1" min="11" max="11" width="2.63"/>
    <col customWidth="1" min="12" max="12" width="18.88"/>
    <col customWidth="1" min="13" max="16" width="2.63"/>
    <col customWidth="1" min="17" max="17" width="18.88"/>
    <col customWidth="1" min="18" max="21" width="2.63"/>
    <col customWidth="1" min="22" max="22" width="18.88"/>
    <col customWidth="1" min="23" max="26" width="2.63"/>
    <col customWidth="1" min="27" max="27" width="18.88"/>
    <col customWidth="1" min="28" max="31" width="2.63"/>
    <col customWidth="1" min="32" max="32" width="18.88"/>
    <col customWidth="1" min="33" max="33" width="2.63"/>
    <col customWidth="1" min="34" max="34" width="3.88"/>
    <col customWidth="1" min="35" max="35" width="2.63"/>
    <col customWidth="1" min="36" max="36" width="25.13"/>
    <col customWidth="1" min="37" max="38" width="2.63"/>
    <col customWidth="1" min="39" max="39" width="3.88"/>
    <col customWidth="1" min="40" max="40" width="2.63"/>
    <col customWidth="1" min="41" max="41" width="25.13"/>
    <col customWidth="1" min="42" max="43" width="2.63"/>
    <col customWidth="1" min="44" max="44" width="3.88"/>
    <col customWidth="1" min="45" max="45" width="2.63"/>
    <col customWidth="1" min="46" max="46" width="25.13"/>
    <col customWidth="1" min="47" max="48" width="2.63"/>
    <col customWidth="1" min="49" max="49" width="3.88"/>
    <col customWidth="1" min="50" max="50" width="2.63"/>
    <col customWidth="1" min="51" max="51" width="25.13"/>
    <col customWidth="1" min="52" max="53" width="2.63"/>
    <col customWidth="1" min="54" max="54" width="3.88"/>
    <col customWidth="1" min="55" max="55" width="2.63"/>
    <col customWidth="1" min="56" max="56" width="25.13"/>
    <col customWidth="1" min="57" max="58" width="2.63"/>
    <col customWidth="1" min="59" max="59" width="3.88"/>
    <col customWidth="1" min="60" max="60" width="2.63"/>
    <col customWidth="1" min="61" max="61" width="25.13"/>
    <col customWidth="1" min="62" max="63" width="2.63"/>
    <col customWidth="1" min="64" max="64" width="3.88"/>
    <col customWidth="1" min="65" max="65" width="2.63"/>
    <col customWidth="1" min="66" max="66" width="25.13"/>
    <col customWidth="1" min="67" max="68" width="2.63"/>
    <col customWidth="1" min="69" max="69" width="3.88"/>
    <col customWidth="1" min="70" max="70" width="2.63"/>
    <col customWidth="1" min="71" max="71" width="25.13"/>
    <col customWidth="1" min="72" max="73" width="2.63"/>
    <col customWidth="1" min="74" max="74" width="3.88"/>
    <col customWidth="1" min="75" max="75" width="2.63"/>
    <col customWidth="1" min="76" max="76" width="25.13"/>
    <col customWidth="1" min="77" max="78" width="2.63"/>
    <col customWidth="1" min="79" max="79" width="3.88"/>
    <col customWidth="1" min="80" max="80" width="2.63"/>
    <col customWidth="1" min="81" max="81" width="25.13"/>
    <col customWidth="1" min="82" max="83" width="2.63"/>
    <col customWidth="1" min="84" max="84" width="3.88"/>
    <col customWidth="1" min="85" max="85" width="2.63"/>
    <col customWidth="1" min="86" max="86" width="25.13"/>
    <col customWidth="1" min="87" max="88" width="2.63"/>
    <col customWidth="1" min="89" max="89" width="3.88"/>
    <col customWidth="1" min="90" max="90" width="2.63"/>
    <col customWidth="1" min="91" max="91" width="25.13"/>
    <col customWidth="1" min="92" max="93" width="2.63"/>
    <col customWidth="1" min="94" max="94" width="3.88"/>
    <col customWidth="1" min="95" max="95" width="2.63"/>
    <col customWidth="1" min="96" max="96" width="25.13"/>
    <col customWidth="1" min="97" max="98" width="2.63"/>
    <col customWidth="1" min="99" max="99" width="3.88"/>
    <col customWidth="1" min="100" max="100" width="2.63"/>
    <col customWidth="1" min="101" max="101" width="25.13"/>
    <col customWidth="1" min="102" max="103" width="2.63"/>
    <col customWidth="1" min="104" max="104" width="3.88"/>
    <col customWidth="1" min="105" max="105" width="2.63"/>
    <col customWidth="1" min="106" max="106" width="25.13"/>
    <col customWidth="1" min="107" max="107" width="2.63"/>
  </cols>
  <sheetData>
    <row r="1">
      <c r="A1" s="21"/>
      <c r="B1" s="21"/>
      <c r="C1" s="21"/>
      <c r="D1" s="21"/>
      <c r="E1" s="373" t="s">
        <v>194</v>
      </c>
      <c r="F1" s="21"/>
      <c r="G1" s="21"/>
      <c r="H1" s="21"/>
      <c r="I1" s="21"/>
      <c r="J1" s="373" t="s">
        <v>194</v>
      </c>
      <c r="K1" s="21"/>
      <c r="L1" s="21"/>
      <c r="M1" s="21"/>
      <c r="N1" s="21"/>
      <c r="O1" s="373" t="s">
        <v>194</v>
      </c>
      <c r="P1" s="21"/>
      <c r="Q1" s="21"/>
      <c r="R1" s="21"/>
      <c r="S1" s="21"/>
      <c r="T1" s="373" t="s">
        <v>194</v>
      </c>
      <c r="U1" s="21"/>
      <c r="V1" s="21"/>
      <c r="W1" s="21"/>
      <c r="X1" s="21"/>
      <c r="Y1" s="373" t="s">
        <v>194</v>
      </c>
      <c r="Z1" s="21"/>
      <c r="AA1" s="21"/>
      <c r="AB1" s="21"/>
      <c r="AC1" s="21"/>
      <c r="AD1" s="373" t="s">
        <v>194</v>
      </c>
      <c r="AE1" s="21"/>
      <c r="AF1" s="21"/>
      <c r="AK1" s="373"/>
      <c r="AL1" s="373" t="s">
        <v>194</v>
      </c>
      <c r="AM1" s="221"/>
      <c r="AO1" s="370"/>
      <c r="AQ1" s="373" t="s">
        <v>194</v>
      </c>
      <c r="AR1" s="374"/>
      <c r="AS1" s="21"/>
      <c r="AT1" s="21"/>
      <c r="AV1" s="373" t="s">
        <v>194</v>
      </c>
      <c r="BA1" s="373" t="s">
        <v>194</v>
      </c>
      <c r="BF1" s="373" t="s">
        <v>194</v>
      </c>
      <c r="BK1" s="373" t="s">
        <v>194</v>
      </c>
      <c r="BP1" s="373" t="s">
        <v>194</v>
      </c>
      <c r="BU1" s="373" t="s">
        <v>194</v>
      </c>
      <c r="BZ1" s="373" t="s">
        <v>194</v>
      </c>
      <c r="CE1" s="373" t="s">
        <v>194</v>
      </c>
      <c r="CJ1" s="373" t="s">
        <v>194</v>
      </c>
      <c r="CO1" s="373" t="s">
        <v>194</v>
      </c>
      <c r="CT1" s="373" t="s">
        <v>194</v>
      </c>
      <c r="CY1" s="373" t="s">
        <v>194</v>
      </c>
    </row>
    <row r="2">
      <c r="A2" s="21"/>
      <c r="B2" s="375" t="s">
        <v>7188</v>
      </c>
      <c r="C2" s="42"/>
      <c r="D2" s="42"/>
      <c r="E2" s="42"/>
      <c r="F2" s="42"/>
      <c r="G2" s="42"/>
      <c r="H2" s="42"/>
      <c r="I2" s="42"/>
      <c r="J2" s="42"/>
      <c r="K2" s="42"/>
      <c r="L2" s="42"/>
      <c r="M2" s="42"/>
      <c r="N2" s="42"/>
      <c r="O2" s="42"/>
      <c r="P2" s="42"/>
      <c r="Q2" s="42"/>
      <c r="R2" s="42"/>
      <c r="S2" s="42"/>
      <c r="T2" s="42"/>
      <c r="U2" s="42"/>
      <c r="V2" s="42"/>
      <c r="W2" s="42"/>
      <c r="X2" s="42"/>
      <c r="Y2" s="42"/>
      <c r="Z2" s="42"/>
      <c r="AA2" s="42"/>
      <c r="AB2" s="42"/>
      <c r="AC2" s="42"/>
      <c r="AD2" s="42"/>
      <c r="AE2" s="42"/>
      <c r="AF2" s="46"/>
      <c r="AH2" s="376" t="str">
        <f>GET_ADV_ICON(AJ2)</f>
        <v/>
      </c>
      <c r="AI2" s="377" t="b">
        <f t="array" ref="AI2">XLOOKUP(AJ2,Advancements!$I$2:$I164,Advancements!$G$2:$G164)</f>
        <v>0</v>
      </c>
      <c r="AJ2" s="378" t="s">
        <v>1721</v>
      </c>
      <c r="AK2" s="379"/>
      <c r="AL2" s="379" t="str">
        <f t="array" ref="AL2">XLOOKUP(AO2,Advancements!$I$2:$I164,Advancements!$C$2:$C164)</f>
        <v/>
      </c>
      <c r="AM2" s="380" t="str">
        <f>GET_ADV_ICON(AO2)</f>
        <v/>
      </c>
      <c r="AN2" s="381" t="b">
        <f t="array" ref="AN2">XLOOKUP(AO2,Advancements!$I$2:$I164,Advancements!$G$2:$G164)</f>
        <v>0</v>
      </c>
      <c r="AO2" s="382" t="s">
        <v>4846</v>
      </c>
      <c r="AQ2" s="379" t="str">
        <f t="array" ref="AQ2">XLOOKUP(AT2,Advancements!$I$2:$I164,Advancements!$C$2:$C164)</f>
        <v/>
      </c>
      <c r="AR2" s="380" t="str">
        <f>GET_ADV_ICON(AT2)</f>
        <v/>
      </c>
      <c r="AS2" s="383" t="b">
        <f t="array" ref="AS2">XLOOKUP(AT2,Advancements!$I$2:$I164,Advancements!$G$2:$G164)</f>
        <v>0</v>
      </c>
      <c r="AT2" s="384" t="s">
        <v>63</v>
      </c>
      <c r="AV2" s="379" t="str">
        <f t="array" ref="AV2">XLOOKUP(AY2,Advancements!$I$2:$I164,Advancements!$C$2:$C164)</f>
        <v/>
      </c>
      <c r="AW2" s="380" t="str">
        <f>GET_ADV_ICON(AY2)</f>
        <v/>
      </c>
      <c r="AX2" s="383" t="b">
        <f t="array" ref="AX2">XLOOKUP(AY2,Advancements!$I$2:$I164,Advancements!$G$2:$G164)</f>
        <v>0</v>
      </c>
      <c r="AY2" s="384" t="s">
        <v>67</v>
      </c>
      <c r="BA2" s="379" t="str">
        <f t="array" ref="BA2">XLOOKUP(BD2,Advancements!$I$2:$I164,Advancements!$C$2:$C164)</f>
        <v/>
      </c>
      <c r="BB2" s="380" t="str">
        <f>GET_ADV_ICON(BD2)</f>
        <v/>
      </c>
      <c r="BC2" s="383" t="b">
        <f t="array" ref="BC2">XLOOKUP(BD2,Advancements!$I$2:$I164,Advancements!$G$2:$G164)</f>
        <v>0</v>
      </c>
      <c r="BD2" s="384" t="s">
        <v>55</v>
      </c>
      <c r="BE2" s="367"/>
      <c r="BF2" s="379" t="str">
        <f t="array" ref="BF2">XLOOKUP(BI2,Advancements!$I$2:$I164,Advancements!$C$2:$C164)</f>
        <v/>
      </c>
      <c r="BG2" s="380" t="str">
        <f>GET_ADV_ICON(BI2)</f>
        <v/>
      </c>
      <c r="BH2" s="383" t="b">
        <f t="array" ref="BH2">XLOOKUP(BI2,Advancements!$I$2:$I164,Advancements!$G$2:$G164)</f>
        <v>0</v>
      </c>
      <c r="BI2" s="384" t="s">
        <v>59</v>
      </c>
      <c r="BJ2" s="367"/>
      <c r="BK2" s="379" t="str">
        <f t="array" ref="BK2">XLOOKUP(BN2,Advancements!$I$2:$I164,Advancements!$C$2:$C164)</f>
        <v/>
      </c>
      <c r="BL2" s="380" t="str">
        <f>GET_ADV_ICON(BN2)</f>
        <v/>
      </c>
      <c r="BM2" s="383" t="b">
        <f t="array" ref="BM2">XLOOKUP(BN2,Advancements!$I$2:$I164,Advancements!$G$2:$G164)</f>
        <v>0</v>
      </c>
      <c r="BN2" s="384" t="s">
        <v>36</v>
      </c>
      <c r="BO2" s="367"/>
      <c r="BP2" s="379" t="str">
        <f t="array" ref="BP2">XLOOKUP(BS2,Advancements!$I$2:$I164,Advancements!$C$2:$C164)</f>
        <v/>
      </c>
      <c r="BQ2" s="376" t="str">
        <f>GET_ADV_ICON(BS2)</f>
        <v/>
      </c>
      <c r="BR2" s="385" t="b">
        <f t="array" ref="BR2">XLOOKUP(BS2,Advancements!$I$2:$I164,Advancements!$G$2:$G164)</f>
        <v>0</v>
      </c>
      <c r="BS2" s="386" t="s">
        <v>3616</v>
      </c>
      <c r="BT2" s="367"/>
      <c r="BU2" s="379" t="str">
        <f t="array" ref="BU2">XLOOKUP(BX2,Advancements!$I$2:$I164,Advancements!$C$2:$C164)</f>
        <v/>
      </c>
      <c r="BV2" s="376" t="str">
        <f>GET_ADV_ICON(BX2)</f>
        <v/>
      </c>
      <c r="BW2" s="385" t="b">
        <f t="array" ref="BW2">XLOOKUP(BX2,Advancements!$I$2:$I164,Advancements!$G$2:$G164)</f>
        <v>0</v>
      </c>
      <c r="BX2" s="387" t="s">
        <v>2738</v>
      </c>
      <c r="BY2" s="367"/>
      <c r="BZ2" s="379" t="str">
        <f t="array" ref="BZ2">XLOOKUP(CC2,Advancements!$I$2:$I164,Advancements!$C$2:$C164)</f>
        <v/>
      </c>
      <c r="CA2" s="376" t="str">
        <f>GET_ADV_ICON(CC2)</f>
        <v/>
      </c>
      <c r="CB2" s="385" t="b">
        <f t="array" ref="CB2">XLOOKUP(CC2,Advancements!$I$2:$I164,Advancements!$G$2:$G164)</f>
        <v>0</v>
      </c>
      <c r="CC2" s="387" t="s">
        <v>2679</v>
      </c>
      <c r="CD2" s="367"/>
      <c r="CE2" s="379" t="str">
        <f t="array" ref="CE2">XLOOKUP(CH2,Advancements!$I$2:$I164,Advancements!$C$2:$C164)</f>
        <v/>
      </c>
      <c r="CF2" s="388" t="str">
        <f>GET_ADV_ICON(CH2)</f>
        <v/>
      </c>
      <c r="CG2" s="389" t="b">
        <f t="array" ref="CG2">XLOOKUP(CH2,Advancements!$I$2:$I164,Advancements!$G$2:$G164)</f>
        <v>0</v>
      </c>
      <c r="CH2" s="390" t="s">
        <v>2016</v>
      </c>
      <c r="CI2" s="367"/>
      <c r="CJ2" s="379" t="str">
        <f t="array" ref="CJ2">XLOOKUP(CM2,Advancements!$I$2:$I164,Advancements!$C$2:$C164)</f>
        <v/>
      </c>
      <c r="CK2" s="388" t="str">
        <f>GET_ADV_ICON(CM2)</f>
        <v/>
      </c>
      <c r="CL2" s="389" t="b">
        <f t="array" ref="CL2">XLOOKUP(CM2,Advancements!$I$2:$I164,Advancements!$G$2:$G164)</f>
        <v>0</v>
      </c>
      <c r="CM2" s="390" t="s">
        <v>1718</v>
      </c>
      <c r="CN2" s="367"/>
      <c r="CO2" s="379" t="str">
        <f t="array" ref="CO2">XLOOKUP(CR2,Advancements!$I$2:$I164,Advancements!$C$2:$C164)</f>
        <v/>
      </c>
      <c r="CP2" s="391" t="str">
        <f>GET_ADV_ICON(CR2)</f>
        <v/>
      </c>
      <c r="CQ2" s="392" t="b">
        <f t="array" ref="CQ2">XLOOKUP(CR2,Advancements!$I$2:$I164,Advancements!$G$2:$G164)</f>
        <v>0</v>
      </c>
      <c r="CR2" s="393" t="s">
        <v>2618</v>
      </c>
      <c r="CS2" s="367"/>
      <c r="CT2" s="379" t="str">
        <f t="array" ref="CT2">XLOOKUP(CW2,Advancements!$I$2:$I164,Advancements!$C$2:$C164)</f>
        <v/>
      </c>
      <c r="CU2" s="391" t="str">
        <f>GET_ADV_ICON(CW2)</f>
        <v/>
      </c>
      <c r="CV2" s="392" t="b">
        <f t="array" ref="CV2">XLOOKUP(CW2,Advancements!$I$2:$I164,Advancements!$G$2:$G164)</f>
        <v>0</v>
      </c>
      <c r="CW2" s="394" t="s">
        <v>2711</v>
      </c>
      <c r="CX2" s="367"/>
      <c r="CY2" s="379" t="str">
        <f t="array" ref="CY2">XLOOKUP(DB2,Advancements!$I$2:$I164,Advancements!$C$2:$C164)</f>
        <v/>
      </c>
      <c r="CZ2" s="391" t="str">
        <f>GET_ADV_ICON(DB2)</f>
        <v/>
      </c>
      <c r="DA2" s="392" t="b">
        <f t="array" ref="DA2">XLOOKUP(DB2,Advancements!$I$2:$I164,Advancements!$G$2:$G164)</f>
        <v>0</v>
      </c>
      <c r="DB2" s="393" t="s">
        <v>2707</v>
      </c>
      <c r="DC2" s="367"/>
    </row>
    <row r="3">
      <c r="A3" s="21"/>
      <c r="B3" s="108"/>
      <c r="AF3" s="54"/>
      <c r="AH3" s="395" t="s">
        <v>7189</v>
      </c>
      <c r="AJ3" s="54"/>
      <c r="AM3" s="396" t="str">
        <f t="array" ref="AM3">XLOOKUP(AO2,Advancements!$I$2:$I164,Advancements!$D$2:$D164)</f>
        <v/>
      </c>
      <c r="AO3" s="397" t="str">
        <f t="array" ref="AO3">iferror(SPARKLINE(XLOOKUP(AO2,Advancements!$I$2:$I164,Advancements!$E$2:$E164)/XLOOKUP(AO2,Advancements!$I$2:$I164,Advancements!$F$2:$F164),{"charttype","bar";"max",100%;"color1","green";"empty","zero"}))</f>
        <v/>
      </c>
      <c r="AR3" s="396" t="str">
        <f t="array" ref="AR3">XLOOKUP(AT2,Advancements!$I$2:$I164,Advancements!$D$2:$D164)</f>
        <v/>
      </c>
      <c r="AT3" s="398" t="str">
        <f t="array" ref="AT3">iferror(SPARKLINE(XLOOKUP(AT2,Advancements!$I$2:$I164,Advancements!$E$2:$E164)/XLOOKUP(AT2,Advancements!$I$2:$I164,Advancements!$F$2:$F164),{"charttype","bar";"max",100%;"color1","green";"empty","zero"}))</f>
        <v/>
      </c>
      <c r="AW3" s="396" t="str">
        <f t="array" ref="AW3">XLOOKUP(AY2,Advancements!$I$2:$I164,Advancements!$D$2:$D164)</f>
        <v/>
      </c>
      <c r="AY3" s="398" t="str">
        <f t="array" ref="AY3">iferror(SPARKLINE(XLOOKUP(AY2,Advancements!$I$2:$I164,Advancements!$E$2:$E164)/XLOOKUP(AY2,Advancements!$I$2:$I164,Advancements!$F$2:$F164),{"charttype","bar";"max",100%;"color1","green";"empty","zero"}))</f>
        <v/>
      </c>
      <c r="BB3" s="396" t="str">
        <f t="array" ref="BB3">XLOOKUP(BD2,Advancements!$I$2:$I164,Advancements!$D$2:$D164)</f>
        <v/>
      </c>
      <c r="BD3" s="398" t="str">
        <f t="array" ref="BD3">iferror(SPARKLINE(XLOOKUP(BD2,Advancements!$I$2:$I164,Advancements!$E$2:$E164)/XLOOKUP(BD2,Advancements!$I$2:$I164,Advancements!$F$2:$F164),{"charttype","bar";"max",100%;"color1","green";"empty","zero"}))</f>
        <v/>
      </c>
      <c r="BE3" s="367"/>
      <c r="BG3" s="396" t="str">
        <f t="array" ref="BG3">XLOOKUP(BI2,Advancements!$I$2:$I164,Advancements!$D$2:$D164)</f>
        <v/>
      </c>
      <c r="BI3" s="398" t="str">
        <f t="array" ref="BI3">iferror(SPARKLINE(XLOOKUP(BI2,Advancements!$I$2:$I164,Advancements!$E$2:$E164)/XLOOKUP(BI2,Advancements!$I$2:$I164,Advancements!$F$2:$F164),{"charttype","bar";"max",100%;"color1","green";"empty","zero"}))</f>
        <v/>
      </c>
      <c r="BJ3" s="367"/>
      <c r="BL3" s="396" t="str">
        <f t="array" ref="BL3">XLOOKUP(BN2,Advancements!$I$2:$I164,Advancements!$D$2:$D164)</f>
        <v/>
      </c>
      <c r="BN3" s="398" t="str">
        <f t="array" ref="BN3">iferror(SPARKLINE(XLOOKUP(BN2,Advancements!$I$2:$I164,Advancements!$E$2:$E164)/XLOOKUP(BN2,Advancements!$I$2:$I164,Advancements!$F$2:$F164),{"charttype","bar";"max",100%;"color1","green";"empty","zero"}))</f>
        <v/>
      </c>
      <c r="BO3" s="367"/>
      <c r="BQ3" s="399" t="str">
        <f t="array" ref="BQ3">XLOOKUP(BS2,Advancements!$I$2:$I164,Advancements!$D$2:$D164)</f>
        <v/>
      </c>
      <c r="BS3" s="400" t="str">
        <f t="array" ref="BS3">iferror(SPARKLINE(XLOOKUP(BS2,Advancements!$I$2:$I164,Advancements!$E$2:$E164)/XLOOKUP(BS2,Advancements!$I$2:$I164,Advancements!$F$2:$F164),{"charttype","bar";"max",100%;"color1","green";"empty","zero"}))</f>
        <v/>
      </c>
      <c r="BT3" s="367"/>
      <c r="BV3" s="399" t="str">
        <f t="array" ref="BV3">XLOOKUP(BX2,Advancements!$I$2:$I164,Advancements!$D$2:$D164)</f>
        <v/>
      </c>
      <c r="BX3" s="400" t="str">
        <f t="array" ref="BX3">iferror(SPARKLINE(XLOOKUP(BX2,Advancements!$I$2:$I164,Advancements!$E$2:$E164)/XLOOKUP(BX2,Advancements!$I$2:$I164,Advancements!$F$2:$F164),{"charttype","bar";"max",100%;"color1","green";"empty","zero"}))</f>
        <v/>
      </c>
      <c r="BY3" s="367"/>
      <c r="CA3" s="399" t="str">
        <f t="array" ref="CA3">XLOOKUP(CC2,Advancements!$I$2:$I164,Advancements!$D$2:$D164)</f>
        <v/>
      </c>
      <c r="CC3" s="400" t="str">
        <f t="array" ref="CC3">iferror(SPARKLINE(XLOOKUP(CC2,Advancements!$I$2:$I164,Advancements!$E$2:$E164)/XLOOKUP(CC2,Advancements!$I$2:$I164,Advancements!$F$2:$F164),{"charttype","bar";"max",100%;"color1","green";"empty","zero"}))</f>
        <v/>
      </c>
      <c r="CD3" s="367"/>
      <c r="CF3" s="401" t="str">
        <f t="array" ref="CF3">XLOOKUP(CH2,Advancements!$I$2:$I164,Advancements!$D$2:$D164)</f>
        <v/>
      </c>
      <c r="CH3" s="402" t="str">
        <f t="array" ref="CH3">iferror(SPARKLINE(XLOOKUP(CH2,Advancements!$I$2:$I164,Advancements!$E$2:$E164)/XLOOKUP(CH2,Advancements!$I$2:$I164,Advancements!$F$2:$F164),{"charttype","bar";"max",100%;"color1","green";"empty","zero"}))</f>
        <v/>
      </c>
      <c r="CI3" s="367"/>
      <c r="CK3" s="401" t="str">
        <f t="array" ref="CK3">XLOOKUP(CM2,Advancements!$I$2:$I164,Advancements!$D$2:$D164)</f>
        <v/>
      </c>
      <c r="CM3" s="402" t="str">
        <f t="array" ref="CM3">iferror(SPARKLINE(XLOOKUP(CM2,Advancements!$I$2:$I164,Advancements!$E$2:$E164)/XLOOKUP(CM2,Advancements!$I$2:$I164,Advancements!$F$2:$F164),{"charttype","bar";"max",100%;"color1","green";"empty","zero"}))</f>
        <v/>
      </c>
      <c r="CN3" s="367"/>
      <c r="CP3" s="403" t="str">
        <f t="array" ref="CP3">XLOOKUP(CR2,Advancements!$I$2:$I164,Advancements!$D$2:$D164)</f>
        <v/>
      </c>
      <c r="CR3" s="404" t="str">
        <f t="array" ref="CR3">iferror(SPARKLINE(XLOOKUP(CR2,Advancements!$I$2:$I164,Advancements!$E$2:$E164)/XLOOKUP(CR2,Advancements!$I$2:$I164,Advancements!$F$2:$F164),{"charttype","bar";"max",100%;"color1","green";"empty","zero"}))</f>
        <v/>
      </c>
      <c r="CS3" s="367"/>
      <c r="CU3" s="403" t="str">
        <f t="array" ref="CU3">XLOOKUP(CW2,Advancements!$I$2:$I164,Advancements!$D$2:$D164)</f>
        <v/>
      </c>
      <c r="CW3" s="404" t="str">
        <f t="array" ref="CW3">iferror(SPARKLINE(XLOOKUP(CW2,Advancements!$I$2:$I164,Advancements!$E$2:$E164)/XLOOKUP(CW2,Advancements!$I$2:$I164,Advancements!$F$2:$F164),{"charttype","bar";"max",100%;"color1","green";"empty","zero"}))</f>
        <v/>
      </c>
      <c r="CX3" s="367"/>
      <c r="CZ3" s="403" t="str">
        <f t="array" ref="CZ3">XLOOKUP(DB2,Advancements!$I$2:$I164,Advancements!$D$2:$D164)</f>
        <v/>
      </c>
      <c r="DB3" s="404" t="str">
        <f t="array" ref="DB3">iferror(SPARKLINE(XLOOKUP(DB2,Advancements!$I$2:$I164,Advancements!$E$2:$E164)/XLOOKUP(DB2,Advancements!$I$2:$I164,Advancements!$F$2:$F164),{"charttype","bar";"max",100%;"color1","green";"empty","zero"}))</f>
        <v/>
      </c>
      <c r="DC3" s="367"/>
    </row>
    <row r="4">
      <c r="A4" s="21"/>
      <c r="B4" s="405" t="s">
        <v>7190</v>
      </c>
      <c r="C4" s="4"/>
      <c r="D4" s="4"/>
      <c r="E4" s="4"/>
      <c r="F4" s="4"/>
      <c r="G4" s="4"/>
      <c r="H4" s="4"/>
      <c r="I4" s="4"/>
      <c r="J4" s="4"/>
      <c r="K4" s="4"/>
      <c r="L4" s="4"/>
      <c r="M4" s="4"/>
      <c r="N4" s="4"/>
      <c r="O4" s="4"/>
      <c r="P4" s="4"/>
      <c r="Q4" s="4"/>
      <c r="R4" s="4"/>
      <c r="S4" s="4"/>
      <c r="T4" s="4"/>
      <c r="U4" s="4"/>
      <c r="V4" s="4"/>
      <c r="W4" s="4"/>
      <c r="X4" s="4"/>
      <c r="Y4" s="4"/>
      <c r="Z4" s="4"/>
      <c r="AA4" s="4"/>
      <c r="AB4" s="4"/>
      <c r="AC4" s="4"/>
      <c r="AD4" s="4"/>
      <c r="AE4" s="4"/>
      <c r="AF4" s="93"/>
      <c r="AH4" s="406" t="s">
        <v>1722</v>
      </c>
      <c r="AJ4" s="54"/>
      <c r="AM4" s="407" t="s">
        <v>4847</v>
      </c>
      <c r="AO4" s="54"/>
      <c r="AP4" s="408"/>
      <c r="AQ4" s="408"/>
      <c r="AR4" s="409" t="s">
        <v>4853</v>
      </c>
      <c r="AT4" s="54"/>
      <c r="AU4" s="408"/>
      <c r="AV4" s="408"/>
      <c r="AW4" s="409" t="s">
        <v>4855</v>
      </c>
      <c r="AY4" s="54"/>
      <c r="AZ4" s="408"/>
      <c r="BA4" s="408"/>
      <c r="BB4" s="409" t="s">
        <v>4849</v>
      </c>
      <c r="BD4" s="54"/>
      <c r="BE4" s="410"/>
      <c r="BF4" s="408"/>
      <c r="BG4" s="409" t="s">
        <v>4851</v>
      </c>
      <c r="BI4" s="54"/>
      <c r="BJ4" s="410"/>
      <c r="BK4" s="408"/>
      <c r="BL4" s="409" t="s">
        <v>4922</v>
      </c>
      <c r="BN4" s="54"/>
      <c r="BO4" s="410"/>
      <c r="BP4" s="408"/>
      <c r="BQ4" s="411" t="s">
        <v>3618</v>
      </c>
      <c r="BS4" s="54"/>
      <c r="BT4" s="410"/>
      <c r="BU4" s="408"/>
      <c r="BV4" s="411" t="s">
        <v>2740</v>
      </c>
      <c r="BX4" s="54"/>
      <c r="BY4" s="410"/>
      <c r="BZ4" s="408"/>
      <c r="CA4" s="411" t="s">
        <v>2680</v>
      </c>
      <c r="CC4" s="54"/>
      <c r="CD4" s="410"/>
      <c r="CE4" s="408"/>
      <c r="CF4" s="412" t="s">
        <v>2018</v>
      </c>
      <c r="CH4" s="54"/>
      <c r="CI4" s="410"/>
      <c r="CJ4" s="408"/>
      <c r="CK4" s="412" t="s">
        <v>1719</v>
      </c>
      <c r="CM4" s="54"/>
      <c r="CN4" s="410"/>
      <c r="CO4" s="408"/>
      <c r="CP4" s="413" t="s">
        <v>2620</v>
      </c>
      <c r="CR4" s="54"/>
      <c r="CS4" s="410"/>
      <c r="CT4" s="408"/>
      <c r="CU4" s="413" t="s">
        <v>2713</v>
      </c>
      <c r="CW4" s="54"/>
      <c r="CX4" s="410"/>
      <c r="CY4" s="408"/>
      <c r="CZ4" s="413" t="s">
        <v>2709</v>
      </c>
      <c r="DB4" s="54"/>
      <c r="DC4" s="414"/>
    </row>
    <row r="5">
      <c r="A5" s="21"/>
      <c r="B5" s="21"/>
      <c r="C5" s="21"/>
      <c r="D5" s="21"/>
      <c r="F5" s="21"/>
      <c r="G5" s="21"/>
      <c r="H5" s="21"/>
      <c r="I5" s="21"/>
      <c r="K5" s="21"/>
      <c r="L5" s="21"/>
      <c r="M5" s="21"/>
      <c r="N5" s="21"/>
      <c r="P5" s="21"/>
      <c r="Q5" s="21"/>
      <c r="R5" s="21"/>
      <c r="S5" s="21"/>
      <c r="U5" s="21"/>
      <c r="V5" s="21"/>
      <c r="W5" s="21"/>
      <c r="X5" s="21"/>
      <c r="Z5" s="21"/>
      <c r="AA5" s="21"/>
      <c r="AB5" s="21"/>
      <c r="AC5" s="21"/>
      <c r="AE5" s="21"/>
      <c r="AF5" s="21"/>
      <c r="AH5" s="109"/>
      <c r="AI5" s="4"/>
      <c r="AJ5" s="93"/>
      <c r="AM5" s="109"/>
      <c r="AN5" s="4"/>
      <c r="AO5" s="93"/>
      <c r="AP5" s="408"/>
      <c r="AQ5" s="408"/>
      <c r="AR5" s="109"/>
      <c r="AS5" s="4"/>
      <c r="AT5" s="93"/>
      <c r="AU5" s="408"/>
      <c r="AV5" s="408"/>
      <c r="AW5" s="109"/>
      <c r="AX5" s="4"/>
      <c r="AY5" s="93"/>
      <c r="AZ5" s="408"/>
      <c r="BA5" s="408"/>
      <c r="BB5" s="109"/>
      <c r="BC5" s="4"/>
      <c r="BD5" s="93"/>
      <c r="BE5" s="410"/>
      <c r="BF5" s="408"/>
      <c r="BG5" s="109"/>
      <c r="BH5" s="4"/>
      <c r="BI5" s="93"/>
      <c r="BJ5" s="410"/>
      <c r="BK5" s="408"/>
      <c r="BL5" s="109"/>
      <c r="BM5" s="4"/>
      <c r="BN5" s="93"/>
      <c r="BO5" s="410"/>
      <c r="BP5" s="408"/>
      <c r="BQ5" s="109"/>
      <c r="BR5" s="4"/>
      <c r="BS5" s="93"/>
      <c r="BT5" s="410"/>
      <c r="BU5" s="408"/>
      <c r="BV5" s="109"/>
      <c r="BW5" s="4"/>
      <c r="BX5" s="93"/>
      <c r="BY5" s="410"/>
      <c r="BZ5" s="408"/>
      <c r="CA5" s="109"/>
      <c r="CB5" s="4"/>
      <c r="CC5" s="93"/>
      <c r="CD5" s="410"/>
      <c r="CE5" s="408"/>
      <c r="CF5" s="109"/>
      <c r="CG5" s="4"/>
      <c r="CH5" s="93"/>
      <c r="CI5" s="410"/>
      <c r="CJ5" s="408"/>
      <c r="CK5" s="109"/>
      <c r="CL5" s="4"/>
      <c r="CM5" s="93"/>
      <c r="CN5" s="410"/>
      <c r="CO5" s="408"/>
      <c r="CP5" s="109"/>
      <c r="CQ5" s="4"/>
      <c r="CR5" s="93"/>
      <c r="CS5" s="410"/>
      <c r="CT5" s="408"/>
      <c r="CU5" s="109"/>
      <c r="CV5" s="4"/>
      <c r="CW5" s="93"/>
      <c r="CX5" s="410"/>
      <c r="CY5" s="408"/>
      <c r="CZ5" s="109"/>
      <c r="DA5" s="4"/>
      <c r="DB5" s="93"/>
      <c r="DC5" s="414"/>
    </row>
    <row r="6">
      <c r="A6" s="21"/>
      <c r="B6" s="415" t="s">
        <v>7191</v>
      </c>
      <c r="C6" s="21"/>
      <c r="D6" s="416" t="b">
        <f>IFALLTRUE(D7:D11)</f>
        <v>0</v>
      </c>
      <c r="E6" s="417"/>
      <c r="F6" s="417" t="str">
        <f>GET_MOB_HEAD(G6)</f>
        <v/>
      </c>
      <c r="G6" s="418" t="s">
        <v>7192</v>
      </c>
      <c r="H6" s="21"/>
      <c r="I6" s="416" t="b">
        <f>IFALLTRUE(I7:I15)</f>
        <v>0</v>
      </c>
      <c r="J6" s="417"/>
      <c r="K6" s="417" t="str">
        <f>GET_MOB_HEAD(L6)</f>
        <v/>
      </c>
      <c r="L6" s="418" t="s">
        <v>7193</v>
      </c>
      <c r="M6" s="21"/>
      <c r="N6" s="416" t="b">
        <f>IFALLTRUE(N7:N15)</f>
        <v>0</v>
      </c>
      <c r="O6" s="417"/>
      <c r="P6" s="417" t="str">
        <f>GET_MOB_HEAD(Q6)</f>
        <v/>
      </c>
      <c r="Q6" s="418" t="s">
        <v>7194</v>
      </c>
      <c r="R6" s="21"/>
      <c r="S6" s="416" t="b">
        <f>IFALLTRUE(S7:S15)</f>
        <v>0</v>
      </c>
      <c r="T6" s="417"/>
      <c r="U6" s="417" t="str">
        <f>GET_MOB_HEAD(V6)</f>
        <v/>
      </c>
      <c r="V6" s="418" t="s">
        <v>7195</v>
      </c>
      <c r="W6" s="21"/>
      <c r="X6" s="416" t="b">
        <f>IFALLTRUE(X7:X15)</f>
        <v>0</v>
      </c>
      <c r="Y6" s="417"/>
      <c r="Z6" s="417" t="str">
        <f>GET_MOB_HEAD(AA6)</f>
        <v/>
      </c>
      <c r="AA6" s="418" t="s">
        <v>7196</v>
      </c>
      <c r="AB6" s="21"/>
      <c r="AC6" s="416" t="b">
        <f>IFALLTRUE(AC7:AC15)</f>
        <v>0</v>
      </c>
      <c r="AD6" s="417"/>
      <c r="AE6" s="417" t="str">
        <f>GET_MOB_HEAD(AF6)</f>
        <v/>
      </c>
      <c r="AF6" s="418" t="s">
        <v>7197</v>
      </c>
      <c r="AH6" s="419" t="str">
        <f t="shared" ref="AH6:AH42" si="1">GET_MOB_HEAD(AJ6)</f>
        <v/>
      </c>
      <c r="AI6" s="420" t="b">
        <v>0</v>
      </c>
      <c r="AJ6" s="421" t="s">
        <v>7198</v>
      </c>
      <c r="AM6" s="422"/>
      <c r="AN6" s="423" t="b">
        <f t="shared" ref="AN6:AN84" si="2">CHECK_MOB(AO$2,AO6)</f>
        <v>0</v>
      </c>
      <c r="AO6" s="424" t="s">
        <v>3086</v>
      </c>
      <c r="AR6" s="425"/>
      <c r="AS6" s="426" t="b">
        <f t="shared" ref="AS6:AS81" si="3">CHECK_MOB(AT$2,AT6)</f>
        <v>0</v>
      </c>
      <c r="AT6" s="427" t="s">
        <v>3086</v>
      </c>
      <c r="AW6" s="425"/>
      <c r="AX6" s="426" t="b">
        <f t="shared" ref="AX6:AX81" si="4">CHECK_MOB(AY$2,AY6)</f>
        <v>0</v>
      </c>
      <c r="AY6" s="427" t="s">
        <v>3086</v>
      </c>
      <c r="BB6" s="425"/>
      <c r="BC6" s="426" t="b">
        <f t="shared" ref="BC6:BC82" si="5">CHECK_MOB(BD$2,BD6)</f>
        <v>0</v>
      </c>
      <c r="BD6" s="427" t="s">
        <v>3086</v>
      </c>
      <c r="BE6" s="428"/>
      <c r="BG6" s="425"/>
      <c r="BH6" s="426" t="b">
        <f t="shared" ref="BH6:BH83" si="6">CHECK_MOB(BI$2,BI6)</f>
        <v>0</v>
      </c>
      <c r="BI6" s="427" t="s">
        <v>3086</v>
      </c>
      <c r="BJ6" s="428"/>
      <c r="BK6" s="428"/>
      <c r="BL6" s="425"/>
      <c r="BM6" s="426" t="b">
        <f t="shared" ref="BM6:BM52" si="7">CHECK_MOB(BN$2,BN6)</f>
        <v>0</v>
      </c>
      <c r="BN6" s="427" t="s">
        <v>7199</v>
      </c>
      <c r="BO6" s="428"/>
      <c r="BQ6" s="429"/>
      <c r="BR6" s="430" t="b">
        <f t="shared" ref="BR6:BR40" si="8">CHECK_MOB(BS$2,BS6)</f>
        <v>0</v>
      </c>
      <c r="BS6" s="431" t="s">
        <v>7200</v>
      </c>
      <c r="BT6" s="428"/>
      <c r="BV6" s="429"/>
      <c r="BW6" s="430" t="b">
        <f t="shared" ref="BW6:BW39" si="9">CHECK_MOB(BX$2,BX6)</f>
        <v>0</v>
      </c>
      <c r="BX6" s="431" t="s">
        <v>7200</v>
      </c>
      <c r="BY6" s="428"/>
      <c r="CA6" s="429"/>
      <c r="CB6" s="430" t="b">
        <f t="shared" ref="CB6:CB37" si="10">CHECK_MOB(CC$2,CC6)</f>
        <v>0</v>
      </c>
      <c r="CC6" s="431" t="s">
        <v>7200</v>
      </c>
      <c r="CD6" s="428"/>
      <c r="CE6" s="428"/>
      <c r="CF6" s="432"/>
      <c r="CG6" s="433" t="b">
        <f t="shared" ref="CG6:CG39" si="11">CHECK_MOB(CH$2,CH6)</f>
        <v>0</v>
      </c>
      <c r="CH6" s="434" t="s">
        <v>3086</v>
      </c>
      <c r="CI6" s="428"/>
      <c r="CJ6" s="428"/>
      <c r="CK6" s="432"/>
      <c r="CL6" s="433" t="b">
        <f t="shared" ref="CL6:CL31" si="12">CHECK_MOB(CM$2,CM6)</f>
        <v>0</v>
      </c>
      <c r="CM6" s="434" t="s">
        <v>7198</v>
      </c>
      <c r="CN6" s="428"/>
      <c r="CO6" s="428"/>
      <c r="CP6" s="435"/>
      <c r="CQ6" s="436" t="b">
        <f t="shared" ref="CQ6:CQ33" si="13">CHECK_MOB(CR$2,CR6)</f>
        <v>0</v>
      </c>
      <c r="CR6" s="437" t="s">
        <v>7198</v>
      </c>
      <c r="CS6" s="428"/>
      <c r="CT6" s="428"/>
      <c r="CU6" s="435"/>
      <c r="CV6" s="438" t="b">
        <f t="shared" ref="CV6:CV16" si="14">CHECK_MOB(CW$2,CW6)</f>
        <v>0</v>
      </c>
      <c r="CW6" s="437" t="s">
        <v>7200</v>
      </c>
      <c r="CX6" s="428"/>
      <c r="CY6" s="428"/>
      <c r="CZ6" s="435"/>
      <c r="DA6" s="438" t="b">
        <f t="shared" ref="DA6:DA18" si="15">CHECK_MOB(DB$2,DB6)</f>
        <v>0</v>
      </c>
      <c r="DB6" s="437" t="s">
        <v>7201</v>
      </c>
      <c r="DC6" s="428"/>
    </row>
    <row r="7">
      <c r="A7" s="21"/>
      <c r="B7" s="439"/>
      <c r="C7" s="21"/>
      <c r="D7" s="440" t="b">
        <f t="shared" ref="D7:D11" si="16">CHECK_MOB(G7,G$6)</f>
        <v>0</v>
      </c>
      <c r="E7" s="441" t="str">
        <f t="array" ref="E7">XLOOKUP(G7,Advancements!$I$2:$I164,Advancements!$C$2:$C164)</f>
        <v/>
      </c>
      <c r="F7" s="441" t="str">
        <f t="array" ref="F7">XLOOKUP(G7,Advancements!$I$2:$I164,Advancements!$H$2:$H164)</f>
        <v/>
      </c>
      <c r="G7" s="442" t="s">
        <v>63</v>
      </c>
      <c r="H7" s="21"/>
      <c r="I7" s="440" t="b">
        <f t="shared" ref="I7:I15" si="17">CHECK_MOB(L7,L$6)</f>
        <v>0</v>
      </c>
      <c r="J7" s="441" t="str">
        <f t="array" ref="J7">XLOOKUP(L7,Advancements!$I$2:$I164,Advancements!$C$2:$C164)</f>
        <v/>
      </c>
      <c r="K7" s="441" t="str">
        <f t="array" ref="K7">XLOOKUP(L7,Advancements!$I$2:$I164,Advancements!$H$2:$H164)</f>
        <v/>
      </c>
      <c r="L7" s="442" t="s">
        <v>63</v>
      </c>
      <c r="M7" s="21"/>
      <c r="N7" s="440" t="b">
        <f t="shared" ref="N7:N15" si="18">CHECK_MOB(Q7,Q$6)</f>
        <v>0</v>
      </c>
      <c r="O7" s="441" t="str">
        <f t="array" ref="O7">XLOOKUP(Q7,Advancements!$I$2:$I164,Advancements!$C$2:$C164)</f>
        <v/>
      </c>
      <c r="P7" s="441" t="str">
        <f t="array" ref="P7">XLOOKUP(Q7,Advancements!$I$2:$I164,Advancements!$H$2:$H164)</f>
        <v/>
      </c>
      <c r="Q7" s="442" t="s">
        <v>63</v>
      </c>
      <c r="R7" s="21"/>
      <c r="S7" s="440" t="b">
        <f t="shared" ref="S7:S11" si="19">CHECK_MOB(V7,V$6)</f>
        <v>0</v>
      </c>
      <c r="T7" s="441" t="str">
        <f t="array" ref="T7">XLOOKUP(V7,Advancements!$I$2:$I164,Advancements!$C$2:$C164)</f>
        <v/>
      </c>
      <c r="U7" s="441" t="str">
        <f t="array" ref="U7">XLOOKUP(V7,Advancements!$I$2:$I164,Advancements!$H$2:$H164)</f>
        <v/>
      </c>
      <c r="V7" s="442" t="s">
        <v>63</v>
      </c>
      <c r="W7" s="21"/>
      <c r="X7" s="440" t="b">
        <f t="shared" ref="X7:X15" si="20">CHECK_MOB(AA7,AA$6)</f>
        <v>0</v>
      </c>
      <c r="Y7" s="441" t="str">
        <f t="array" ref="Y7">XLOOKUP(AA7,Advancements!$I$2:$I164,Advancements!$C$2:$C164)</f>
        <v/>
      </c>
      <c r="Z7" s="441" t="str">
        <f t="array" ref="Z7">XLOOKUP(AA7,Advancements!$I$2:$I164,Advancements!$H$2:$H164)</f>
        <v/>
      </c>
      <c r="AA7" s="442" t="s">
        <v>63</v>
      </c>
      <c r="AB7" s="21"/>
      <c r="AC7" s="440" t="b">
        <f t="shared" ref="AC7:AC14" si="21">CHECK_MOB(AF7,AF$6)</f>
        <v>0</v>
      </c>
      <c r="AD7" s="441" t="str">
        <f t="array" ref="AD7">XLOOKUP(AF7,Advancements!$I$2:$I164,Advancements!$C$2:$C164)</f>
        <v/>
      </c>
      <c r="AE7" s="441" t="str">
        <f t="array" ref="AE7">XLOOKUP(AF7,Advancements!$I$2:$I164,Advancements!$H$2:$H164)</f>
        <v/>
      </c>
      <c r="AF7" s="442" t="s">
        <v>63</v>
      </c>
      <c r="AH7" s="443" t="str">
        <f t="shared" si="1"/>
        <v/>
      </c>
      <c r="AI7" s="420" t="b">
        <v>0</v>
      </c>
      <c r="AJ7" s="444" t="s">
        <v>7201</v>
      </c>
      <c r="AM7" s="445"/>
      <c r="AN7" s="423" t="b">
        <f t="shared" si="2"/>
        <v>0</v>
      </c>
      <c r="AO7" s="446" t="s">
        <v>7198</v>
      </c>
      <c r="AR7" s="447"/>
      <c r="AS7" s="423" t="b">
        <f t="shared" si="3"/>
        <v>0</v>
      </c>
      <c r="AT7" s="448" t="s">
        <v>7198</v>
      </c>
      <c r="AW7" s="447"/>
      <c r="AX7" s="423" t="b">
        <f t="shared" si="4"/>
        <v>0</v>
      </c>
      <c r="AY7" s="448" t="s">
        <v>7198</v>
      </c>
      <c r="BB7" s="447"/>
      <c r="BC7" s="423" t="b">
        <f t="shared" si="5"/>
        <v>0</v>
      </c>
      <c r="BD7" s="448" t="s">
        <v>7198</v>
      </c>
      <c r="BE7" s="449"/>
      <c r="BG7" s="447"/>
      <c r="BH7" s="423" t="b">
        <f t="shared" si="6"/>
        <v>0</v>
      </c>
      <c r="BI7" s="448" t="s">
        <v>7198</v>
      </c>
      <c r="BJ7" s="449"/>
      <c r="BK7" s="449"/>
      <c r="BL7" s="447"/>
      <c r="BM7" s="423" t="b">
        <f t="shared" si="7"/>
        <v>0</v>
      </c>
      <c r="BN7" s="448" t="s">
        <v>7200</v>
      </c>
      <c r="BO7" s="449"/>
      <c r="BQ7" s="450"/>
      <c r="BR7" s="420" t="b">
        <f t="shared" si="8"/>
        <v>0</v>
      </c>
      <c r="BS7" s="451" t="s">
        <v>7202</v>
      </c>
      <c r="BT7" s="449"/>
      <c r="BV7" s="450"/>
      <c r="BW7" s="420" t="b">
        <f t="shared" si="9"/>
        <v>0</v>
      </c>
      <c r="BX7" s="451" t="s">
        <v>7202</v>
      </c>
      <c r="BY7" s="449"/>
      <c r="CA7" s="450"/>
      <c r="CB7" s="420" t="b">
        <f t="shared" si="10"/>
        <v>0</v>
      </c>
      <c r="CC7" s="451" t="s">
        <v>7202</v>
      </c>
      <c r="CD7" s="449"/>
      <c r="CE7" s="449"/>
      <c r="CF7" s="452"/>
      <c r="CG7" s="453" t="b">
        <f t="shared" si="11"/>
        <v>0</v>
      </c>
      <c r="CH7" s="454" t="s">
        <v>7198</v>
      </c>
      <c r="CI7" s="449"/>
      <c r="CJ7" s="449"/>
      <c r="CK7" s="452"/>
      <c r="CL7" s="453" t="b">
        <f t="shared" si="12"/>
        <v>0</v>
      </c>
      <c r="CM7" s="454" t="s">
        <v>7201</v>
      </c>
      <c r="CN7" s="449"/>
      <c r="CO7" s="449"/>
      <c r="CP7" s="455"/>
      <c r="CQ7" s="456" t="b">
        <f t="shared" si="13"/>
        <v>0</v>
      </c>
      <c r="CR7" s="457" t="s">
        <v>7203</v>
      </c>
      <c r="CS7" s="449"/>
      <c r="CT7" s="449"/>
      <c r="CU7" s="455"/>
      <c r="CV7" s="458" t="b">
        <f t="shared" si="14"/>
        <v>0</v>
      </c>
      <c r="CW7" s="457" t="s">
        <v>7204</v>
      </c>
      <c r="CX7" s="449"/>
      <c r="CY7" s="449"/>
      <c r="CZ7" s="455"/>
      <c r="DA7" s="458" t="b">
        <f t="shared" si="15"/>
        <v>0</v>
      </c>
      <c r="DB7" s="459" t="s">
        <v>7205</v>
      </c>
      <c r="DC7" s="449"/>
    </row>
    <row r="8">
      <c r="A8" s="21"/>
      <c r="B8" s="439"/>
      <c r="C8" s="21"/>
      <c r="D8" s="460" t="b">
        <f t="shared" si="16"/>
        <v>0</v>
      </c>
      <c r="E8" s="461" t="str">
        <f t="array" ref="E8">XLOOKUP(G8,Advancements!$I$2:$I164,Advancements!$C$2:$C164)</f>
        <v/>
      </c>
      <c r="F8" s="461" t="str">
        <f t="array" ref="F8">XLOOKUP(G8,Advancements!$I$2:$I164,Advancements!$H$2:$H164)</f>
        <v/>
      </c>
      <c r="G8" s="462" t="s">
        <v>59</v>
      </c>
      <c r="H8" s="21"/>
      <c r="I8" s="460" t="b">
        <f t="shared" si="17"/>
        <v>0</v>
      </c>
      <c r="J8" s="461" t="str">
        <f t="array" ref="J8">XLOOKUP(L8,Advancements!$I$2:$I164,Advancements!$C$2:$C164)</f>
        <v/>
      </c>
      <c r="K8" s="461" t="str">
        <f t="array" ref="K8">XLOOKUP(L8,Advancements!$I$2:$I164,Advancements!$H$2:$H164)</f>
        <v/>
      </c>
      <c r="L8" s="462" t="s">
        <v>2618</v>
      </c>
      <c r="M8" s="21"/>
      <c r="N8" s="460" t="b">
        <f t="shared" si="18"/>
        <v>0</v>
      </c>
      <c r="O8" s="461" t="str">
        <f t="array" ref="O8">XLOOKUP(Q8,Advancements!$I$2:$I164,Advancements!$C$2:$C164)</f>
        <v/>
      </c>
      <c r="P8" s="461" t="str">
        <f t="array" ref="P8">XLOOKUP(Q8,Advancements!$I$2:$I164,Advancements!$H$2:$H164)</f>
        <v/>
      </c>
      <c r="Q8" s="462" t="s">
        <v>2618</v>
      </c>
      <c r="R8" s="21"/>
      <c r="S8" s="460" t="b">
        <f t="shared" si="19"/>
        <v>0</v>
      </c>
      <c r="T8" s="461" t="str">
        <f t="array" ref="T8">XLOOKUP(V8,Advancements!$I$2:$I164,Advancements!$C$2:$C164)</f>
        <v/>
      </c>
      <c r="U8" s="461" t="str">
        <f t="array" ref="U8">XLOOKUP(V8,Advancements!$I$2:$I164,Advancements!$H$2:$H164)</f>
        <v/>
      </c>
      <c r="V8" s="462" t="s">
        <v>59</v>
      </c>
      <c r="W8" s="21"/>
      <c r="X8" s="460" t="b">
        <f t="shared" si="20"/>
        <v>0</v>
      </c>
      <c r="Y8" s="461" t="str">
        <f t="array" ref="Y8">XLOOKUP(AA8,Advancements!$I$2:$I164,Advancements!$C$2:$C164)</f>
        <v/>
      </c>
      <c r="Z8" s="461" t="str">
        <f t="array" ref="Z8">XLOOKUP(AA8,Advancements!$I$2:$I164,Advancements!$H$2:$H164)</f>
        <v/>
      </c>
      <c r="AA8" s="462" t="s">
        <v>2618</v>
      </c>
      <c r="AB8" s="21"/>
      <c r="AC8" s="460" t="b">
        <f t="shared" si="21"/>
        <v>0</v>
      </c>
      <c r="AD8" s="461" t="str">
        <f t="array" ref="AD8">XLOOKUP(AF8,Advancements!$I$2:$I164,Advancements!$C$2:$C164)</f>
        <v/>
      </c>
      <c r="AE8" s="461" t="str">
        <f t="array" ref="AE8">XLOOKUP(AF8,Advancements!$I$2:$I164,Advancements!$H$2:$H164)</f>
        <v/>
      </c>
      <c r="AF8" s="462" t="s">
        <v>2618</v>
      </c>
      <c r="AH8" s="443" t="str">
        <f t="shared" si="1"/>
        <v/>
      </c>
      <c r="AI8" s="420" t="b">
        <v>0</v>
      </c>
      <c r="AJ8" s="444" t="s">
        <v>7203</v>
      </c>
      <c r="AM8" s="445"/>
      <c r="AN8" s="423" t="b">
        <f t="shared" si="2"/>
        <v>0</v>
      </c>
      <c r="AO8" s="446" t="s">
        <v>7201</v>
      </c>
      <c r="AR8" s="447"/>
      <c r="AS8" s="423" t="b">
        <f t="shared" si="3"/>
        <v>0</v>
      </c>
      <c r="AT8" s="448" t="s">
        <v>7201</v>
      </c>
      <c r="AW8" s="447"/>
      <c r="AX8" s="423" t="b">
        <f t="shared" si="4"/>
        <v>0</v>
      </c>
      <c r="AY8" s="448" t="s">
        <v>7201</v>
      </c>
      <c r="BB8" s="447"/>
      <c r="BC8" s="423" t="b">
        <f t="shared" si="5"/>
        <v>0</v>
      </c>
      <c r="BD8" s="448" t="s">
        <v>7201</v>
      </c>
      <c r="BG8" s="447"/>
      <c r="BH8" s="423" t="b">
        <f t="shared" si="6"/>
        <v>0</v>
      </c>
      <c r="BI8" s="448" t="s">
        <v>7201</v>
      </c>
      <c r="BL8" s="447"/>
      <c r="BM8" s="423" t="b">
        <f t="shared" si="7"/>
        <v>0</v>
      </c>
      <c r="BN8" s="448" t="s">
        <v>7202</v>
      </c>
      <c r="BQ8" s="450"/>
      <c r="BR8" s="420" t="b">
        <f t="shared" si="8"/>
        <v>0</v>
      </c>
      <c r="BS8" s="451" t="s">
        <v>7206</v>
      </c>
      <c r="BV8" s="450"/>
      <c r="BW8" s="420" t="b">
        <f t="shared" si="9"/>
        <v>0</v>
      </c>
      <c r="BX8" s="451" t="s">
        <v>7206</v>
      </c>
      <c r="CA8" s="450"/>
      <c r="CB8" s="420" t="b">
        <f t="shared" si="10"/>
        <v>0</v>
      </c>
      <c r="CC8" s="451" t="s">
        <v>7206</v>
      </c>
      <c r="CF8" s="452"/>
      <c r="CG8" s="453" t="b">
        <f t="shared" si="11"/>
        <v>0</v>
      </c>
      <c r="CH8" s="454" t="s">
        <v>7201</v>
      </c>
      <c r="CK8" s="452"/>
      <c r="CL8" s="453" t="b">
        <f t="shared" si="12"/>
        <v>0</v>
      </c>
      <c r="CM8" s="454" t="s">
        <v>7199</v>
      </c>
      <c r="CP8" s="455"/>
      <c r="CQ8" s="456" t="b">
        <f t="shared" si="13"/>
        <v>0</v>
      </c>
      <c r="CR8" s="457" t="s">
        <v>7199</v>
      </c>
      <c r="CU8" s="455"/>
      <c r="CV8" s="458" t="b">
        <f t="shared" si="14"/>
        <v>0</v>
      </c>
      <c r="CW8" s="457" t="s">
        <v>7207</v>
      </c>
      <c r="CZ8" s="455"/>
      <c r="DA8" s="458" t="b">
        <f t="shared" si="15"/>
        <v>0</v>
      </c>
      <c r="DB8" s="457" t="s">
        <v>7208</v>
      </c>
    </row>
    <row r="9">
      <c r="A9" s="21"/>
      <c r="B9" s="439"/>
      <c r="C9" s="21"/>
      <c r="D9" s="460" t="b">
        <f t="shared" si="16"/>
        <v>0</v>
      </c>
      <c r="E9" s="461" t="str">
        <f t="array" ref="E9">XLOOKUP(G9,Advancements!$I$2:$I164,Advancements!$C$2:$C164)</f>
        <v/>
      </c>
      <c r="F9" s="461" t="str">
        <f t="array" ref="F9">XLOOKUP(G9,Advancements!$I$2:$I164,Advancements!$H$2:$H164)</f>
        <v/>
      </c>
      <c r="G9" s="462" t="s">
        <v>55</v>
      </c>
      <c r="H9" s="21"/>
      <c r="I9" s="460" t="b">
        <f t="shared" si="17"/>
        <v>0</v>
      </c>
      <c r="J9" s="461" t="str">
        <f t="array" ref="J9">XLOOKUP(L9,Advancements!$I$2:$I164,Advancements!$C$2:$C164)</f>
        <v/>
      </c>
      <c r="K9" s="461" t="str">
        <f t="array" ref="K9">XLOOKUP(L9,Advancements!$I$2:$I164,Advancements!$H$2:$H164)</f>
        <v/>
      </c>
      <c r="L9" s="462" t="s">
        <v>59</v>
      </c>
      <c r="M9" s="21"/>
      <c r="N9" s="460" t="b">
        <f t="shared" si="18"/>
        <v>0</v>
      </c>
      <c r="O9" s="461" t="str">
        <f t="array" ref="O9">XLOOKUP(Q9,Advancements!$I$2:$I164,Advancements!$C$2:$C164)</f>
        <v/>
      </c>
      <c r="P9" s="461" t="str">
        <f t="array" ref="P9">XLOOKUP(Q9,Advancements!$I$2:$I164,Advancements!$H$2:$H164)</f>
        <v/>
      </c>
      <c r="Q9" s="462" t="s">
        <v>59</v>
      </c>
      <c r="R9" s="21"/>
      <c r="S9" s="460" t="b">
        <f t="shared" si="19"/>
        <v>0</v>
      </c>
      <c r="T9" s="461" t="str">
        <f t="array" ref="T9">XLOOKUP(V9,Advancements!$I$2:$I164,Advancements!$C$2:$C164)</f>
        <v/>
      </c>
      <c r="U9" s="461" t="str">
        <f t="array" ref="U9">XLOOKUP(V9,Advancements!$I$2:$I164,Advancements!$H$2:$H164)</f>
        <v/>
      </c>
      <c r="V9" s="462" t="s">
        <v>55</v>
      </c>
      <c r="W9" s="21"/>
      <c r="X9" s="460" t="b">
        <f t="shared" si="20"/>
        <v>0</v>
      </c>
      <c r="Y9" s="461" t="str">
        <f t="array" ref="Y9">XLOOKUP(AA9,Advancements!$I$2:$I164,Advancements!$C$2:$C164)</f>
        <v/>
      </c>
      <c r="Z9" s="461" t="str">
        <f t="array" ref="Z9">XLOOKUP(AA9,Advancements!$I$2:$I164,Advancements!$H$2:$H164)</f>
        <v/>
      </c>
      <c r="AA9" s="462" t="s">
        <v>59</v>
      </c>
      <c r="AB9" s="21"/>
      <c r="AC9" s="460" t="b">
        <f t="shared" si="21"/>
        <v>0</v>
      </c>
      <c r="AD9" s="461" t="str">
        <f t="array" ref="AD9">XLOOKUP(AF9,Advancements!$I$2:$I164,Advancements!$C$2:$C164)</f>
        <v/>
      </c>
      <c r="AE9" s="461" t="str">
        <f t="array" ref="AE9">XLOOKUP(AF9,Advancements!$I$2:$I164,Advancements!$H$2:$H164)</f>
        <v/>
      </c>
      <c r="AF9" s="462" t="s">
        <v>59</v>
      </c>
      <c r="AH9" s="443" t="str">
        <f t="shared" si="1"/>
        <v/>
      </c>
      <c r="AI9" s="420" t="b">
        <v>0</v>
      </c>
      <c r="AJ9" s="444" t="s">
        <v>7199</v>
      </c>
      <c r="AM9" s="445"/>
      <c r="AN9" s="423" t="b">
        <f t="shared" si="2"/>
        <v>0</v>
      </c>
      <c r="AO9" s="446" t="s">
        <v>7203</v>
      </c>
      <c r="AR9" s="447"/>
      <c r="AS9" s="423" t="b">
        <f t="shared" si="3"/>
        <v>0</v>
      </c>
      <c r="AT9" s="448" t="s">
        <v>7203</v>
      </c>
      <c r="AW9" s="447"/>
      <c r="AX9" s="423" t="b">
        <f t="shared" si="4"/>
        <v>0</v>
      </c>
      <c r="AY9" s="448" t="s">
        <v>7203</v>
      </c>
      <c r="BB9" s="447"/>
      <c r="BC9" s="423" t="b">
        <f t="shared" si="5"/>
        <v>0</v>
      </c>
      <c r="BD9" s="448" t="s">
        <v>7203</v>
      </c>
      <c r="BG9" s="447"/>
      <c r="BH9" s="423" t="b">
        <f t="shared" si="6"/>
        <v>0</v>
      </c>
      <c r="BI9" s="448" t="s">
        <v>7203</v>
      </c>
      <c r="BL9" s="447"/>
      <c r="BM9" s="423" t="b">
        <f t="shared" si="7"/>
        <v>0</v>
      </c>
      <c r="BN9" s="448" t="s">
        <v>7206</v>
      </c>
      <c r="BQ9" s="450"/>
      <c r="BR9" s="420" t="b">
        <f t="shared" si="8"/>
        <v>0</v>
      </c>
      <c r="BS9" s="451" t="s">
        <v>7209</v>
      </c>
      <c r="BV9" s="450"/>
      <c r="BW9" s="420" t="b">
        <f t="shared" si="9"/>
        <v>0</v>
      </c>
      <c r="BX9" s="451" t="s">
        <v>7209</v>
      </c>
      <c r="CA9" s="450"/>
      <c r="CB9" s="420" t="b">
        <f t="shared" si="10"/>
        <v>0</v>
      </c>
      <c r="CC9" s="451" t="s">
        <v>7209</v>
      </c>
      <c r="CF9" s="452"/>
      <c r="CG9" s="453" t="b">
        <f t="shared" si="11"/>
        <v>0</v>
      </c>
      <c r="CH9" s="454" t="s">
        <v>7199</v>
      </c>
      <c r="CK9" s="452"/>
      <c r="CL9" s="453" t="b">
        <f t="shared" si="12"/>
        <v>0</v>
      </c>
      <c r="CM9" s="454" t="s">
        <v>7210</v>
      </c>
      <c r="CP9" s="455"/>
      <c r="CQ9" s="456" t="b">
        <f t="shared" si="13"/>
        <v>0</v>
      </c>
      <c r="CR9" s="457" t="s">
        <v>7210</v>
      </c>
      <c r="CU9" s="455"/>
      <c r="CV9" s="458" t="b">
        <f t="shared" si="14"/>
        <v>0</v>
      </c>
      <c r="CW9" s="457" t="s">
        <v>7211</v>
      </c>
      <c r="CZ9" s="455"/>
      <c r="DA9" s="458" t="b">
        <f t="shared" si="15"/>
        <v>0</v>
      </c>
      <c r="DB9" s="457" t="s">
        <v>7212</v>
      </c>
    </row>
    <row r="10">
      <c r="A10" s="21"/>
      <c r="B10" s="439"/>
      <c r="C10" s="21"/>
      <c r="D10" s="460" t="b">
        <f t="shared" si="16"/>
        <v>0</v>
      </c>
      <c r="E10" s="461" t="str">
        <f t="array" ref="E10">XLOOKUP(G10,Advancements!$I$2:$I164,Advancements!$C$2:$C164)</f>
        <v/>
      </c>
      <c r="F10" s="461" t="str">
        <f t="array" ref="F10">XLOOKUP(G10,Advancements!$I$2:$I164,Advancements!$H$2:$H164)</f>
        <v/>
      </c>
      <c r="G10" s="462" t="s">
        <v>67</v>
      </c>
      <c r="H10" s="21"/>
      <c r="I10" s="460" t="b">
        <f t="shared" si="17"/>
        <v>0</v>
      </c>
      <c r="J10" s="461" t="str">
        <f t="array" ref="J10">XLOOKUP(L10,Advancements!$I$2:$I164,Advancements!$C$2:$C164)</f>
        <v/>
      </c>
      <c r="K10" s="461" t="str">
        <f t="array" ref="K10">XLOOKUP(L10,Advancements!$I$2:$I164,Advancements!$H$2:$H164)</f>
        <v/>
      </c>
      <c r="L10" s="462" t="s">
        <v>1718</v>
      </c>
      <c r="M10" s="21"/>
      <c r="N10" s="460" t="b">
        <f t="shared" si="18"/>
        <v>0</v>
      </c>
      <c r="O10" s="461" t="str">
        <f t="array" ref="O10">XLOOKUP(Q10,Advancements!$I$2:$I164,Advancements!$C$2:$C164)</f>
        <v/>
      </c>
      <c r="P10" s="461" t="str">
        <f t="array" ref="P10">XLOOKUP(Q10,Advancements!$I$2:$I164,Advancements!$H$2:$H164)</f>
        <v/>
      </c>
      <c r="Q10" s="462" t="s">
        <v>1718</v>
      </c>
      <c r="R10" s="21"/>
      <c r="S10" s="460" t="b">
        <f t="shared" si="19"/>
        <v>0</v>
      </c>
      <c r="T10" s="461" t="str">
        <f t="array" ref="T10">XLOOKUP(V10,Advancements!$I$2:$I164,Advancements!$C$2:$C164)</f>
        <v/>
      </c>
      <c r="U10" s="461" t="str">
        <f t="array" ref="U10">XLOOKUP(V10,Advancements!$I$2:$I164,Advancements!$H$2:$H164)</f>
        <v/>
      </c>
      <c r="V10" s="462" t="s">
        <v>67</v>
      </c>
      <c r="W10" s="21"/>
      <c r="X10" s="460" t="b">
        <f t="shared" si="20"/>
        <v>0</v>
      </c>
      <c r="Y10" s="461" t="str">
        <f t="array" ref="Y10">XLOOKUP(AA10,Advancements!$I$2:$I164,Advancements!$C$2:$C164)</f>
        <v/>
      </c>
      <c r="Z10" s="461" t="str">
        <f t="array" ref="Z10">XLOOKUP(AA10,Advancements!$I$2:$I164,Advancements!$H$2:$H164)</f>
        <v/>
      </c>
      <c r="AA10" s="462" t="s">
        <v>1718</v>
      </c>
      <c r="AB10" s="21"/>
      <c r="AC10" s="460" t="b">
        <f t="shared" si="21"/>
        <v>0</v>
      </c>
      <c r="AD10" s="461" t="str">
        <f t="array" ref="AD10">XLOOKUP(AF10,Advancements!$I$2:$I164,Advancements!$C$2:$C164)</f>
        <v/>
      </c>
      <c r="AE10" s="461" t="str">
        <f t="array" ref="AE10">XLOOKUP(AF10,Advancements!$I$2:$I164,Advancements!$H$2:$H164)</f>
        <v/>
      </c>
      <c r="AF10" s="462" t="s">
        <v>1718</v>
      </c>
      <c r="AH10" s="443" t="str">
        <f t="shared" si="1"/>
        <v/>
      </c>
      <c r="AI10" s="420" t="b">
        <v>0</v>
      </c>
      <c r="AJ10" s="444" t="s">
        <v>7210</v>
      </c>
      <c r="AM10" s="445"/>
      <c r="AN10" s="423" t="b">
        <f t="shared" si="2"/>
        <v>0</v>
      </c>
      <c r="AO10" s="446" t="s">
        <v>7199</v>
      </c>
      <c r="AR10" s="447"/>
      <c r="AS10" s="423" t="b">
        <f t="shared" si="3"/>
        <v>0</v>
      </c>
      <c r="AT10" s="448" t="s">
        <v>7199</v>
      </c>
      <c r="AW10" s="447"/>
      <c r="AX10" s="423" t="b">
        <f t="shared" si="4"/>
        <v>0</v>
      </c>
      <c r="AY10" s="448" t="s">
        <v>7199</v>
      </c>
      <c r="BB10" s="447"/>
      <c r="BC10" s="423" t="b">
        <f t="shared" si="5"/>
        <v>0</v>
      </c>
      <c r="BD10" s="448" t="s">
        <v>7199</v>
      </c>
      <c r="BG10" s="447"/>
      <c r="BH10" s="423" t="b">
        <f t="shared" si="6"/>
        <v>0</v>
      </c>
      <c r="BI10" s="448" t="s">
        <v>7199</v>
      </c>
      <c r="BL10" s="447"/>
      <c r="BM10" s="423" t="b">
        <f t="shared" si="7"/>
        <v>0</v>
      </c>
      <c r="BN10" s="448" t="s">
        <v>7209</v>
      </c>
      <c r="BQ10" s="450"/>
      <c r="BR10" s="420" t="b">
        <f t="shared" si="8"/>
        <v>0</v>
      </c>
      <c r="BS10" s="451" t="s">
        <v>7213</v>
      </c>
      <c r="BV10" s="450"/>
      <c r="BW10" s="420" t="b">
        <f t="shared" si="9"/>
        <v>0</v>
      </c>
      <c r="BX10" s="451" t="s">
        <v>7213</v>
      </c>
      <c r="CA10" s="450"/>
      <c r="CB10" s="420" t="b">
        <f t="shared" si="10"/>
        <v>0</v>
      </c>
      <c r="CC10" s="451" t="s">
        <v>7213</v>
      </c>
      <c r="CF10" s="452"/>
      <c r="CG10" s="453" t="b">
        <f t="shared" si="11"/>
        <v>0</v>
      </c>
      <c r="CH10" s="454" t="s">
        <v>7210</v>
      </c>
      <c r="CK10" s="452"/>
      <c r="CL10" s="453" t="b">
        <f t="shared" si="12"/>
        <v>0</v>
      </c>
      <c r="CM10" s="454" t="s">
        <v>7214</v>
      </c>
      <c r="CP10" s="455"/>
      <c r="CQ10" s="456" t="b">
        <f t="shared" si="13"/>
        <v>0</v>
      </c>
      <c r="CR10" s="457" t="s">
        <v>7214</v>
      </c>
      <c r="CU10" s="455"/>
      <c r="CV10" s="458" t="b">
        <f t="shared" si="14"/>
        <v>0</v>
      </c>
      <c r="CW10" s="457" t="s">
        <v>7215</v>
      </c>
      <c r="CZ10" s="455"/>
      <c r="DA10" s="458" t="b">
        <f t="shared" si="15"/>
        <v>0</v>
      </c>
      <c r="DB10" s="457" t="s">
        <v>7216</v>
      </c>
    </row>
    <row r="11">
      <c r="A11" s="21"/>
      <c r="B11" s="439"/>
      <c r="C11" s="21"/>
      <c r="D11" s="463" t="b">
        <f t="shared" si="16"/>
        <v>0</v>
      </c>
      <c r="E11" s="464" t="str">
        <f t="array" ref="E11">XLOOKUP(G11,Advancements!$I$2:$I164,Advancements!$C$2:$C164)</f>
        <v/>
      </c>
      <c r="F11" s="464" t="str">
        <f t="array" ref="F11">XLOOKUP(G11,Advancements!$I$2:$I164,Advancements!$H$2:$H164)</f>
        <v/>
      </c>
      <c r="G11" s="465" t="s">
        <v>4846</v>
      </c>
      <c r="H11" s="21"/>
      <c r="I11" s="460" t="b">
        <f t="shared" si="17"/>
        <v>0</v>
      </c>
      <c r="J11" s="461" t="str">
        <f t="array" ref="J11">XLOOKUP(L11,Advancements!$I$2:$I164,Advancements!$C$2:$C164)</f>
        <v/>
      </c>
      <c r="K11" s="461" t="str">
        <f t="array" ref="K11">XLOOKUP(L11,Advancements!$I$2:$I164,Advancements!$H$2:$H164)</f>
        <v/>
      </c>
      <c r="L11" s="462" t="s">
        <v>2016</v>
      </c>
      <c r="M11" s="21"/>
      <c r="N11" s="460" t="b">
        <f t="shared" si="18"/>
        <v>0</v>
      </c>
      <c r="O11" s="461" t="str">
        <f t="array" ref="O11">XLOOKUP(Q11,Advancements!$I$2:$I164,Advancements!$C$2:$C164)</f>
        <v/>
      </c>
      <c r="P11" s="461" t="str">
        <f t="array" ref="P11">XLOOKUP(Q11,Advancements!$I$2:$I164,Advancements!$H$2:$H164)</f>
        <v/>
      </c>
      <c r="Q11" s="462" t="s">
        <v>2016</v>
      </c>
      <c r="R11" s="21"/>
      <c r="S11" s="463" t="b">
        <f t="shared" si="19"/>
        <v>0</v>
      </c>
      <c r="T11" s="464" t="str">
        <f t="array" ref="T11">XLOOKUP(V11,Advancements!$I$2:$I164,Advancements!$C$2:$C164)</f>
        <v/>
      </c>
      <c r="U11" s="464" t="str">
        <f t="array" ref="U11">XLOOKUP(V11,Advancements!$I$2:$I164,Advancements!$H$2:$H164)</f>
        <v/>
      </c>
      <c r="V11" s="465" t="s">
        <v>4846</v>
      </c>
      <c r="W11" s="21"/>
      <c r="X11" s="460" t="b">
        <f t="shared" si="20"/>
        <v>0</v>
      </c>
      <c r="Y11" s="461" t="str">
        <f t="array" ref="Y11">XLOOKUP(AA11,Advancements!$I$2:$I164,Advancements!$C$2:$C164)</f>
        <v/>
      </c>
      <c r="Z11" s="461" t="str">
        <f t="array" ref="Z11">XLOOKUP(AA11,Advancements!$I$2:$I164,Advancements!$H$2:$H164)</f>
        <v/>
      </c>
      <c r="AA11" s="462" t="s">
        <v>2016</v>
      </c>
      <c r="AB11" s="21"/>
      <c r="AC11" s="460" t="b">
        <f t="shared" si="21"/>
        <v>0</v>
      </c>
      <c r="AD11" s="461" t="str">
        <f t="array" ref="AD11">XLOOKUP(AF11,Advancements!$I$2:$I164,Advancements!$C$2:$C164)</f>
        <v/>
      </c>
      <c r="AE11" s="461" t="str">
        <f t="array" ref="AE11">XLOOKUP(AF11,Advancements!$I$2:$I164,Advancements!$H$2:$H164)</f>
        <v/>
      </c>
      <c r="AF11" s="462" t="s">
        <v>2016</v>
      </c>
      <c r="AH11" s="443" t="str">
        <f t="shared" si="1"/>
        <v/>
      </c>
      <c r="AI11" s="420" t="b">
        <v>0</v>
      </c>
      <c r="AJ11" s="444" t="s">
        <v>7214</v>
      </c>
      <c r="AM11" s="445"/>
      <c r="AN11" s="423" t="b">
        <f t="shared" si="2"/>
        <v>0</v>
      </c>
      <c r="AO11" s="446" t="s">
        <v>7200</v>
      </c>
      <c r="AR11" s="447"/>
      <c r="AS11" s="423" t="b">
        <f t="shared" si="3"/>
        <v>0</v>
      </c>
      <c r="AT11" s="448" t="s">
        <v>7200</v>
      </c>
      <c r="AW11" s="447"/>
      <c r="AX11" s="423" t="b">
        <f t="shared" si="4"/>
        <v>0</v>
      </c>
      <c r="AY11" s="448" t="s">
        <v>7200</v>
      </c>
      <c r="BB11" s="447"/>
      <c r="BC11" s="423" t="b">
        <f t="shared" si="5"/>
        <v>0</v>
      </c>
      <c r="BD11" s="448" t="s">
        <v>7200</v>
      </c>
      <c r="BG11" s="447"/>
      <c r="BH11" s="423" t="b">
        <f t="shared" si="6"/>
        <v>0</v>
      </c>
      <c r="BI11" s="448" t="s">
        <v>7200</v>
      </c>
      <c r="BL11" s="447"/>
      <c r="BM11" s="423" t="b">
        <f t="shared" si="7"/>
        <v>0</v>
      </c>
      <c r="BN11" s="448" t="s">
        <v>7213</v>
      </c>
      <c r="BQ11" s="450"/>
      <c r="BR11" s="420" t="b">
        <f t="shared" si="8"/>
        <v>0</v>
      </c>
      <c r="BS11" s="451" t="s">
        <v>7212</v>
      </c>
      <c r="BV11" s="450"/>
      <c r="BW11" s="420" t="b">
        <f t="shared" si="9"/>
        <v>0</v>
      </c>
      <c r="BX11" s="451" t="s">
        <v>7212</v>
      </c>
      <c r="CA11" s="450"/>
      <c r="CB11" s="420" t="b">
        <f t="shared" si="10"/>
        <v>0</v>
      </c>
      <c r="CC11" s="451" t="s">
        <v>7212</v>
      </c>
      <c r="CF11" s="452"/>
      <c r="CG11" s="453" t="b">
        <f t="shared" si="11"/>
        <v>0</v>
      </c>
      <c r="CH11" s="454" t="s">
        <v>7214</v>
      </c>
      <c r="CK11" s="452"/>
      <c r="CL11" s="453" t="b">
        <f t="shared" si="12"/>
        <v>0</v>
      </c>
      <c r="CM11" s="454" t="s">
        <v>5626</v>
      </c>
      <c r="CP11" s="455"/>
      <c r="CQ11" s="456" t="b">
        <f t="shared" si="13"/>
        <v>0</v>
      </c>
      <c r="CR11" s="457" t="s">
        <v>5626</v>
      </c>
      <c r="CU11" s="455"/>
      <c r="CV11" s="458" t="b">
        <f t="shared" si="14"/>
        <v>0</v>
      </c>
      <c r="CW11" s="457" t="s">
        <v>7217</v>
      </c>
      <c r="CZ11" s="455"/>
      <c r="DA11" s="458" t="b">
        <f t="shared" si="15"/>
        <v>0</v>
      </c>
      <c r="DB11" s="457" t="s">
        <v>7218</v>
      </c>
    </row>
    <row r="12">
      <c r="A12" s="21"/>
      <c r="B12" s="439"/>
      <c r="C12" s="21"/>
      <c r="D12" s="21"/>
      <c r="E12" s="21"/>
      <c r="F12" s="21"/>
      <c r="G12" s="21"/>
      <c r="H12" s="21"/>
      <c r="I12" s="460" t="b">
        <f t="shared" si="17"/>
        <v>0</v>
      </c>
      <c r="J12" s="461" t="str">
        <f t="array" ref="J12">XLOOKUP(L12,Advancements!$I$2:$I164,Advancements!$C$2:$C164)</f>
        <v/>
      </c>
      <c r="K12" s="461" t="str">
        <f t="array" ref="K12">XLOOKUP(L12,Advancements!$I$2:$I164,Advancements!$H$2:$H164)</f>
        <v/>
      </c>
      <c r="L12" s="462" t="s">
        <v>55</v>
      </c>
      <c r="M12" s="21"/>
      <c r="N12" s="460" t="b">
        <f t="shared" si="18"/>
        <v>0</v>
      </c>
      <c r="O12" s="461" t="str">
        <f t="array" ref="O12">XLOOKUP(Q12,Advancements!$I$2:$I164,Advancements!$C$2:$C164)</f>
        <v/>
      </c>
      <c r="P12" s="461" t="str">
        <f t="array" ref="P12">XLOOKUP(Q12,Advancements!$I$2:$I164,Advancements!$H$2:$H164)</f>
        <v/>
      </c>
      <c r="Q12" s="462" t="s">
        <v>55</v>
      </c>
      <c r="R12" s="21"/>
      <c r="S12" s="466"/>
      <c r="T12" s="21"/>
      <c r="U12" s="21"/>
      <c r="V12" s="21"/>
      <c r="W12" s="21"/>
      <c r="X12" s="460" t="b">
        <f t="shared" si="20"/>
        <v>0</v>
      </c>
      <c r="Y12" s="461" t="str">
        <f t="array" ref="Y12">XLOOKUP(AA12,Advancements!$I$2:$I164,Advancements!$C$2:$C164)</f>
        <v/>
      </c>
      <c r="Z12" s="461" t="str">
        <f t="array" ref="Z12">XLOOKUP(AA12,Advancements!$I$2:$I164,Advancements!$H$2:$H164)</f>
        <v/>
      </c>
      <c r="AA12" s="462" t="s">
        <v>55</v>
      </c>
      <c r="AB12" s="21"/>
      <c r="AC12" s="460" t="b">
        <f t="shared" si="21"/>
        <v>0</v>
      </c>
      <c r="AD12" s="461" t="str">
        <f t="array" ref="AD12">XLOOKUP(AF12,Advancements!$I$2:$I164,Advancements!$C$2:$C164)</f>
        <v/>
      </c>
      <c r="AE12" s="461" t="str">
        <f t="array" ref="AE12">XLOOKUP(AF12,Advancements!$I$2:$I164,Advancements!$H$2:$H164)</f>
        <v/>
      </c>
      <c r="AF12" s="462" t="s">
        <v>55</v>
      </c>
      <c r="AH12" s="443" t="str">
        <f t="shared" si="1"/>
        <v/>
      </c>
      <c r="AI12" s="420" t="b">
        <v>0</v>
      </c>
      <c r="AJ12" s="444" t="s">
        <v>5626</v>
      </c>
      <c r="AM12" s="445"/>
      <c r="AN12" s="423" t="b">
        <f t="shared" si="2"/>
        <v>0</v>
      </c>
      <c r="AO12" s="446" t="s">
        <v>7202</v>
      </c>
      <c r="AR12" s="447"/>
      <c r="AS12" s="423" t="b">
        <f t="shared" si="3"/>
        <v>0</v>
      </c>
      <c r="AT12" s="448" t="s">
        <v>7202</v>
      </c>
      <c r="AU12" s="467"/>
      <c r="AV12" s="467"/>
      <c r="AW12" s="447"/>
      <c r="AX12" s="423" t="b">
        <f t="shared" si="4"/>
        <v>0</v>
      </c>
      <c r="AY12" s="448" t="s">
        <v>7202</v>
      </c>
      <c r="AZ12" s="369"/>
      <c r="BA12" s="369"/>
      <c r="BB12" s="447"/>
      <c r="BC12" s="423" t="b">
        <f t="shared" si="5"/>
        <v>0</v>
      </c>
      <c r="BD12" s="448" t="s">
        <v>7202</v>
      </c>
      <c r="BE12" s="369"/>
      <c r="BF12" s="369"/>
      <c r="BG12" s="447"/>
      <c r="BH12" s="423" t="b">
        <f t="shared" si="6"/>
        <v>0</v>
      </c>
      <c r="BI12" s="448" t="s">
        <v>7202</v>
      </c>
      <c r="BJ12" s="369"/>
      <c r="BK12" s="369"/>
      <c r="BL12" s="447"/>
      <c r="BM12" s="423" t="b">
        <f t="shared" si="7"/>
        <v>0</v>
      </c>
      <c r="BN12" s="448" t="s">
        <v>7208</v>
      </c>
      <c r="BO12" s="369"/>
      <c r="BP12" s="369"/>
      <c r="BQ12" s="450"/>
      <c r="BR12" s="420" t="b">
        <f t="shared" si="8"/>
        <v>0</v>
      </c>
      <c r="BS12" s="451" t="s">
        <v>7219</v>
      </c>
      <c r="BT12" s="369"/>
      <c r="BU12" s="369"/>
      <c r="BV12" s="450"/>
      <c r="BW12" s="420" t="b">
        <f t="shared" si="9"/>
        <v>0</v>
      </c>
      <c r="BX12" s="451" t="s">
        <v>7219</v>
      </c>
      <c r="BY12" s="369"/>
      <c r="BZ12" s="369"/>
      <c r="CA12" s="450"/>
      <c r="CB12" s="420" t="b">
        <f t="shared" si="10"/>
        <v>0</v>
      </c>
      <c r="CC12" s="451" t="s">
        <v>7220</v>
      </c>
      <c r="CD12" s="369"/>
      <c r="CE12" s="369"/>
      <c r="CF12" s="452"/>
      <c r="CG12" s="453" t="b">
        <f t="shared" si="11"/>
        <v>0</v>
      </c>
      <c r="CH12" s="454" t="s">
        <v>5626</v>
      </c>
      <c r="CI12" s="369"/>
      <c r="CJ12" s="369"/>
      <c r="CK12" s="452"/>
      <c r="CL12" s="453" t="b">
        <f t="shared" si="12"/>
        <v>0</v>
      </c>
      <c r="CM12" s="454" t="s">
        <v>7221</v>
      </c>
      <c r="CN12" s="369"/>
      <c r="CO12" s="369"/>
      <c r="CP12" s="455"/>
      <c r="CQ12" s="456" t="b">
        <f t="shared" si="13"/>
        <v>0</v>
      </c>
      <c r="CR12" s="457" t="s">
        <v>7221</v>
      </c>
      <c r="CS12" s="369"/>
      <c r="CT12" s="369"/>
      <c r="CU12" s="455"/>
      <c r="CV12" s="458" t="b">
        <f t="shared" si="14"/>
        <v>0</v>
      </c>
      <c r="CW12" s="457" t="s">
        <v>7222</v>
      </c>
      <c r="CX12" s="369"/>
      <c r="CY12" s="369"/>
      <c r="CZ12" s="455"/>
      <c r="DA12" s="458" t="b">
        <f t="shared" si="15"/>
        <v>0</v>
      </c>
      <c r="DB12" s="457" t="s">
        <v>7223</v>
      </c>
      <c r="DC12" s="369"/>
    </row>
    <row r="13">
      <c r="A13" s="21"/>
      <c r="B13" s="439"/>
      <c r="C13" s="21"/>
      <c r="D13" s="466"/>
      <c r="E13" s="466"/>
      <c r="F13" s="466"/>
      <c r="G13" s="21"/>
      <c r="H13" s="21"/>
      <c r="I13" s="460" t="b">
        <f t="shared" si="17"/>
        <v>0</v>
      </c>
      <c r="J13" s="461" t="str">
        <f t="array" ref="J13">XLOOKUP(L13,Advancements!$I$2:$I164,Advancements!$C$2:$C164)</f>
        <v/>
      </c>
      <c r="K13" s="461" t="str">
        <f t="array" ref="K13">XLOOKUP(L13,Advancements!$I$2:$I164,Advancements!$H$2:$H164)</f>
        <v/>
      </c>
      <c r="L13" s="462" t="s">
        <v>67</v>
      </c>
      <c r="M13" s="21"/>
      <c r="N13" s="460" t="b">
        <f t="shared" si="18"/>
        <v>0</v>
      </c>
      <c r="O13" s="461" t="str">
        <f t="array" ref="O13">XLOOKUP(Q13,Advancements!$I$2:$I164,Advancements!$C$2:$C164)</f>
        <v/>
      </c>
      <c r="P13" s="461" t="str">
        <f t="array" ref="P13">XLOOKUP(Q13,Advancements!$I$2:$I164,Advancements!$H$2:$H164)</f>
        <v/>
      </c>
      <c r="Q13" s="462" t="s">
        <v>67</v>
      </c>
      <c r="R13" s="21"/>
      <c r="S13" s="466"/>
      <c r="T13" s="21"/>
      <c r="U13" s="21"/>
      <c r="V13" s="21"/>
      <c r="W13" s="21"/>
      <c r="X13" s="460" t="b">
        <f t="shared" si="20"/>
        <v>0</v>
      </c>
      <c r="Y13" s="461" t="str">
        <f t="array" ref="Y13">XLOOKUP(AA13,Advancements!$I$2:$I164,Advancements!$C$2:$C164)</f>
        <v/>
      </c>
      <c r="Z13" s="461" t="str">
        <f t="array" ref="Z13">XLOOKUP(AA13,Advancements!$I$2:$I164,Advancements!$H$2:$H164)</f>
        <v/>
      </c>
      <c r="AA13" s="462" t="s">
        <v>67</v>
      </c>
      <c r="AB13" s="21"/>
      <c r="AC13" s="460" t="b">
        <f t="shared" si="21"/>
        <v>0</v>
      </c>
      <c r="AD13" s="461" t="str">
        <f t="array" ref="AD13">XLOOKUP(AF13,Advancements!$I$2:$I164,Advancements!$C$2:$C164)</f>
        <v/>
      </c>
      <c r="AE13" s="461" t="str">
        <f t="array" ref="AE13">XLOOKUP(AF13,Advancements!$I$2:$I164,Advancements!$H$2:$H164)</f>
        <v/>
      </c>
      <c r="AF13" s="462" t="s">
        <v>67</v>
      </c>
      <c r="AH13" s="443" t="str">
        <f t="shared" si="1"/>
        <v/>
      </c>
      <c r="AI13" s="420" t="b">
        <v>0</v>
      </c>
      <c r="AJ13" s="444" t="s">
        <v>5676</v>
      </c>
      <c r="AM13" s="445"/>
      <c r="AN13" s="423" t="b">
        <f t="shared" si="2"/>
        <v>0</v>
      </c>
      <c r="AO13" s="446" t="s">
        <v>7206</v>
      </c>
      <c r="AR13" s="447"/>
      <c r="AS13" s="423" t="b">
        <f t="shared" si="3"/>
        <v>0</v>
      </c>
      <c r="AT13" s="448" t="s">
        <v>7206</v>
      </c>
      <c r="AW13" s="447"/>
      <c r="AX13" s="423" t="b">
        <f t="shared" si="4"/>
        <v>0</v>
      </c>
      <c r="AY13" s="448" t="s">
        <v>7206</v>
      </c>
      <c r="BB13" s="447"/>
      <c r="BC13" s="423" t="b">
        <f t="shared" si="5"/>
        <v>0</v>
      </c>
      <c r="BD13" s="448" t="s">
        <v>7206</v>
      </c>
      <c r="BG13" s="447"/>
      <c r="BH13" s="423" t="b">
        <f t="shared" si="6"/>
        <v>0</v>
      </c>
      <c r="BI13" s="448" t="s">
        <v>7206</v>
      </c>
      <c r="BL13" s="447"/>
      <c r="BM13" s="423" t="b">
        <f t="shared" si="7"/>
        <v>0</v>
      </c>
      <c r="BN13" s="448" t="s">
        <v>7212</v>
      </c>
      <c r="BQ13" s="450"/>
      <c r="BR13" s="420" t="b">
        <f t="shared" si="8"/>
        <v>0</v>
      </c>
      <c r="BS13" s="451" t="s">
        <v>7224</v>
      </c>
      <c r="BV13" s="450"/>
      <c r="BW13" s="420" t="b">
        <f t="shared" si="9"/>
        <v>0</v>
      </c>
      <c r="BX13" s="451" t="s">
        <v>7224</v>
      </c>
      <c r="CA13" s="450"/>
      <c r="CB13" s="420" t="b">
        <f t="shared" si="10"/>
        <v>0</v>
      </c>
      <c r="CC13" s="451" t="s">
        <v>7219</v>
      </c>
      <c r="CF13" s="452"/>
      <c r="CG13" s="453" t="b">
        <f t="shared" si="11"/>
        <v>0</v>
      </c>
      <c r="CH13" s="454" t="s">
        <v>7221</v>
      </c>
      <c r="CK13" s="452"/>
      <c r="CL13" s="453" t="b">
        <f t="shared" si="12"/>
        <v>0</v>
      </c>
      <c r="CM13" s="454" t="s">
        <v>7225</v>
      </c>
      <c r="CP13" s="455"/>
      <c r="CQ13" s="456" t="b">
        <f t="shared" si="13"/>
        <v>0</v>
      </c>
      <c r="CR13" s="457" t="s">
        <v>7225</v>
      </c>
      <c r="CU13" s="455"/>
      <c r="CV13" s="458" t="b">
        <f t="shared" si="14"/>
        <v>0</v>
      </c>
      <c r="CW13" s="457" t="s">
        <v>7226</v>
      </c>
      <c r="CZ13" s="455"/>
      <c r="DA13" s="458" t="b">
        <f t="shared" si="15"/>
        <v>0</v>
      </c>
      <c r="DB13" s="457" t="s">
        <v>6642</v>
      </c>
    </row>
    <row r="14">
      <c r="A14" s="21"/>
      <c r="B14" s="439"/>
      <c r="C14" s="21"/>
      <c r="D14" s="21"/>
      <c r="E14" s="21"/>
      <c r="F14" s="21"/>
      <c r="G14" s="21"/>
      <c r="H14" s="21"/>
      <c r="I14" s="460" t="b">
        <f t="shared" si="17"/>
        <v>0</v>
      </c>
      <c r="J14" s="461" t="str">
        <f t="array" ref="J14">XLOOKUP(L14,Advancements!$I$2:$I164,Advancements!$C$2:$C164)</f>
        <v/>
      </c>
      <c r="K14" s="461" t="str">
        <f t="array" ref="K14">XLOOKUP(L14,Advancements!$I$2:$I164,Advancements!$H$2:$H164)</f>
        <v/>
      </c>
      <c r="L14" s="462" t="s">
        <v>36</v>
      </c>
      <c r="M14" s="21"/>
      <c r="N14" s="460" t="b">
        <f t="shared" si="18"/>
        <v>0</v>
      </c>
      <c r="O14" s="461" t="str">
        <f t="array" ref="O14">XLOOKUP(Q14,Advancements!$I$2:$I164,Advancements!$C$2:$C164)</f>
        <v/>
      </c>
      <c r="P14" s="461" t="str">
        <f t="array" ref="P14">XLOOKUP(Q14,Advancements!$I$2:$I164,Advancements!$H$2:$H164)</f>
        <v/>
      </c>
      <c r="Q14" s="462" t="s">
        <v>36</v>
      </c>
      <c r="R14" s="21"/>
      <c r="S14" s="466"/>
      <c r="T14" s="21"/>
      <c r="U14" s="21"/>
      <c r="V14" s="21"/>
      <c r="W14" s="21"/>
      <c r="X14" s="460" t="b">
        <f t="shared" si="20"/>
        <v>0</v>
      </c>
      <c r="Y14" s="461" t="str">
        <f t="array" ref="Y14">XLOOKUP(AA14,Advancements!$I$2:$I164,Advancements!$C$2:$C164)</f>
        <v/>
      </c>
      <c r="Z14" s="461" t="str">
        <f t="array" ref="Z14">XLOOKUP(AA14,Advancements!$I$2:$I164,Advancements!$H$2:$H164)</f>
        <v/>
      </c>
      <c r="AA14" s="462" t="s">
        <v>36</v>
      </c>
      <c r="AB14" s="21"/>
      <c r="AC14" s="463" t="b">
        <f t="shared" si="21"/>
        <v>0</v>
      </c>
      <c r="AD14" s="464" t="str">
        <f t="array" ref="AD14">XLOOKUP(AF14,Advancements!$I$2:$I164,Advancements!$C$2:$C164)</f>
        <v/>
      </c>
      <c r="AE14" s="464" t="str">
        <f t="array" ref="AE14">XLOOKUP(AF14,Advancements!$I$2:$I164,Advancements!$H$2:$H164)</f>
        <v/>
      </c>
      <c r="AF14" s="465" t="s">
        <v>4846</v>
      </c>
      <c r="AH14" s="443" t="str">
        <f t="shared" si="1"/>
        <v/>
      </c>
      <c r="AI14" s="420" t="b">
        <v>0</v>
      </c>
      <c r="AJ14" s="444" t="s">
        <v>7221</v>
      </c>
      <c r="AM14" s="445"/>
      <c r="AN14" s="423" t="b">
        <f t="shared" si="2"/>
        <v>0</v>
      </c>
      <c r="AO14" s="446" t="s">
        <v>7210</v>
      </c>
      <c r="AR14" s="447"/>
      <c r="AS14" s="423" t="b">
        <f t="shared" si="3"/>
        <v>0</v>
      </c>
      <c r="AT14" s="448" t="s">
        <v>7210</v>
      </c>
      <c r="AW14" s="447"/>
      <c r="AX14" s="423" t="b">
        <f t="shared" si="4"/>
        <v>0</v>
      </c>
      <c r="AY14" s="448" t="s">
        <v>7210</v>
      </c>
      <c r="BB14" s="447"/>
      <c r="BC14" s="423" t="b">
        <f t="shared" si="5"/>
        <v>0</v>
      </c>
      <c r="BD14" s="448" t="s">
        <v>7210</v>
      </c>
      <c r="BG14" s="447"/>
      <c r="BH14" s="423" t="b">
        <f t="shared" si="6"/>
        <v>0</v>
      </c>
      <c r="BI14" s="448" t="s">
        <v>7210</v>
      </c>
      <c r="BL14" s="447"/>
      <c r="BM14" s="423" t="b">
        <f t="shared" si="7"/>
        <v>0</v>
      </c>
      <c r="BN14" s="448" t="s">
        <v>7227</v>
      </c>
      <c r="BQ14" s="450"/>
      <c r="BR14" s="420" t="b">
        <f t="shared" si="8"/>
        <v>0</v>
      </c>
      <c r="BS14" s="451" t="s">
        <v>7228</v>
      </c>
      <c r="BV14" s="450"/>
      <c r="BW14" s="420" t="b">
        <f t="shared" si="9"/>
        <v>0</v>
      </c>
      <c r="BX14" s="451" t="s">
        <v>7228</v>
      </c>
      <c r="CA14" s="450"/>
      <c r="CB14" s="420" t="b">
        <f t="shared" si="10"/>
        <v>0</v>
      </c>
      <c r="CC14" s="451" t="s">
        <v>7224</v>
      </c>
      <c r="CF14" s="452"/>
      <c r="CG14" s="453" t="b">
        <f t="shared" si="11"/>
        <v>0</v>
      </c>
      <c r="CH14" s="454" t="s">
        <v>7208</v>
      </c>
      <c r="CK14" s="452"/>
      <c r="CL14" s="453" t="b">
        <f t="shared" si="12"/>
        <v>0</v>
      </c>
      <c r="CM14" s="454" t="s">
        <v>7229</v>
      </c>
      <c r="CP14" s="455"/>
      <c r="CQ14" s="456" t="b">
        <f t="shared" si="13"/>
        <v>0</v>
      </c>
      <c r="CR14" s="457" t="s">
        <v>7229</v>
      </c>
      <c r="CU14" s="455"/>
      <c r="CV14" s="458" t="b">
        <f t="shared" si="14"/>
        <v>0</v>
      </c>
      <c r="CW14" s="457" t="s">
        <v>7230</v>
      </c>
      <c r="CZ14" s="455"/>
      <c r="DA14" s="458" t="b">
        <f t="shared" si="15"/>
        <v>0</v>
      </c>
      <c r="DB14" s="459" t="s">
        <v>7231</v>
      </c>
    </row>
    <row r="15">
      <c r="A15" s="21"/>
      <c r="B15" s="468"/>
      <c r="C15" s="21"/>
      <c r="D15" s="21"/>
      <c r="E15" s="21"/>
      <c r="F15" s="21"/>
      <c r="G15" s="21"/>
      <c r="H15" s="21"/>
      <c r="I15" s="469" t="b">
        <f t="shared" si="17"/>
        <v>0</v>
      </c>
      <c r="J15" s="464" t="str">
        <f t="array" ref="J15">XLOOKUP(L15,Advancements!$I$2:$I164,Advancements!$C$2:$C164)</f>
        <v/>
      </c>
      <c r="K15" s="464" t="str">
        <f t="array" ref="K15">XLOOKUP(L15,Advancements!$I$2:$I164,Advancements!$H$2:$H164)</f>
        <v/>
      </c>
      <c r="L15" s="465" t="s">
        <v>4846</v>
      </c>
      <c r="M15" s="21"/>
      <c r="N15" s="469" t="b">
        <f t="shared" si="18"/>
        <v>0</v>
      </c>
      <c r="O15" s="464" t="str">
        <f t="array" ref="O15">XLOOKUP(Q15,Advancements!$I$2:$I164,Advancements!$C$2:$C164)</f>
        <v/>
      </c>
      <c r="P15" s="464" t="str">
        <f t="array" ref="P15">XLOOKUP(Q15,Advancements!$I$2:$I164,Advancements!$H$2:$H164)</f>
        <v/>
      </c>
      <c r="Q15" s="465" t="s">
        <v>4846</v>
      </c>
      <c r="R15" s="21"/>
      <c r="S15" s="466"/>
      <c r="T15" s="21"/>
      <c r="U15" s="21"/>
      <c r="V15" s="21"/>
      <c r="W15" s="21"/>
      <c r="X15" s="469" t="b">
        <f t="shared" si="20"/>
        <v>0</v>
      </c>
      <c r="Y15" s="464" t="str">
        <f t="array" ref="Y15">XLOOKUP(AA15,Advancements!$I$2:$I164,Advancements!$C$2:$C164)</f>
        <v/>
      </c>
      <c r="Z15" s="464" t="str">
        <f t="array" ref="Z15">XLOOKUP(AA15,Advancements!$I$2:$I164,Advancements!$H$2:$H164)</f>
        <v/>
      </c>
      <c r="AA15" s="465" t="s">
        <v>4846</v>
      </c>
      <c r="AB15" s="21"/>
      <c r="AC15" s="466"/>
      <c r="AD15" s="21"/>
      <c r="AE15" s="21"/>
      <c r="AF15" s="21"/>
      <c r="AH15" s="443" t="str">
        <f t="shared" si="1"/>
        <v/>
      </c>
      <c r="AI15" s="420" t="b">
        <v>0</v>
      </c>
      <c r="AJ15" s="444" t="s">
        <v>7208</v>
      </c>
      <c r="AM15" s="445"/>
      <c r="AN15" s="423" t="b">
        <f t="shared" si="2"/>
        <v>0</v>
      </c>
      <c r="AO15" s="446" t="s">
        <v>7214</v>
      </c>
      <c r="AR15" s="447"/>
      <c r="AS15" s="423" t="b">
        <f t="shared" si="3"/>
        <v>0</v>
      </c>
      <c r="AT15" s="448" t="s">
        <v>7214</v>
      </c>
      <c r="AW15" s="447"/>
      <c r="AX15" s="423" t="b">
        <f t="shared" si="4"/>
        <v>0</v>
      </c>
      <c r="AY15" s="448" t="s">
        <v>7214</v>
      </c>
      <c r="BB15" s="447"/>
      <c r="BC15" s="423" t="b">
        <f t="shared" si="5"/>
        <v>0</v>
      </c>
      <c r="BD15" s="448" t="s">
        <v>7214</v>
      </c>
      <c r="BG15" s="447"/>
      <c r="BH15" s="423" t="b">
        <f t="shared" si="6"/>
        <v>0</v>
      </c>
      <c r="BI15" s="448" t="s">
        <v>7214</v>
      </c>
      <c r="BL15" s="447"/>
      <c r="BM15" s="423" t="b">
        <f t="shared" si="7"/>
        <v>0</v>
      </c>
      <c r="BN15" s="448" t="s">
        <v>7220</v>
      </c>
      <c r="BQ15" s="450"/>
      <c r="BR15" s="420" t="b">
        <f t="shared" si="8"/>
        <v>0</v>
      </c>
      <c r="BS15" s="451" t="s">
        <v>7204</v>
      </c>
      <c r="BV15" s="450"/>
      <c r="BW15" s="420" t="b">
        <f t="shared" si="9"/>
        <v>0</v>
      </c>
      <c r="BX15" s="451" t="s">
        <v>7204</v>
      </c>
      <c r="CA15" s="450"/>
      <c r="CB15" s="420" t="b">
        <f t="shared" si="10"/>
        <v>0</v>
      </c>
      <c r="CC15" s="451" t="s">
        <v>7204</v>
      </c>
      <c r="CF15" s="452"/>
      <c r="CG15" s="453" t="b">
        <f t="shared" si="11"/>
        <v>0</v>
      </c>
      <c r="CH15" s="454" t="s">
        <v>7225</v>
      </c>
      <c r="CK15" s="452"/>
      <c r="CL15" s="453" t="b">
        <f t="shared" si="12"/>
        <v>0</v>
      </c>
      <c r="CM15" s="454" t="s">
        <v>7216</v>
      </c>
      <c r="CP15" s="455"/>
      <c r="CQ15" s="456" t="b">
        <f t="shared" si="13"/>
        <v>0</v>
      </c>
      <c r="CR15" s="457" t="s">
        <v>7216</v>
      </c>
      <c r="CU15" s="455"/>
      <c r="CV15" s="458" t="b">
        <f t="shared" si="14"/>
        <v>0</v>
      </c>
      <c r="CW15" s="457" t="s">
        <v>7232</v>
      </c>
      <c r="CZ15" s="455"/>
      <c r="DA15" s="458" t="b">
        <f t="shared" si="15"/>
        <v>0</v>
      </c>
      <c r="DB15" s="457" t="s">
        <v>7233</v>
      </c>
    </row>
    <row r="16">
      <c r="A16" s="21"/>
      <c r="B16" s="21"/>
      <c r="C16" s="21"/>
      <c r="D16" s="21"/>
      <c r="E16" s="21"/>
      <c r="F16" s="21"/>
      <c r="G16" s="21"/>
      <c r="H16" s="21"/>
      <c r="I16" s="21"/>
      <c r="J16" s="21"/>
      <c r="K16" s="21"/>
      <c r="L16" s="21"/>
      <c r="M16" s="21"/>
      <c r="N16" s="21"/>
      <c r="O16" s="21"/>
      <c r="P16" s="21"/>
      <c r="Q16" s="21"/>
      <c r="R16" s="21"/>
      <c r="S16" s="21"/>
      <c r="T16" s="21"/>
      <c r="U16" s="21"/>
      <c r="V16" s="21"/>
      <c r="W16" s="21"/>
      <c r="X16" s="21"/>
      <c r="Y16" s="21"/>
      <c r="Z16" s="21"/>
      <c r="AA16" s="21"/>
      <c r="AB16" s="21"/>
      <c r="AC16" s="21"/>
      <c r="AD16" s="21"/>
      <c r="AE16" s="21"/>
      <c r="AF16" s="21"/>
      <c r="AH16" s="443" t="str">
        <f t="shared" si="1"/>
        <v/>
      </c>
      <c r="AI16" s="420" t="b">
        <v>0</v>
      </c>
      <c r="AJ16" s="444" t="s">
        <v>7225</v>
      </c>
      <c r="AM16" s="445"/>
      <c r="AN16" s="423" t="b">
        <f t="shared" si="2"/>
        <v>0</v>
      </c>
      <c r="AO16" s="446" t="s">
        <v>7209</v>
      </c>
      <c r="AR16" s="447"/>
      <c r="AS16" s="423" t="b">
        <f t="shared" si="3"/>
        <v>0</v>
      </c>
      <c r="AT16" s="448" t="s">
        <v>7209</v>
      </c>
      <c r="AW16" s="447"/>
      <c r="AX16" s="423" t="b">
        <f t="shared" si="4"/>
        <v>0</v>
      </c>
      <c r="AY16" s="448" t="s">
        <v>7209</v>
      </c>
      <c r="BB16" s="447"/>
      <c r="BC16" s="423" t="b">
        <f t="shared" si="5"/>
        <v>0</v>
      </c>
      <c r="BD16" s="448" t="s">
        <v>7209</v>
      </c>
      <c r="BG16" s="447"/>
      <c r="BH16" s="423" t="b">
        <f t="shared" si="6"/>
        <v>0</v>
      </c>
      <c r="BI16" s="448" t="s">
        <v>7209</v>
      </c>
      <c r="BL16" s="447"/>
      <c r="BM16" s="423" t="b">
        <f t="shared" si="7"/>
        <v>0</v>
      </c>
      <c r="BN16" s="448" t="s">
        <v>7219</v>
      </c>
      <c r="BQ16" s="450"/>
      <c r="BR16" s="420" t="b">
        <f t="shared" si="8"/>
        <v>0</v>
      </c>
      <c r="BS16" s="451" t="s">
        <v>7223</v>
      </c>
      <c r="BV16" s="450"/>
      <c r="BW16" s="420" t="b">
        <f t="shared" si="9"/>
        <v>0</v>
      </c>
      <c r="BX16" s="451" t="s">
        <v>7223</v>
      </c>
      <c r="CA16" s="450"/>
      <c r="CB16" s="420" t="b">
        <f t="shared" si="10"/>
        <v>0</v>
      </c>
      <c r="CC16" s="451" t="s">
        <v>7207</v>
      </c>
      <c r="CF16" s="452"/>
      <c r="CG16" s="453" t="b">
        <f t="shared" si="11"/>
        <v>0</v>
      </c>
      <c r="CH16" s="454" t="s">
        <v>7229</v>
      </c>
      <c r="CK16" s="452"/>
      <c r="CL16" s="453" t="b">
        <f t="shared" si="12"/>
        <v>0</v>
      </c>
      <c r="CM16" s="454" t="s">
        <v>7234</v>
      </c>
      <c r="CP16" s="455"/>
      <c r="CQ16" s="456" t="b">
        <f t="shared" si="13"/>
        <v>0</v>
      </c>
      <c r="CR16" s="457" t="s">
        <v>7234</v>
      </c>
      <c r="CU16" s="470"/>
      <c r="CV16" s="471" t="b">
        <f t="shared" si="14"/>
        <v>0</v>
      </c>
      <c r="CW16" s="472" t="s">
        <v>7235</v>
      </c>
      <c r="CZ16" s="455"/>
      <c r="DA16" s="458" t="b">
        <f t="shared" si="15"/>
        <v>0</v>
      </c>
      <c r="DB16" s="457" t="s">
        <v>7236</v>
      </c>
    </row>
    <row r="17">
      <c r="A17" s="21"/>
      <c r="B17" s="473" t="s">
        <v>7237</v>
      </c>
      <c r="C17" s="21"/>
      <c r="D17" s="474" t="b">
        <f>IFALLTRUE(D18:D26)</f>
        <v>0</v>
      </c>
      <c r="E17" s="475"/>
      <c r="F17" s="475" t="str">
        <f>GET_MOB_HEAD(G17)</f>
        <v/>
      </c>
      <c r="G17" s="476" t="s">
        <v>7238</v>
      </c>
      <c r="H17" s="21"/>
      <c r="I17" s="474" t="b">
        <f>IFALLTRUE(I18:I26)</f>
        <v>0</v>
      </c>
      <c r="J17" s="475"/>
      <c r="K17" s="475" t="str">
        <f>GET_MOB_HEAD(L17)</f>
        <v/>
      </c>
      <c r="L17" s="476" t="s">
        <v>7239</v>
      </c>
      <c r="M17" s="21"/>
      <c r="N17" s="474" t="b">
        <f>IFALLTRUE(N18:N26)</f>
        <v>0</v>
      </c>
      <c r="O17" s="475"/>
      <c r="P17" s="475" t="str">
        <f>GET_MOB_HEAD(Q17)</f>
        <v/>
      </c>
      <c r="Q17" s="476" t="s">
        <v>7240</v>
      </c>
      <c r="R17" s="21"/>
      <c r="S17" s="474" t="b">
        <f>IFALLTRUE(S18:S26)</f>
        <v>0</v>
      </c>
      <c r="T17" s="475"/>
      <c r="U17" s="475" t="str">
        <f>GET_MOB_HEAD(V17)</f>
        <v/>
      </c>
      <c r="V17" s="476" t="s">
        <v>7241</v>
      </c>
      <c r="W17" s="21"/>
      <c r="X17" s="474" t="b">
        <f>IFALLTRUE(X18:X26)</f>
        <v>0</v>
      </c>
      <c r="Y17" s="475"/>
      <c r="Z17" s="475" t="str">
        <f>GET_MOB_HEAD(AA17)</f>
        <v/>
      </c>
      <c r="AA17" s="476" t="s">
        <v>7242</v>
      </c>
      <c r="AB17" s="21"/>
      <c r="AC17" s="474" t="b">
        <f>IFALLTRUE(AC18:AC26)</f>
        <v>0</v>
      </c>
      <c r="AD17" s="475"/>
      <c r="AE17" s="475" t="str">
        <f>GET_MOB_HEAD(AF17)</f>
        <v/>
      </c>
      <c r="AF17" s="476" t="s">
        <v>7243</v>
      </c>
      <c r="AH17" s="443" t="str">
        <f t="shared" si="1"/>
        <v/>
      </c>
      <c r="AI17" s="420" t="b">
        <v>0</v>
      </c>
      <c r="AJ17" s="444" t="s">
        <v>7229</v>
      </c>
      <c r="AM17" s="445"/>
      <c r="AN17" s="423" t="b">
        <f t="shared" si="2"/>
        <v>0</v>
      </c>
      <c r="AO17" s="446" t="s">
        <v>5626</v>
      </c>
      <c r="AR17" s="447"/>
      <c r="AS17" s="423" t="b">
        <f t="shared" si="3"/>
        <v>0</v>
      </c>
      <c r="AT17" s="448" t="s">
        <v>5626</v>
      </c>
      <c r="AW17" s="447"/>
      <c r="AX17" s="423" t="b">
        <f t="shared" si="4"/>
        <v>0</v>
      </c>
      <c r="AY17" s="448" t="s">
        <v>5626</v>
      </c>
      <c r="BB17" s="447"/>
      <c r="BC17" s="423" t="b">
        <f t="shared" si="5"/>
        <v>0</v>
      </c>
      <c r="BD17" s="448" t="s">
        <v>5626</v>
      </c>
      <c r="BG17" s="447"/>
      <c r="BH17" s="423" t="b">
        <f t="shared" si="6"/>
        <v>0</v>
      </c>
      <c r="BI17" s="448" t="s">
        <v>5626</v>
      </c>
      <c r="BL17" s="447"/>
      <c r="BM17" s="423" t="b">
        <f t="shared" si="7"/>
        <v>0</v>
      </c>
      <c r="BN17" s="448" t="s">
        <v>7224</v>
      </c>
      <c r="BQ17" s="450"/>
      <c r="BR17" s="420" t="b">
        <f t="shared" si="8"/>
        <v>0</v>
      </c>
      <c r="BS17" s="451" t="s">
        <v>7207</v>
      </c>
      <c r="BV17" s="450"/>
      <c r="BW17" s="420" t="b">
        <f t="shared" si="9"/>
        <v>0</v>
      </c>
      <c r="BX17" s="451" t="s">
        <v>7207</v>
      </c>
      <c r="CA17" s="450"/>
      <c r="CB17" s="420" t="b">
        <f t="shared" si="10"/>
        <v>0</v>
      </c>
      <c r="CC17" s="451" t="s">
        <v>7244</v>
      </c>
      <c r="CF17" s="452"/>
      <c r="CG17" s="453" t="b">
        <f t="shared" si="11"/>
        <v>0</v>
      </c>
      <c r="CH17" s="454" t="s">
        <v>7216</v>
      </c>
      <c r="CK17" s="452"/>
      <c r="CL17" s="453" t="b">
        <f t="shared" si="12"/>
        <v>0</v>
      </c>
      <c r="CM17" s="454" t="s">
        <v>7207</v>
      </c>
      <c r="CP17" s="455"/>
      <c r="CQ17" s="456" t="b">
        <f t="shared" si="13"/>
        <v>0</v>
      </c>
      <c r="CR17" s="457" t="s">
        <v>7207</v>
      </c>
      <c r="CZ17" s="455"/>
      <c r="DA17" s="458" t="b">
        <f t="shared" si="15"/>
        <v>0</v>
      </c>
      <c r="DB17" s="457" t="s">
        <v>7245</v>
      </c>
    </row>
    <row r="18">
      <c r="A18" s="21"/>
      <c r="B18" s="439"/>
      <c r="C18" s="21"/>
      <c r="D18" s="477" t="b">
        <f t="shared" ref="D18:D23" si="22">CHECK_MOB(G18,G$17)</f>
        <v>0</v>
      </c>
      <c r="E18" s="478" t="str">
        <f t="array" ref="E18">XLOOKUP(G18,Advancements!$I$2:$I164,Advancements!$C$2:$C164)</f>
        <v/>
      </c>
      <c r="F18" s="478" t="str">
        <f t="array" ref="F18">XLOOKUP(G18,Advancements!$I$2:$I164,Advancements!$H$2:$H164)</f>
        <v/>
      </c>
      <c r="G18" s="479" t="s">
        <v>63</v>
      </c>
      <c r="H18" s="21"/>
      <c r="I18" s="477" t="b">
        <f t="shared" ref="I18:I24" si="23">CHECK_MOB(L18,L$17)</f>
        <v>0</v>
      </c>
      <c r="J18" s="478" t="str">
        <f t="array" ref="J18">XLOOKUP(L18,Advancements!$I$2:$I164,Advancements!$C$2:$C164)</f>
        <v/>
      </c>
      <c r="K18" s="478" t="str">
        <f t="array" ref="K18">XLOOKUP(L18,Advancements!$I$2:$I164,Advancements!$H$2:$H164)</f>
        <v/>
      </c>
      <c r="L18" s="479" t="s">
        <v>3616</v>
      </c>
      <c r="M18" s="21"/>
      <c r="N18" s="477" t="b">
        <f t="shared" ref="N18:N27" si="24">CHECK_MOB(Q18,Q$17)</f>
        <v>0</v>
      </c>
      <c r="O18" s="478" t="str">
        <f t="array" ref="O18">XLOOKUP(Q18,Advancements!$I$2:$I164,Advancements!$C$2:$C164)</f>
        <v/>
      </c>
      <c r="P18" s="478" t="str">
        <f t="array" ref="P18">XLOOKUP(Q18,Advancements!$I$2:$I164,Advancements!$H$2:$H164)</f>
        <v/>
      </c>
      <c r="Q18" s="479" t="s">
        <v>2679</v>
      </c>
      <c r="R18" s="21"/>
      <c r="S18" s="477" t="b">
        <f t="shared" ref="S18:S27" si="25">CHECK_MOB(V18,V$17)</f>
        <v>0</v>
      </c>
      <c r="T18" s="478" t="str">
        <f t="array" ref="T18">XLOOKUP(V18,Advancements!$I$2:$I164,Advancements!$C$2:$C164)</f>
        <v/>
      </c>
      <c r="U18" s="478" t="str">
        <f t="array" ref="U18">XLOOKUP(V18,Advancements!$I$2:$I164,Advancements!$H$2:$H164)</f>
        <v/>
      </c>
      <c r="V18" s="479" t="s">
        <v>2679</v>
      </c>
      <c r="W18" s="21"/>
      <c r="X18" s="477" t="b">
        <f t="shared" ref="X18:X26" si="26">CHECK_MOB(AA18,AA$17)</f>
        <v>0</v>
      </c>
      <c r="Y18" s="478" t="str">
        <f t="array" ref="Y18">XLOOKUP(AA18,Advancements!$I$2:$I164,Advancements!$C$2:$C164)</f>
        <v/>
      </c>
      <c r="Z18" s="478" t="str">
        <f t="array" ref="Z18">XLOOKUP(AA18,Advancements!$I$2:$I164,Advancements!$H$2:$H164)</f>
        <v/>
      </c>
      <c r="AA18" s="479" t="s">
        <v>2679</v>
      </c>
      <c r="AB18" s="21"/>
      <c r="AC18" s="477" t="b">
        <f t="shared" ref="AC18:AC26" si="27">CHECK_MOB(AF18,AF$17)</f>
        <v>0</v>
      </c>
      <c r="AD18" s="478" t="str">
        <f t="array" ref="AD18">XLOOKUP(AF18,Advancements!$I$2:$I164,Advancements!$C$2:$C164)</f>
        <v/>
      </c>
      <c r="AE18" s="478" t="str">
        <f t="array" ref="AE18">XLOOKUP(AF18,Advancements!$I$2:$I164,Advancements!$H$2:$H164)</f>
        <v/>
      </c>
      <c r="AF18" s="479" t="s">
        <v>2679</v>
      </c>
      <c r="AH18" s="443" t="str">
        <f t="shared" si="1"/>
        <v/>
      </c>
      <c r="AI18" s="420" t="b">
        <v>0</v>
      </c>
      <c r="AJ18" s="444" t="s">
        <v>7216</v>
      </c>
      <c r="AM18" s="445"/>
      <c r="AN18" s="423" t="b">
        <f t="shared" si="2"/>
        <v>0</v>
      </c>
      <c r="AO18" s="446" t="s">
        <v>5676</v>
      </c>
      <c r="AR18" s="447"/>
      <c r="AS18" s="423" t="b">
        <f t="shared" si="3"/>
        <v>0</v>
      </c>
      <c r="AT18" s="448" t="s">
        <v>5676</v>
      </c>
      <c r="AW18" s="447"/>
      <c r="AX18" s="423" t="b">
        <f t="shared" si="4"/>
        <v>0</v>
      </c>
      <c r="AY18" s="448" t="s">
        <v>5676</v>
      </c>
      <c r="BB18" s="447"/>
      <c r="BC18" s="423" t="b">
        <f t="shared" si="5"/>
        <v>0</v>
      </c>
      <c r="BD18" s="448" t="s">
        <v>5676</v>
      </c>
      <c r="BG18" s="447"/>
      <c r="BH18" s="423" t="b">
        <f t="shared" si="6"/>
        <v>0</v>
      </c>
      <c r="BI18" s="448" t="s">
        <v>5676</v>
      </c>
      <c r="BL18" s="447"/>
      <c r="BM18" s="423" t="b">
        <f t="shared" si="7"/>
        <v>0</v>
      </c>
      <c r="BN18" s="448" t="s">
        <v>7228</v>
      </c>
      <c r="BQ18" s="450"/>
      <c r="BR18" s="420" t="b">
        <f t="shared" si="8"/>
        <v>0</v>
      </c>
      <c r="BS18" s="451" t="s">
        <v>7244</v>
      </c>
      <c r="BV18" s="450"/>
      <c r="BW18" s="420" t="b">
        <f t="shared" si="9"/>
        <v>0</v>
      </c>
      <c r="BX18" s="451" t="s">
        <v>7244</v>
      </c>
      <c r="CA18" s="450"/>
      <c r="CB18" s="420" t="b">
        <f t="shared" si="10"/>
        <v>0</v>
      </c>
      <c r="CC18" s="451" t="s">
        <v>7211</v>
      </c>
      <c r="CF18" s="452"/>
      <c r="CG18" s="453" t="b">
        <f t="shared" si="11"/>
        <v>0</v>
      </c>
      <c r="CH18" s="454" t="s">
        <v>7218</v>
      </c>
      <c r="CK18" s="452"/>
      <c r="CL18" s="453" t="b">
        <f t="shared" si="12"/>
        <v>0</v>
      </c>
      <c r="CM18" s="454" t="s">
        <v>7246</v>
      </c>
      <c r="CP18" s="455"/>
      <c r="CQ18" s="456" t="b">
        <f t="shared" si="13"/>
        <v>0</v>
      </c>
      <c r="CR18" s="457" t="s">
        <v>7246</v>
      </c>
      <c r="CZ18" s="470"/>
      <c r="DA18" s="471" t="b">
        <f t="shared" si="15"/>
        <v>0</v>
      </c>
      <c r="DB18" s="472" t="s">
        <v>7247</v>
      </c>
    </row>
    <row r="19">
      <c r="A19" s="21"/>
      <c r="B19" s="439"/>
      <c r="C19" s="21"/>
      <c r="D19" s="480" t="b">
        <f t="shared" si="22"/>
        <v>0</v>
      </c>
      <c r="E19" s="481" t="str">
        <f t="array" ref="E19">XLOOKUP(G19,Advancements!$I$2:$I164,Advancements!$C$2:$C164)</f>
        <v/>
      </c>
      <c r="F19" s="481" t="str">
        <f t="array" ref="F19">XLOOKUP(G19,Advancements!$I$2:$I164,Advancements!$H$2:$H164)</f>
        <v/>
      </c>
      <c r="G19" s="482" t="s">
        <v>59</v>
      </c>
      <c r="H19" s="21"/>
      <c r="I19" s="480" t="b">
        <f t="shared" si="23"/>
        <v>0</v>
      </c>
      <c r="J19" s="481" t="str">
        <f t="array" ref="J19">XLOOKUP(L19,Advancements!$I$2:$I164,Advancements!$C$2:$C164)</f>
        <v/>
      </c>
      <c r="K19" s="481" t="str">
        <f t="array" ref="K19">XLOOKUP(L19,Advancements!$I$2:$I164,Advancements!$H$2:$H164)</f>
        <v/>
      </c>
      <c r="L19" s="482" t="s">
        <v>63</v>
      </c>
      <c r="M19" s="21"/>
      <c r="N19" s="480" t="b">
        <f t="shared" si="24"/>
        <v>0</v>
      </c>
      <c r="O19" s="481" t="str">
        <f t="array" ref="O19">XLOOKUP(Q19,Advancements!$I$2:$I164,Advancements!$C$2:$C164)</f>
        <v/>
      </c>
      <c r="P19" s="481" t="str">
        <f t="array" ref="P19">XLOOKUP(Q19,Advancements!$I$2:$I164,Advancements!$H$2:$H164)</f>
        <v/>
      </c>
      <c r="Q19" s="482" t="s">
        <v>3616</v>
      </c>
      <c r="R19" s="21"/>
      <c r="S19" s="480" t="b">
        <f t="shared" si="25"/>
        <v>0</v>
      </c>
      <c r="T19" s="481" t="str">
        <f t="array" ref="T19">XLOOKUP(V19,Advancements!$I$2:$I164,Advancements!$C$2:$C164)</f>
        <v/>
      </c>
      <c r="U19" s="481" t="str">
        <f t="array" ref="U19">XLOOKUP(V19,Advancements!$I$2:$I164,Advancements!$H$2:$H164)</f>
        <v/>
      </c>
      <c r="V19" s="482" t="s">
        <v>3616</v>
      </c>
      <c r="W19" s="21"/>
      <c r="X19" s="480" t="b">
        <f t="shared" si="26"/>
        <v>0</v>
      </c>
      <c r="Y19" s="481" t="str">
        <f t="array" ref="Y19">XLOOKUP(AA19,Advancements!$I$2:$I164,Advancements!$C$2:$C164)</f>
        <v/>
      </c>
      <c r="Z19" s="481" t="str">
        <f t="array" ref="Z19">XLOOKUP(AA19,Advancements!$I$2:$I164,Advancements!$H$2:$H164)</f>
        <v/>
      </c>
      <c r="AA19" s="482" t="s">
        <v>3616</v>
      </c>
      <c r="AB19" s="21"/>
      <c r="AC19" s="480" t="b">
        <f t="shared" si="27"/>
        <v>0</v>
      </c>
      <c r="AD19" s="481" t="str">
        <f t="array" ref="AD19">XLOOKUP(AF19,Advancements!$I$2:$I164,Advancements!$C$2:$C164)</f>
        <v/>
      </c>
      <c r="AE19" s="481" t="str">
        <f t="array" ref="AE19">XLOOKUP(AF19,Advancements!$I$2:$I164,Advancements!$H$2:$H164)</f>
        <v/>
      </c>
      <c r="AF19" s="482" t="s">
        <v>3616</v>
      </c>
      <c r="AH19" s="443" t="str">
        <f t="shared" si="1"/>
        <v/>
      </c>
      <c r="AI19" s="420" t="b">
        <v>0</v>
      </c>
      <c r="AJ19" s="444" t="s">
        <v>7218</v>
      </c>
      <c r="AM19" s="445"/>
      <c r="AN19" s="423" t="b">
        <f t="shared" si="2"/>
        <v>0</v>
      </c>
      <c r="AO19" s="446" t="s">
        <v>7221</v>
      </c>
      <c r="AR19" s="447"/>
      <c r="AS19" s="423" t="b">
        <f t="shared" si="3"/>
        <v>0</v>
      </c>
      <c r="AT19" s="448" t="s">
        <v>7221</v>
      </c>
      <c r="AW19" s="447"/>
      <c r="AX19" s="423" t="b">
        <f t="shared" si="4"/>
        <v>0</v>
      </c>
      <c r="AY19" s="448" t="s">
        <v>7221</v>
      </c>
      <c r="BB19" s="447"/>
      <c r="BC19" s="423" t="b">
        <f t="shared" si="5"/>
        <v>0</v>
      </c>
      <c r="BD19" s="448" t="s">
        <v>7221</v>
      </c>
      <c r="BG19" s="447"/>
      <c r="BH19" s="423" t="b">
        <f t="shared" si="6"/>
        <v>0</v>
      </c>
      <c r="BI19" s="448" t="s">
        <v>7221</v>
      </c>
      <c r="BL19" s="447"/>
      <c r="BM19" s="423" t="b">
        <f t="shared" si="7"/>
        <v>0</v>
      </c>
      <c r="BN19" s="448" t="s">
        <v>7204</v>
      </c>
      <c r="BQ19" s="450"/>
      <c r="BR19" s="420" t="b">
        <f t="shared" si="8"/>
        <v>0</v>
      </c>
      <c r="BS19" s="451" t="s">
        <v>7211</v>
      </c>
      <c r="BV19" s="450"/>
      <c r="BW19" s="420" t="b">
        <f t="shared" si="9"/>
        <v>0</v>
      </c>
      <c r="BX19" s="451" t="s">
        <v>7211</v>
      </c>
      <c r="CA19" s="450"/>
      <c r="CB19" s="420" t="b">
        <f t="shared" si="10"/>
        <v>0</v>
      </c>
      <c r="CC19" s="451" t="s">
        <v>2531</v>
      </c>
      <c r="CF19" s="452"/>
      <c r="CG19" s="453" t="b">
        <f t="shared" si="11"/>
        <v>0</v>
      </c>
      <c r="CH19" s="454" t="s">
        <v>7234</v>
      </c>
      <c r="CK19" s="452"/>
      <c r="CL19" s="453" t="b">
        <f t="shared" si="12"/>
        <v>0</v>
      </c>
      <c r="CM19" s="454" t="s">
        <v>7248</v>
      </c>
      <c r="CP19" s="455"/>
      <c r="CQ19" s="456" t="b">
        <f t="shared" si="13"/>
        <v>0</v>
      </c>
      <c r="CR19" s="457" t="s">
        <v>7248</v>
      </c>
    </row>
    <row r="20">
      <c r="A20" s="21"/>
      <c r="B20" s="439"/>
      <c r="C20" s="21"/>
      <c r="D20" s="480" t="b">
        <f t="shared" si="22"/>
        <v>0</v>
      </c>
      <c r="E20" s="481" t="str">
        <f t="array" ref="E20">XLOOKUP(G20,Advancements!$I$2:$I164,Advancements!$C$2:$C164)</f>
        <v/>
      </c>
      <c r="F20" s="481" t="str">
        <f t="array" ref="F20">XLOOKUP(G20,Advancements!$I$2:$I164,Advancements!$H$2:$H164)</f>
        <v/>
      </c>
      <c r="G20" s="482" t="s">
        <v>2016</v>
      </c>
      <c r="H20" s="21"/>
      <c r="I20" s="480" t="b">
        <f t="shared" si="23"/>
        <v>0</v>
      </c>
      <c r="J20" s="481" t="str">
        <f t="array" ref="J20">XLOOKUP(L20,Advancements!$I$2:$I164,Advancements!$C$2:$C164)</f>
        <v/>
      </c>
      <c r="K20" s="481" t="str">
        <f t="array" ref="K20">XLOOKUP(L20,Advancements!$I$2:$I164,Advancements!$H$2:$H164)</f>
        <v/>
      </c>
      <c r="L20" s="482" t="s">
        <v>59</v>
      </c>
      <c r="M20" s="21"/>
      <c r="N20" s="480" t="b">
        <f t="shared" si="24"/>
        <v>0</v>
      </c>
      <c r="O20" s="481" t="str">
        <f t="array" ref="O20">XLOOKUP(Q20,Advancements!$I$2:$I164,Advancements!$C$2:$C164)</f>
        <v/>
      </c>
      <c r="P20" s="481" t="str">
        <f t="array" ref="P20">XLOOKUP(Q20,Advancements!$I$2:$I164,Advancements!$H$2:$H164)</f>
        <v/>
      </c>
      <c r="Q20" s="482" t="s">
        <v>63</v>
      </c>
      <c r="R20" s="21"/>
      <c r="S20" s="480" t="b">
        <f t="shared" si="25"/>
        <v>0</v>
      </c>
      <c r="T20" s="481" t="str">
        <f t="array" ref="T20">XLOOKUP(V20,Advancements!$I$2:$I164,Advancements!$C$2:$C164)</f>
        <v/>
      </c>
      <c r="U20" s="481" t="str">
        <f t="array" ref="U20">XLOOKUP(V20,Advancements!$I$2:$I164,Advancements!$H$2:$H164)</f>
        <v/>
      </c>
      <c r="V20" s="482" t="s">
        <v>63</v>
      </c>
      <c r="W20" s="21"/>
      <c r="X20" s="480" t="b">
        <f t="shared" si="26"/>
        <v>0</v>
      </c>
      <c r="Y20" s="481" t="str">
        <f t="array" ref="Y20">XLOOKUP(AA20,Advancements!$I$2:$I164,Advancements!$C$2:$C164)</f>
        <v/>
      </c>
      <c r="Z20" s="481" t="str">
        <f t="array" ref="Z20">XLOOKUP(AA20,Advancements!$I$2:$I164,Advancements!$H$2:$H164)</f>
        <v/>
      </c>
      <c r="AA20" s="482" t="s">
        <v>63</v>
      </c>
      <c r="AB20" s="21"/>
      <c r="AC20" s="480" t="b">
        <f t="shared" si="27"/>
        <v>0</v>
      </c>
      <c r="AD20" s="481" t="str">
        <f t="array" ref="AD20">XLOOKUP(AF20,Advancements!$I$2:$I164,Advancements!$C$2:$C164)</f>
        <v/>
      </c>
      <c r="AE20" s="481" t="str">
        <f t="array" ref="AE20">XLOOKUP(AF20,Advancements!$I$2:$I164,Advancements!$H$2:$H164)</f>
        <v/>
      </c>
      <c r="AF20" s="482" t="s">
        <v>63</v>
      </c>
      <c r="AH20" s="443" t="str">
        <f t="shared" si="1"/>
        <v/>
      </c>
      <c r="AI20" s="420" t="b">
        <v>0</v>
      </c>
      <c r="AJ20" s="444" t="s">
        <v>7234</v>
      </c>
      <c r="AM20" s="445"/>
      <c r="AN20" s="423" t="b">
        <f t="shared" si="2"/>
        <v>0</v>
      </c>
      <c r="AO20" s="446" t="s">
        <v>7213</v>
      </c>
      <c r="AR20" s="447"/>
      <c r="AS20" s="423" t="b">
        <f t="shared" si="3"/>
        <v>0</v>
      </c>
      <c r="AT20" s="448" t="s">
        <v>7213</v>
      </c>
      <c r="AW20" s="447"/>
      <c r="AX20" s="423" t="b">
        <f t="shared" si="4"/>
        <v>0</v>
      </c>
      <c r="AY20" s="448" t="s">
        <v>7213</v>
      </c>
      <c r="BB20" s="447"/>
      <c r="BC20" s="423" t="b">
        <f t="shared" si="5"/>
        <v>0</v>
      </c>
      <c r="BD20" s="448" t="s">
        <v>7213</v>
      </c>
      <c r="BG20" s="447"/>
      <c r="BH20" s="423" t="b">
        <f t="shared" si="6"/>
        <v>0</v>
      </c>
      <c r="BI20" s="448" t="s">
        <v>7213</v>
      </c>
      <c r="BL20" s="447"/>
      <c r="BM20" s="423" t="b">
        <f t="shared" si="7"/>
        <v>0</v>
      </c>
      <c r="BN20" s="448" t="s">
        <v>7234</v>
      </c>
      <c r="BQ20" s="450"/>
      <c r="BR20" s="420" t="b">
        <f t="shared" si="8"/>
        <v>0</v>
      </c>
      <c r="BS20" s="451" t="s">
        <v>2531</v>
      </c>
      <c r="BV20" s="450"/>
      <c r="BW20" s="420" t="b">
        <f t="shared" si="9"/>
        <v>0</v>
      </c>
      <c r="BX20" s="451" t="s">
        <v>2531</v>
      </c>
      <c r="CA20" s="450"/>
      <c r="CB20" s="420" t="b">
        <f t="shared" si="10"/>
        <v>0</v>
      </c>
      <c r="CC20" s="451" t="s">
        <v>7215</v>
      </c>
      <c r="CF20" s="452"/>
      <c r="CG20" s="453" t="b">
        <f t="shared" si="11"/>
        <v>0</v>
      </c>
      <c r="CH20" s="454" t="s">
        <v>7207</v>
      </c>
      <c r="CK20" s="452"/>
      <c r="CL20" s="453" t="b">
        <f t="shared" si="12"/>
        <v>0</v>
      </c>
      <c r="CM20" s="454" t="s">
        <v>7249</v>
      </c>
      <c r="CP20" s="455"/>
      <c r="CQ20" s="456" t="b">
        <f t="shared" si="13"/>
        <v>0</v>
      </c>
      <c r="CR20" s="457" t="s">
        <v>7249</v>
      </c>
    </row>
    <row r="21">
      <c r="A21" s="21"/>
      <c r="B21" s="439"/>
      <c r="C21" s="21"/>
      <c r="D21" s="480" t="b">
        <f t="shared" si="22"/>
        <v>0</v>
      </c>
      <c r="E21" s="481" t="str">
        <f t="array" ref="E21">XLOOKUP(G21,Advancements!$I$2:$I164,Advancements!$C$2:$C164)</f>
        <v/>
      </c>
      <c r="F21" s="481" t="str">
        <f t="array" ref="F21">XLOOKUP(G21,Advancements!$I$2:$I164,Advancements!$H$2:$H164)</f>
        <v/>
      </c>
      <c r="G21" s="482" t="s">
        <v>55</v>
      </c>
      <c r="H21" s="21"/>
      <c r="I21" s="480" t="b">
        <f t="shared" si="23"/>
        <v>0</v>
      </c>
      <c r="J21" s="481" t="str">
        <f t="array" ref="J21">XLOOKUP(L21,Advancements!$I$2:$I164,Advancements!$C$2:$C164)</f>
        <v/>
      </c>
      <c r="K21" s="481" t="str">
        <f t="array" ref="K21">XLOOKUP(L21,Advancements!$I$2:$I164,Advancements!$H$2:$H164)</f>
        <v/>
      </c>
      <c r="L21" s="482" t="s">
        <v>55</v>
      </c>
      <c r="M21" s="21"/>
      <c r="N21" s="480" t="b">
        <f t="shared" si="24"/>
        <v>0</v>
      </c>
      <c r="O21" s="481" t="str">
        <f t="array" ref="O21">XLOOKUP(Q21,Advancements!$I$2:$I164,Advancements!$C$2:$C164)</f>
        <v/>
      </c>
      <c r="P21" s="481" t="str">
        <f t="array" ref="P21">XLOOKUP(Q21,Advancements!$I$2:$I164,Advancements!$H$2:$H164)</f>
        <v/>
      </c>
      <c r="Q21" s="482" t="s">
        <v>2711</v>
      </c>
      <c r="R21" s="21"/>
      <c r="S21" s="480" t="b">
        <f t="shared" si="25"/>
        <v>0</v>
      </c>
      <c r="T21" s="481" t="str">
        <f t="array" ref="T21">XLOOKUP(V21,Advancements!$I$2:$I164,Advancements!$C$2:$C164)</f>
        <v/>
      </c>
      <c r="U21" s="481" t="str">
        <f t="array" ref="U21">XLOOKUP(V21,Advancements!$I$2:$I164,Advancements!$H$2:$H164)</f>
        <v/>
      </c>
      <c r="V21" s="482" t="s">
        <v>2711</v>
      </c>
      <c r="W21" s="21"/>
      <c r="X21" s="480" t="b">
        <f t="shared" si="26"/>
        <v>0</v>
      </c>
      <c r="Y21" s="481" t="str">
        <f t="array" ref="Y21">XLOOKUP(AA21,Advancements!$I$2:$I164,Advancements!$C$2:$C164)</f>
        <v/>
      </c>
      <c r="Z21" s="481" t="str">
        <f t="array" ref="Z21">XLOOKUP(AA21,Advancements!$I$2:$I164,Advancements!$H$2:$H164)</f>
        <v/>
      </c>
      <c r="AA21" s="482" t="s">
        <v>2738</v>
      </c>
      <c r="AB21" s="21"/>
      <c r="AC21" s="480" t="b">
        <f t="shared" si="27"/>
        <v>0</v>
      </c>
      <c r="AD21" s="481" t="str">
        <f t="array" ref="AD21">XLOOKUP(AF21,Advancements!$I$2:$I164,Advancements!$C$2:$C164)</f>
        <v/>
      </c>
      <c r="AE21" s="481" t="str">
        <f t="array" ref="AE21">XLOOKUP(AF21,Advancements!$I$2:$I164,Advancements!$H$2:$H164)</f>
        <v/>
      </c>
      <c r="AF21" s="482" t="s">
        <v>2738</v>
      </c>
      <c r="AH21" s="443" t="str">
        <f t="shared" si="1"/>
        <v/>
      </c>
      <c r="AI21" s="420" t="b">
        <v>0</v>
      </c>
      <c r="AJ21" s="483" t="s">
        <v>7207</v>
      </c>
      <c r="AM21" s="445"/>
      <c r="AN21" s="423" t="b">
        <f t="shared" si="2"/>
        <v>0</v>
      </c>
      <c r="AO21" s="446" t="s">
        <v>7208</v>
      </c>
      <c r="AR21" s="447"/>
      <c r="AS21" s="423" t="b">
        <f t="shared" si="3"/>
        <v>0</v>
      </c>
      <c r="AT21" s="448" t="s">
        <v>7208</v>
      </c>
      <c r="AW21" s="447"/>
      <c r="AX21" s="423" t="b">
        <f t="shared" si="4"/>
        <v>0</v>
      </c>
      <c r="AY21" s="448" t="s">
        <v>7208</v>
      </c>
      <c r="BB21" s="447"/>
      <c r="BC21" s="423" t="b">
        <f t="shared" si="5"/>
        <v>0</v>
      </c>
      <c r="BD21" s="448" t="s">
        <v>7208</v>
      </c>
      <c r="BG21" s="447"/>
      <c r="BH21" s="423" t="b">
        <f t="shared" si="6"/>
        <v>0</v>
      </c>
      <c r="BI21" s="448" t="s">
        <v>7208</v>
      </c>
      <c r="BL21" s="447"/>
      <c r="BM21" s="423" t="b">
        <f t="shared" si="7"/>
        <v>0</v>
      </c>
      <c r="BN21" s="448" t="s">
        <v>7223</v>
      </c>
      <c r="BQ21" s="450"/>
      <c r="BR21" s="420" t="b">
        <f t="shared" si="8"/>
        <v>0</v>
      </c>
      <c r="BS21" s="451" t="s">
        <v>7215</v>
      </c>
      <c r="BV21" s="450"/>
      <c r="BW21" s="420" t="b">
        <f t="shared" si="9"/>
        <v>0</v>
      </c>
      <c r="BX21" s="451" t="s">
        <v>7215</v>
      </c>
      <c r="CA21" s="450"/>
      <c r="CB21" s="420" t="b">
        <f t="shared" si="10"/>
        <v>0</v>
      </c>
      <c r="CC21" s="451" t="s">
        <v>7217</v>
      </c>
      <c r="CF21" s="452"/>
      <c r="CG21" s="453" t="b">
        <f t="shared" si="11"/>
        <v>0</v>
      </c>
      <c r="CH21" s="454" t="s">
        <v>7246</v>
      </c>
      <c r="CK21" s="452"/>
      <c r="CL21" s="453" t="b">
        <f t="shared" si="12"/>
        <v>0</v>
      </c>
      <c r="CM21" s="454" t="s">
        <v>7250</v>
      </c>
      <c r="CP21" s="455"/>
      <c r="CQ21" s="456" t="b">
        <f t="shared" si="13"/>
        <v>0</v>
      </c>
      <c r="CR21" s="457" t="s">
        <v>7250</v>
      </c>
    </row>
    <row r="22">
      <c r="A22" s="21"/>
      <c r="B22" s="439"/>
      <c r="C22" s="21"/>
      <c r="D22" s="480" t="b">
        <f t="shared" si="22"/>
        <v>0</v>
      </c>
      <c r="E22" s="481" t="str">
        <f t="array" ref="E22">XLOOKUP(G22,Advancements!$I$2:$I164,Advancements!$C$2:$C164)</f>
        <v/>
      </c>
      <c r="F22" s="481" t="str">
        <f t="array" ref="F22">XLOOKUP(G22,Advancements!$I$2:$I164,Advancements!$H$2:$H164)</f>
        <v/>
      </c>
      <c r="G22" s="482" t="s">
        <v>67</v>
      </c>
      <c r="H22" s="21"/>
      <c r="I22" s="480" t="b">
        <f t="shared" si="23"/>
        <v>0</v>
      </c>
      <c r="J22" s="481" t="str">
        <f t="array" ref="J22">XLOOKUP(L22,Advancements!$I$2:$I164,Advancements!$C$2:$C164)</f>
        <v/>
      </c>
      <c r="K22" s="481" t="str">
        <f t="array" ref="K22">XLOOKUP(L22,Advancements!$I$2:$I164,Advancements!$H$2:$H164)</f>
        <v/>
      </c>
      <c r="L22" s="482" t="s">
        <v>67</v>
      </c>
      <c r="M22" s="21"/>
      <c r="N22" s="480" t="b">
        <f t="shared" si="24"/>
        <v>0</v>
      </c>
      <c r="O22" s="481" t="str">
        <f t="array" ref="O22">XLOOKUP(Q22,Advancements!$I$2:$I164,Advancements!$C$2:$C164)</f>
        <v/>
      </c>
      <c r="P22" s="481" t="str">
        <f t="array" ref="P22">XLOOKUP(Q22,Advancements!$I$2:$I164,Advancements!$H$2:$H164)</f>
        <v/>
      </c>
      <c r="Q22" s="482" t="s">
        <v>2738</v>
      </c>
      <c r="R22" s="21"/>
      <c r="S22" s="480" t="b">
        <f t="shared" si="25"/>
        <v>0</v>
      </c>
      <c r="T22" s="481" t="str">
        <f t="array" ref="T22">XLOOKUP(V22,Advancements!$I$2:$I164,Advancements!$C$2:$C164)</f>
        <v/>
      </c>
      <c r="U22" s="481" t="str">
        <f t="array" ref="U22">XLOOKUP(V22,Advancements!$I$2:$I164,Advancements!$H$2:$H164)</f>
        <v/>
      </c>
      <c r="V22" s="482" t="s">
        <v>2738</v>
      </c>
      <c r="W22" s="21"/>
      <c r="X22" s="480" t="b">
        <f t="shared" si="26"/>
        <v>0</v>
      </c>
      <c r="Y22" s="481" t="str">
        <f t="array" ref="Y22">XLOOKUP(AA22,Advancements!$I$2:$I164,Advancements!$C$2:$C164)</f>
        <v/>
      </c>
      <c r="Z22" s="481" t="str">
        <f t="array" ref="Z22">XLOOKUP(AA22,Advancements!$I$2:$I164,Advancements!$H$2:$H164)</f>
        <v/>
      </c>
      <c r="AA22" s="482" t="s">
        <v>59</v>
      </c>
      <c r="AB22" s="21"/>
      <c r="AC22" s="480" t="b">
        <f t="shared" si="27"/>
        <v>0</v>
      </c>
      <c r="AD22" s="481" t="str">
        <f t="array" ref="AD22">XLOOKUP(AF22,Advancements!$I$2:$I164,Advancements!$C$2:$C164)</f>
        <v/>
      </c>
      <c r="AE22" s="481" t="str">
        <f t="array" ref="AE22">XLOOKUP(AF22,Advancements!$I$2:$I164,Advancements!$H$2:$H164)</f>
        <v/>
      </c>
      <c r="AF22" s="482" t="s">
        <v>59</v>
      </c>
      <c r="AH22" s="443" t="str">
        <f t="shared" si="1"/>
        <v/>
      </c>
      <c r="AI22" s="420" t="b">
        <v>0</v>
      </c>
      <c r="AJ22" s="444" t="s">
        <v>7246</v>
      </c>
      <c r="AM22" s="445"/>
      <c r="AN22" s="423" t="b">
        <f t="shared" si="2"/>
        <v>0</v>
      </c>
      <c r="AO22" s="446" t="s">
        <v>7225</v>
      </c>
      <c r="AR22" s="447"/>
      <c r="AS22" s="423" t="b">
        <f t="shared" si="3"/>
        <v>0</v>
      </c>
      <c r="AT22" s="448" t="s">
        <v>7225</v>
      </c>
      <c r="AW22" s="447"/>
      <c r="AX22" s="423" t="b">
        <f t="shared" si="4"/>
        <v>0</v>
      </c>
      <c r="AY22" s="448" t="s">
        <v>7225</v>
      </c>
      <c r="BB22" s="447"/>
      <c r="BC22" s="423" t="b">
        <f t="shared" si="5"/>
        <v>0</v>
      </c>
      <c r="BD22" s="448" t="s">
        <v>7225</v>
      </c>
      <c r="BG22" s="447"/>
      <c r="BH22" s="423" t="b">
        <f t="shared" si="6"/>
        <v>0</v>
      </c>
      <c r="BI22" s="448" t="s">
        <v>7225</v>
      </c>
      <c r="BL22" s="447"/>
      <c r="BM22" s="423" t="b">
        <f t="shared" si="7"/>
        <v>0</v>
      </c>
      <c r="BN22" s="448" t="s">
        <v>7207</v>
      </c>
      <c r="BQ22" s="450"/>
      <c r="BR22" s="420" t="b">
        <f t="shared" si="8"/>
        <v>0</v>
      </c>
      <c r="BS22" s="451" t="s">
        <v>7217</v>
      </c>
      <c r="BV22" s="450"/>
      <c r="BW22" s="420" t="b">
        <f t="shared" si="9"/>
        <v>0</v>
      </c>
      <c r="BX22" s="451" t="s">
        <v>7217</v>
      </c>
      <c r="CA22" s="450"/>
      <c r="CB22" s="420" t="b">
        <f t="shared" si="10"/>
        <v>0</v>
      </c>
      <c r="CC22" s="451" t="s">
        <v>7251</v>
      </c>
      <c r="CF22" s="452"/>
      <c r="CG22" s="453" t="b">
        <f t="shared" si="11"/>
        <v>0</v>
      </c>
      <c r="CH22" s="454" t="s">
        <v>7252</v>
      </c>
      <c r="CK22" s="452"/>
      <c r="CL22" s="453" t="b">
        <f t="shared" si="12"/>
        <v>0</v>
      </c>
      <c r="CM22" s="454" t="s">
        <v>7253</v>
      </c>
      <c r="CP22" s="455"/>
      <c r="CQ22" s="456" t="b">
        <f t="shared" si="13"/>
        <v>0</v>
      </c>
      <c r="CR22" s="457" t="s">
        <v>7253</v>
      </c>
    </row>
    <row r="23">
      <c r="A23" s="21"/>
      <c r="B23" s="439"/>
      <c r="C23" s="21"/>
      <c r="D23" s="484" t="b">
        <f t="shared" si="22"/>
        <v>0</v>
      </c>
      <c r="E23" s="485" t="str">
        <f t="array" ref="E23">XLOOKUP(G23,Advancements!$I$2:$I164,Advancements!$C$2:$C164)</f>
        <v/>
      </c>
      <c r="F23" s="485" t="str">
        <f t="array" ref="F23">XLOOKUP(G23,Advancements!$I$2:$I164,Advancements!$H$2:$H164)</f>
        <v/>
      </c>
      <c r="G23" s="486" t="s">
        <v>4846</v>
      </c>
      <c r="H23" s="21"/>
      <c r="I23" s="480" t="b">
        <f t="shared" si="23"/>
        <v>0</v>
      </c>
      <c r="J23" s="481" t="str">
        <f t="array" ref="J23">XLOOKUP(L23,Advancements!$I$2:$I164,Advancements!$C$2:$C164)</f>
        <v/>
      </c>
      <c r="K23" s="481" t="str">
        <f t="array" ref="K23">XLOOKUP(L23,Advancements!$I$2:$I164,Advancements!$H$2:$H164)</f>
        <v/>
      </c>
      <c r="L23" s="482" t="s">
        <v>36</v>
      </c>
      <c r="M23" s="21"/>
      <c r="N23" s="480" t="b">
        <f t="shared" si="24"/>
        <v>0</v>
      </c>
      <c r="O23" s="481" t="str">
        <f t="array" ref="O23">XLOOKUP(Q23,Advancements!$I$2:$I164,Advancements!$C$2:$C164)</f>
        <v/>
      </c>
      <c r="P23" s="481" t="str">
        <f t="array" ref="P23">XLOOKUP(Q23,Advancements!$I$2:$I164,Advancements!$H$2:$H164)</f>
        <v/>
      </c>
      <c r="Q23" s="482" t="s">
        <v>59</v>
      </c>
      <c r="R23" s="21"/>
      <c r="S23" s="480" t="b">
        <f t="shared" si="25"/>
        <v>0</v>
      </c>
      <c r="T23" s="481" t="str">
        <f t="array" ref="T23">XLOOKUP(V23,Advancements!$I$2:$I164,Advancements!$C$2:$C164)</f>
        <v/>
      </c>
      <c r="U23" s="481" t="str">
        <f t="array" ref="U23">XLOOKUP(V23,Advancements!$I$2:$I164,Advancements!$H$2:$H164)</f>
        <v/>
      </c>
      <c r="V23" s="482" t="s">
        <v>59</v>
      </c>
      <c r="W23" s="21"/>
      <c r="X23" s="480" t="b">
        <f t="shared" si="26"/>
        <v>0</v>
      </c>
      <c r="Y23" s="481" t="str">
        <f t="array" ref="Y23">XLOOKUP(AA23,Advancements!$I$2:$I164,Advancements!$C$2:$C164)</f>
        <v/>
      </c>
      <c r="Z23" s="481" t="str">
        <f t="array" ref="Z23">XLOOKUP(AA23,Advancements!$I$2:$I164,Advancements!$H$2:$H164)</f>
        <v/>
      </c>
      <c r="AA23" s="482" t="s">
        <v>55</v>
      </c>
      <c r="AB23" s="21"/>
      <c r="AC23" s="480" t="b">
        <f t="shared" si="27"/>
        <v>0</v>
      </c>
      <c r="AD23" s="481" t="str">
        <f t="array" ref="AD23">XLOOKUP(AF23,Advancements!$I$2:$I164,Advancements!$C$2:$C164)</f>
        <v/>
      </c>
      <c r="AE23" s="481" t="str">
        <f t="array" ref="AE23">XLOOKUP(AF23,Advancements!$I$2:$I164,Advancements!$H$2:$H164)</f>
        <v/>
      </c>
      <c r="AF23" s="482" t="s">
        <v>55</v>
      </c>
      <c r="AH23" s="443" t="str">
        <f t="shared" si="1"/>
        <v/>
      </c>
      <c r="AI23" s="420" t="b">
        <v>0</v>
      </c>
      <c r="AJ23" s="444" t="s">
        <v>7248</v>
      </c>
      <c r="AM23" s="445"/>
      <c r="AN23" s="423" t="b">
        <f t="shared" si="2"/>
        <v>0</v>
      </c>
      <c r="AO23" s="446" t="s">
        <v>7212</v>
      </c>
      <c r="AR23" s="447"/>
      <c r="AS23" s="423" t="b">
        <f t="shared" si="3"/>
        <v>0</v>
      </c>
      <c r="AT23" s="448" t="s">
        <v>7212</v>
      </c>
      <c r="AW23" s="447"/>
      <c r="AX23" s="423" t="b">
        <f t="shared" si="4"/>
        <v>0</v>
      </c>
      <c r="AY23" s="448" t="s">
        <v>7212</v>
      </c>
      <c r="BB23" s="447"/>
      <c r="BC23" s="423" t="b">
        <f t="shared" si="5"/>
        <v>0</v>
      </c>
      <c r="BD23" s="448" t="s">
        <v>7212</v>
      </c>
      <c r="BG23" s="447"/>
      <c r="BH23" s="423" t="b">
        <f t="shared" si="6"/>
        <v>0</v>
      </c>
      <c r="BI23" s="448" t="s">
        <v>7212</v>
      </c>
      <c r="BL23" s="447"/>
      <c r="BM23" s="423" t="b">
        <f t="shared" si="7"/>
        <v>0</v>
      </c>
      <c r="BN23" s="448" t="s">
        <v>7244</v>
      </c>
      <c r="BQ23" s="450"/>
      <c r="BR23" s="420" t="b">
        <f t="shared" si="8"/>
        <v>0</v>
      </c>
      <c r="BS23" s="451" t="s">
        <v>7251</v>
      </c>
      <c r="BV23" s="450"/>
      <c r="BW23" s="420" t="b">
        <f t="shared" si="9"/>
        <v>0</v>
      </c>
      <c r="BX23" s="451" t="s">
        <v>7251</v>
      </c>
      <c r="CA23" s="450"/>
      <c r="CB23" s="420" t="b">
        <f t="shared" si="10"/>
        <v>0</v>
      </c>
      <c r="CC23" s="451" t="s">
        <v>7254</v>
      </c>
      <c r="CF23" s="452"/>
      <c r="CG23" s="453" t="b">
        <f t="shared" si="11"/>
        <v>0</v>
      </c>
      <c r="CH23" s="454" t="s">
        <v>7248</v>
      </c>
      <c r="CK23" s="452"/>
      <c r="CL23" s="453" t="b">
        <f t="shared" si="12"/>
        <v>0</v>
      </c>
      <c r="CM23" s="454" t="s">
        <v>7255</v>
      </c>
      <c r="CP23" s="455"/>
      <c r="CQ23" s="456" t="b">
        <f t="shared" si="13"/>
        <v>0</v>
      </c>
      <c r="CR23" s="457" t="s">
        <v>7255</v>
      </c>
    </row>
    <row r="24">
      <c r="A24" s="21"/>
      <c r="B24" s="439"/>
      <c r="C24" s="21"/>
      <c r="D24" s="21"/>
      <c r="E24" s="21"/>
      <c r="F24" s="21"/>
      <c r="G24" s="21"/>
      <c r="H24" s="21"/>
      <c r="I24" s="487" t="b">
        <f t="shared" si="23"/>
        <v>0</v>
      </c>
      <c r="J24" s="485" t="str">
        <f t="array" ref="J24">XLOOKUP(L24,Advancements!$I$2:$I164,Advancements!$C$2:$C164)</f>
        <v/>
      </c>
      <c r="K24" s="485" t="str">
        <f t="array" ref="K24">XLOOKUP(L24,Advancements!$I$2:$I164,Advancements!$H$2:$H164)</f>
        <v/>
      </c>
      <c r="L24" s="486" t="s">
        <v>4846</v>
      </c>
      <c r="M24" s="21"/>
      <c r="N24" s="480" t="b">
        <f t="shared" si="24"/>
        <v>0</v>
      </c>
      <c r="O24" s="481" t="str">
        <f t="array" ref="O24">XLOOKUP(Q24,Advancements!$I$2:$I164,Advancements!$C$2:$C164)</f>
        <v/>
      </c>
      <c r="P24" s="481" t="str">
        <f t="array" ref="P24">XLOOKUP(Q24,Advancements!$I$2:$I164,Advancements!$H$2:$H164)</f>
        <v/>
      </c>
      <c r="Q24" s="482" t="s">
        <v>55</v>
      </c>
      <c r="R24" s="21"/>
      <c r="S24" s="480" t="b">
        <f t="shared" si="25"/>
        <v>0</v>
      </c>
      <c r="T24" s="481" t="str">
        <f t="array" ref="T24">XLOOKUP(V24,Advancements!$I$2:$I164,Advancements!$C$2:$C164)</f>
        <v/>
      </c>
      <c r="U24" s="481" t="str">
        <f t="array" ref="U24">XLOOKUP(V24,Advancements!$I$2:$I164,Advancements!$H$2:$H164)</f>
        <v/>
      </c>
      <c r="V24" s="482" t="s">
        <v>55</v>
      </c>
      <c r="W24" s="21"/>
      <c r="X24" s="480" t="b">
        <f t="shared" si="26"/>
        <v>0</v>
      </c>
      <c r="Y24" s="481" t="str">
        <f t="array" ref="Y24">XLOOKUP(AA24,Advancements!$I$2:$I164,Advancements!$C$2:$C164)</f>
        <v/>
      </c>
      <c r="Z24" s="481" t="str">
        <f t="array" ref="Z24">XLOOKUP(AA24,Advancements!$I$2:$I164,Advancements!$H$2:$H164)</f>
        <v/>
      </c>
      <c r="AA24" s="482" t="s">
        <v>67</v>
      </c>
      <c r="AB24" s="21"/>
      <c r="AC24" s="480" t="b">
        <f t="shared" si="27"/>
        <v>0</v>
      </c>
      <c r="AD24" s="481" t="str">
        <f t="array" ref="AD24">XLOOKUP(AF24,Advancements!$I$2:$I164,Advancements!$C$2:$C164)</f>
        <v/>
      </c>
      <c r="AE24" s="481" t="str">
        <f t="array" ref="AE24">XLOOKUP(AF24,Advancements!$I$2:$I164,Advancements!$H$2:$H164)</f>
        <v/>
      </c>
      <c r="AF24" s="482" t="s">
        <v>67</v>
      </c>
      <c r="AH24" s="443" t="str">
        <f t="shared" si="1"/>
        <v/>
      </c>
      <c r="AI24" s="420" t="b">
        <v>0</v>
      </c>
      <c r="AJ24" s="444" t="s">
        <v>7249</v>
      </c>
      <c r="AM24" s="445"/>
      <c r="AN24" s="423" t="b">
        <f t="shared" si="2"/>
        <v>0</v>
      </c>
      <c r="AO24" s="446" t="s">
        <v>7227</v>
      </c>
      <c r="AR24" s="447"/>
      <c r="AS24" s="423" t="b">
        <f t="shared" si="3"/>
        <v>0</v>
      </c>
      <c r="AT24" s="448" t="s">
        <v>7224</v>
      </c>
      <c r="AW24" s="447"/>
      <c r="AX24" s="423" t="b">
        <f t="shared" si="4"/>
        <v>0</v>
      </c>
      <c r="AY24" s="448" t="s">
        <v>7224</v>
      </c>
      <c r="BB24" s="447"/>
      <c r="BC24" s="423" t="b">
        <f t="shared" si="5"/>
        <v>0</v>
      </c>
      <c r="BD24" s="448" t="s">
        <v>7219</v>
      </c>
      <c r="BG24" s="447"/>
      <c r="BH24" s="423" t="b">
        <f t="shared" si="6"/>
        <v>0</v>
      </c>
      <c r="BI24" s="448" t="s">
        <v>7220</v>
      </c>
      <c r="BL24" s="447"/>
      <c r="BM24" s="423" t="b">
        <f t="shared" si="7"/>
        <v>0</v>
      </c>
      <c r="BN24" s="448" t="s">
        <v>7252</v>
      </c>
      <c r="BQ24" s="450"/>
      <c r="BR24" s="420" t="b">
        <f t="shared" si="8"/>
        <v>0</v>
      </c>
      <c r="BS24" s="451" t="s">
        <v>7254</v>
      </c>
      <c r="BV24" s="450"/>
      <c r="BW24" s="420" t="b">
        <f t="shared" si="9"/>
        <v>0</v>
      </c>
      <c r="BX24" s="451" t="s">
        <v>7254</v>
      </c>
      <c r="CA24" s="450"/>
      <c r="CB24" s="420" t="b">
        <f t="shared" si="10"/>
        <v>0</v>
      </c>
      <c r="CC24" s="451" t="s">
        <v>7256</v>
      </c>
      <c r="CF24" s="452"/>
      <c r="CG24" s="453" t="b">
        <f t="shared" si="11"/>
        <v>0</v>
      </c>
      <c r="CH24" s="454" t="s">
        <v>7249</v>
      </c>
      <c r="CK24" s="452"/>
      <c r="CL24" s="453" t="b">
        <f t="shared" si="12"/>
        <v>0</v>
      </c>
      <c r="CM24" s="454" t="s">
        <v>7257</v>
      </c>
      <c r="CP24" s="455"/>
      <c r="CQ24" s="456" t="b">
        <f t="shared" si="13"/>
        <v>0</v>
      </c>
      <c r="CR24" s="457" t="s">
        <v>7258</v>
      </c>
    </row>
    <row r="25">
      <c r="A25" s="21"/>
      <c r="B25" s="439"/>
      <c r="C25" s="21"/>
      <c r="D25" s="21"/>
      <c r="E25" s="21"/>
      <c r="F25" s="21"/>
      <c r="G25" s="21"/>
      <c r="H25" s="21"/>
      <c r="I25" s="21"/>
      <c r="J25" s="21"/>
      <c r="K25" s="21"/>
      <c r="L25" s="21"/>
      <c r="M25" s="21"/>
      <c r="N25" s="480" t="b">
        <f t="shared" si="24"/>
        <v>0</v>
      </c>
      <c r="O25" s="481" t="str">
        <f t="array" ref="O25">XLOOKUP(Q25,Advancements!$I$2:$I164,Advancements!$C$2:$C164)</f>
        <v/>
      </c>
      <c r="P25" s="481" t="str">
        <f t="array" ref="P25">XLOOKUP(Q25,Advancements!$I$2:$I164,Advancements!$H$2:$H164)</f>
        <v/>
      </c>
      <c r="Q25" s="482" t="s">
        <v>67</v>
      </c>
      <c r="R25" s="21"/>
      <c r="S25" s="480" t="b">
        <f t="shared" si="25"/>
        <v>0</v>
      </c>
      <c r="T25" s="481" t="str">
        <f t="array" ref="T25">XLOOKUP(V25,Advancements!$I$2:$I164,Advancements!$C$2:$C164)</f>
        <v/>
      </c>
      <c r="U25" s="481" t="str">
        <f t="array" ref="U25">XLOOKUP(V25,Advancements!$I$2:$I164,Advancements!$H$2:$H164)</f>
        <v/>
      </c>
      <c r="V25" s="482" t="s">
        <v>67</v>
      </c>
      <c r="W25" s="21"/>
      <c r="X25" s="480" t="b">
        <f t="shared" si="26"/>
        <v>0</v>
      </c>
      <c r="Y25" s="481" t="str">
        <f t="array" ref="Y25">XLOOKUP(AA25,Advancements!$I$2:$I164,Advancements!$C$2:$C164)</f>
        <v/>
      </c>
      <c r="Z25" s="481" t="str">
        <f t="array" ref="Z25">XLOOKUP(AA25,Advancements!$I$2:$I164,Advancements!$H$2:$H164)</f>
        <v/>
      </c>
      <c r="AA25" s="482" t="s">
        <v>36</v>
      </c>
      <c r="AB25" s="21"/>
      <c r="AC25" s="480" t="b">
        <f t="shared" si="27"/>
        <v>0</v>
      </c>
      <c r="AD25" s="481" t="str">
        <f t="array" ref="AD25">XLOOKUP(AF25,Advancements!$I$2:$I164,Advancements!$C$2:$C164)</f>
        <v/>
      </c>
      <c r="AE25" s="481" t="str">
        <f t="array" ref="AE25">XLOOKUP(AF25,Advancements!$I$2:$I164,Advancements!$H$2:$H164)</f>
        <v/>
      </c>
      <c r="AF25" s="482" t="s">
        <v>36</v>
      </c>
      <c r="AH25" s="443" t="str">
        <f t="shared" si="1"/>
        <v/>
      </c>
      <c r="AI25" s="420" t="b">
        <v>0</v>
      </c>
      <c r="AJ25" s="444" t="s">
        <v>7250</v>
      </c>
      <c r="AM25" s="445"/>
      <c r="AN25" s="423" t="b">
        <f t="shared" si="2"/>
        <v>0</v>
      </c>
      <c r="AO25" s="446" t="s">
        <v>7220</v>
      </c>
      <c r="AR25" s="447"/>
      <c r="AS25" s="423" t="b">
        <f t="shared" si="3"/>
        <v>0</v>
      </c>
      <c r="AT25" s="448" t="s">
        <v>7228</v>
      </c>
      <c r="AW25" s="447"/>
      <c r="AX25" s="423" t="b">
        <f t="shared" si="4"/>
        <v>0</v>
      </c>
      <c r="AY25" s="448" t="s">
        <v>7228</v>
      </c>
      <c r="BB25" s="447"/>
      <c r="BC25" s="423" t="b">
        <f t="shared" si="5"/>
        <v>0</v>
      </c>
      <c r="BD25" s="448" t="s">
        <v>7224</v>
      </c>
      <c r="BG25" s="447"/>
      <c r="BH25" s="423" t="b">
        <f t="shared" si="6"/>
        <v>0</v>
      </c>
      <c r="BI25" s="448" t="s">
        <v>7219</v>
      </c>
      <c r="BL25" s="447"/>
      <c r="BM25" s="423" t="b">
        <f t="shared" si="7"/>
        <v>0</v>
      </c>
      <c r="BN25" s="448" t="s">
        <v>7248</v>
      </c>
      <c r="BQ25" s="450"/>
      <c r="BR25" s="420" t="b">
        <f t="shared" si="8"/>
        <v>0</v>
      </c>
      <c r="BS25" s="451" t="s">
        <v>7256</v>
      </c>
      <c r="BV25" s="450"/>
      <c r="BW25" s="420" t="b">
        <f t="shared" si="9"/>
        <v>0</v>
      </c>
      <c r="BX25" s="451" t="s">
        <v>7256</v>
      </c>
      <c r="CA25" s="450"/>
      <c r="CB25" s="420" t="b">
        <f t="shared" si="10"/>
        <v>0</v>
      </c>
      <c r="CC25" s="451" t="s">
        <v>7259</v>
      </c>
      <c r="CF25" s="452"/>
      <c r="CG25" s="453" t="b">
        <f t="shared" si="11"/>
        <v>0</v>
      </c>
      <c r="CH25" s="454" t="s">
        <v>7250</v>
      </c>
      <c r="CK25" s="452"/>
      <c r="CL25" s="453" t="b">
        <f t="shared" si="12"/>
        <v>0</v>
      </c>
      <c r="CM25" s="454" t="s">
        <v>6687</v>
      </c>
      <c r="CP25" s="455"/>
      <c r="CQ25" s="456" t="b">
        <f t="shared" si="13"/>
        <v>0</v>
      </c>
      <c r="CR25" s="457" t="s">
        <v>7257</v>
      </c>
    </row>
    <row r="26">
      <c r="A26" s="21"/>
      <c r="B26" s="439"/>
      <c r="C26" s="21"/>
      <c r="D26" s="21"/>
      <c r="E26" s="21"/>
      <c r="F26" s="21"/>
      <c r="G26" s="21"/>
      <c r="H26" s="21"/>
      <c r="I26" s="466"/>
      <c r="J26" s="21"/>
      <c r="K26" s="21"/>
      <c r="L26" s="21"/>
      <c r="M26" s="21"/>
      <c r="N26" s="480" t="b">
        <f t="shared" si="24"/>
        <v>0</v>
      </c>
      <c r="O26" s="481" t="str">
        <f t="array" ref="O26">XLOOKUP(Q26,Advancements!$I$2:$I164,Advancements!$C$2:$C164)</f>
        <v/>
      </c>
      <c r="P26" s="481" t="str">
        <f t="array" ref="P26">XLOOKUP(Q26,Advancements!$I$2:$I164,Advancements!$H$2:$H164)</f>
        <v/>
      </c>
      <c r="Q26" s="482" t="s">
        <v>36</v>
      </c>
      <c r="R26" s="21"/>
      <c r="S26" s="480" t="b">
        <f t="shared" si="25"/>
        <v>0</v>
      </c>
      <c r="T26" s="481" t="str">
        <f t="array" ref="T26">XLOOKUP(V26,Advancements!$I$2:$I164,Advancements!$C$2:$C164)</f>
        <v/>
      </c>
      <c r="U26" s="481" t="str">
        <f t="array" ref="U26">XLOOKUP(V26,Advancements!$I$2:$I164,Advancements!$H$2:$H164)</f>
        <v/>
      </c>
      <c r="V26" s="482" t="s">
        <v>36</v>
      </c>
      <c r="W26" s="21"/>
      <c r="X26" s="484" t="b">
        <f t="shared" si="26"/>
        <v>0</v>
      </c>
      <c r="Y26" s="485" t="str">
        <f t="array" ref="Y26">XLOOKUP(AA26,Advancements!$I$2:$I164,Advancements!$C$2:$C164)</f>
        <v/>
      </c>
      <c r="Z26" s="485" t="str">
        <f t="array" ref="Z26">XLOOKUP(AA26,Advancements!$I$2:$I164,Advancements!$H$2:$H164)</f>
        <v/>
      </c>
      <c r="AA26" s="486" t="s">
        <v>4846</v>
      </c>
      <c r="AB26" s="21"/>
      <c r="AC26" s="484" t="b">
        <f t="shared" si="27"/>
        <v>0</v>
      </c>
      <c r="AD26" s="485" t="str">
        <f t="array" ref="AD26">XLOOKUP(AF26,Advancements!$I$2:$I164,Advancements!$C$2:$C164)</f>
        <v/>
      </c>
      <c r="AE26" s="485" t="str">
        <f t="array" ref="AE26">XLOOKUP(AF26,Advancements!$I$2:$I164,Advancements!$H$2:$H164)</f>
        <v/>
      </c>
      <c r="AF26" s="486" t="s">
        <v>4846</v>
      </c>
      <c r="AH26" s="443" t="str">
        <f t="shared" si="1"/>
        <v/>
      </c>
      <c r="AI26" s="420" t="b">
        <v>0</v>
      </c>
      <c r="AJ26" s="444" t="s">
        <v>7253</v>
      </c>
      <c r="AM26" s="445"/>
      <c r="AN26" s="423" t="b">
        <f t="shared" si="2"/>
        <v>0</v>
      </c>
      <c r="AO26" s="446" t="s">
        <v>7219</v>
      </c>
      <c r="AR26" s="447"/>
      <c r="AS26" s="423" t="b">
        <f t="shared" si="3"/>
        <v>0</v>
      </c>
      <c r="AT26" s="448" t="s">
        <v>7229</v>
      </c>
      <c r="AW26" s="447"/>
      <c r="AX26" s="423" t="b">
        <f t="shared" si="4"/>
        <v>0</v>
      </c>
      <c r="AY26" s="448" t="s">
        <v>7229</v>
      </c>
      <c r="BB26" s="447"/>
      <c r="BC26" s="423" t="b">
        <f t="shared" si="5"/>
        <v>0</v>
      </c>
      <c r="BD26" s="448" t="s">
        <v>7228</v>
      </c>
      <c r="BG26" s="447"/>
      <c r="BH26" s="423" t="b">
        <f t="shared" si="6"/>
        <v>0</v>
      </c>
      <c r="BI26" s="448" t="s">
        <v>7224</v>
      </c>
      <c r="BL26" s="447"/>
      <c r="BM26" s="423" t="b">
        <f t="shared" si="7"/>
        <v>0</v>
      </c>
      <c r="BN26" s="448" t="s">
        <v>7211</v>
      </c>
      <c r="BQ26" s="450"/>
      <c r="BR26" s="420" t="b">
        <f t="shared" si="8"/>
        <v>0</v>
      </c>
      <c r="BS26" s="451" t="s">
        <v>7259</v>
      </c>
      <c r="BV26" s="450"/>
      <c r="BW26" s="420" t="b">
        <f t="shared" si="9"/>
        <v>0</v>
      </c>
      <c r="BX26" s="451" t="s">
        <v>7259</v>
      </c>
      <c r="CA26" s="450"/>
      <c r="CB26" s="420" t="b">
        <f t="shared" si="10"/>
        <v>0</v>
      </c>
      <c r="CC26" s="451" t="s">
        <v>7222</v>
      </c>
      <c r="CF26" s="452"/>
      <c r="CG26" s="453" t="b">
        <f t="shared" si="11"/>
        <v>0</v>
      </c>
      <c r="CH26" s="454" t="s">
        <v>7253</v>
      </c>
      <c r="CK26" s="452"/>
      <c r="CL26" s="453" t="b">
        <f t="shared" si="12"/>
        <v>0</v>
      </c>
      <c r="CM26" s="454" t="s">
        <v>7260</v>
      </c>
      <c r="CP26" s="455"/>
      <c r="CQ26" s="456" t="b">
        <f t="shared" si="13"/>
        <v>0</v>
      </c>
      <c r="CR26" s="457" t="s">
        <v>7261</v>
      </c>
    </row>
    <row r="27">
      <c r="A27" s="21"/>
      <c r="B27" s="468"/>
      <c r="C27" s="21"/>
      <c r="D27" s="21"/>
      <c r="E27" s="21"/>
      <c r="F27" s="21"/>
      <c r="G27" s="21"/>
      <c r="H27" s="21"/>
      <c r="I27" s="21"/>
      <c r="J27" s="21"/>
      <c r="K27" s="21"/>
      <c r="L27" s="21"/>
      <c r="M27" s="21"/>
      <c r="N27" s="484" t="b">
        <f t="shared" si="24"/>
        <v>0</v>
      </c>
      <c r="O27" s="485" t="str">
        <f t="array" ref="O27">XLOOKUP(Q27,Advancements!$I$2:$I164,Advancements!$C$2:$C164)</f>
        <v/>
      </c>
      <c r="P27" s="485" t="str">
        <f t="array" ref="P27">XLOOKUP(Q27,Advancements!$I$2:$I164,Advancements!$H$2:$H164)</f>
        <v/>
      </c>
      <c r="Q27" s="486" t="s">
        <v>4846</v>
      </c>
      <c r="R27" s="21"/>
      <c r="S27" s="484" t="b">
        <f t="shared" si="25"/>
        <v>0</v>
      </c>
      <c r="T27" s="485" t="str">
        <f t="array" ref="T27">XLOOKUP(V27,Advancements!$I$2:$I164,Advancements!$C$2:$C164)</f>
        <v/>
      </c>
      <c r="U27" s="485" t="str">
        <f t="array" ref="U27">XLOOKUP(V27,Advancements!$I$2:$I164,Advancements!$H$2:$H164)</f>
        <v/>
      </c>
      <c r="V27" s="486" t="s">
        <v>4846</v>
      </c>
      <c r="W27" s="21"/>
      <c r="X27" s="466"/>
      <c r="Y27" s="21"/>
      <c r="Z27" s="21"/>
      <c r="AA27" s="21"/>
      <c r="AB27" s="21"/>
      <c r="AC27" s="21"/>
      <c r="AD27" s="21"/>
      <c r="AE27" s="21"/>
      <c r="AF27" s="21"/>
      <c r="AH27" s="443" t="str">
        <f t="shared" si="1"/>
        <v/>
      </c>
      <c r="AI27" s="420" t="b">
        <v>0</v>
      </c>
      <c r="AJ27" s="444" t="s">
        <v>7255</v>
      </c>
      <c r="AM27" s="445"/>
      <c r="AN27" s="423" t="b">
        <f t="shared" si="2"/>
        <v>0</v>
      </c>
      <c r="AO27" s="446" t="s">
        <v>7224</v>
      </c>
      <c r="AR27" s="447"/>
      <c r="AS27" s="423" t="b">
        <f t="shared" si="3"/>
        <v>0</v>
      </c>
      <c r="AT27" s="448" t="s">
        <v>7216</v>
      </c>
      <c r="AW27" s="447"/>
      <c r="AX27" s="423" t="b">
        <f t="shared" si="4"/>
        <v>0</v>
      </c>
      <c r="AY27" s="448" t="s">
        <v>7216</v>
      </c>
      <c r="BB27" s="447"/>
      <c r="BC27" s="423" t="b">
        <f t="shared" si="5"/>
        <v>0</v>
      </c>
      <c r="BD27" s="448" t="s">
        <v>7229</v>
      </c>
      <c r="BG27" s="447"/>
      <c r="BH27" s="423" t="b">
        <f t="shared" si="6"/>
        <v>0</v>
      </c>
      <c r="BI27" s="448" t="s">
        <v>7228</v>
      </c>
      <c r="BL27" s="447"/>
      <c r="BM27" s="423" t="b">
        <f t="shared" si="7"/>
        <v>0</v>
      </c>
      <c r="BN27" s="448" t="s">
        <v>7255</v>
      </c>
      <c r="BQ27" s="450"/>
      <c r="BR27" s="420" t="b">
        <f t="shared" si="8"/>
        <v>0</v>
      </c>
      <c r="BS27" s="451" t="s">
        <v>7222</v>
      </c>
      <c r="BV27" s="450"/>
      <c r="BW27" s="420" t="b">
        <f t="shared" si="9"/>
        <v>0</v>
      </c>
      <c r="BX27" s="451" t="s">
        <v>7222</v>
      </c>
      <c r="CA27" s="450"/>
      <c r="CB27" s="420" t="b">
        <f t="shared" si="10"/>
        <v>0</v>
      </c>
      <c r="CC27" s="451" t="s">
        <v>7262</v>
      </c>
      <c r="CF27" s="452"/>
      <c r="CG27" s="453" t="b">
        <f t="shared" si="11"/>
        <v>0</v>
      </c>
      <c r="CH27" s="454" t="s">
        <v>7258</v>
      </c>
      <c r="CK27" s="452"/>
      <c r="CL27" s="453" t="b">
        <f t="shared" si="12"/>
        <v>0</v>
      </c>
      <c r="CM27" s="454" t="s">
        <v>7263</v>
      </c>
      <c r="CP27" s="455"/>
      <c r="CQ27" s="456" t="b">
        <f t="shared" si="13"/>
        <v>0</v>
      </c>
      <c r="CR27" s="457" t="s">
        <v>6687</v>
      </c>
    </row>
    <row r="28">
      <c r="A28" s="21"/>
      <c r="B28" s="21"/>
      <c r="C28" s="21"/>
      <c r="D28" s="21"/>
      <c r="E28" s="21"/>
      <c r="F28" s="21"/>
      <c r="G28" s="21"/>
      <c r="H28" s="21"/>
      <c r="I28" s="21"/>
      <c r="J28" s="21"/>
      <c r="K28" s="21"/>
      <c r="L28" s="21"/>
      <c r="M28" s="21"/>
      <c r="N28" s="21"/>
      <c r="O28" s="21"/>
      <c r="P28" s="21"/>
      <c r="Q28" s="21"/>
      <c r="R28" s="21"/>
      <c r="S28" s="21"/>
      <c r="T28" s="21"/>
      <c r="U28" s="21"/>
      <c r="V28" s="21"/>
      <c r="W28" s="21"/>
      <c r="X28" s="21"/>
      <c r="Y28" s="21"/>
      <c r="Z28" s="21"/>
      <c r="AA28" s="21"/>
      <c r="AB28" s="21"/>
      <c r="AC28" s="21"/>
      <c r="AD28" s="21"/>
      <c r="AE28" s="21"/>
      <c r="AF28" s="21"/>
      <c r="AH28" s="443" t="str">
        <f t="shared" si="1"/>
        <v/>
      </c>
      <c r="AI28" s="420" t="b">
        <v>0</v>
      </c>
      <c r="AJ28" s="444" t="s">
        <v>7258</v>
      </c>
      <c r="AM28" s="445"/>
      <c r="AN28" s="423" t="b">
        <f t="shared" si="2"/>
        <v>0</v>
      </c>
      <c r="AO28" s="446" t="s">
        <v>7228</v>
      </c>
      <c r="AR28" s="447"/>
      <c r="AS28" s="423" t="b">
        <f t="shared" si="3"/>
        <v>0</v>
      </c>
      <c r="AT28" s="448" t="s">
        <v>7204</v>
      </c>
      <c r="AW28" s="447"/>
      <c r="AX28" s="423" t="b">
        <f t="shared" si="4"/>
        <v>0</v>
      </c>
      <c r="AY28" s="448" t="s">
        <v>7204</v>
      </c>
      <c r="BB28" s="447"/>
      <c r="BC28" s="423" t="b">
        <f t="shared" si="5"/>
        <v>0</v>
      </c>
      <c r="BD28" s="448" t="s">
        <v>7216</v>
      </c>
      <c r="BG28" s="447"/>
      <c r="BH28" s="423" t="b">
        <f t="shared" si="6"/>
        <v>0</v>
      </c>
      <c r="BI28" s="448" t="s">
        <v>7229</v>
      </c>
      <c r="BL28" s="447"/>
      <c r="BM28" s="423" t="b">
        <f t="shared" si="7"/>
        <v>0</v>
      </c>
      <c r="BN28" s="448" t="s">
        <v>2531</v>
      </c>
      <c r="BQ28" s="450"/>
      <c r="BR28" s="420" t="b">
        <f t="shared" si="8"/>
        <v>0</v>
      </c>
      <c r="BS28" s="451" t="s">
        <v>7262</v>
      </c>
      <c r="BV28" s="450"/>
      <c r="BW28" s="420" t="b">
        <f t="shared" si="9"/>
        <v>0</v>
      </c>
      <c r="BX28" s="451" t="s">
        <v>7262</v>
      </c>
      <c r="CA28" s="450"/>
      <c r="CB28" s="420" t="b">
        <f t="shared" si="10"/>
        <v>0</v>
      </c>
      <c r="CC28" s="451" t="s">
        <v>7264</v>
      </c>
      <c r="CF28" s="452"/>
      <c r="CG28" s="453" t="b">
        <f t="shared" si="11"/>
        <v>0</v>
      </c>
      <c r="CH28" s="454" t="s">
        <v>7257</v>
      </c>
      <c r="CK28" s="452"/>
      <c r="CL28" s="453" t="b">
        <f t="shared" si="12"/>
        <v>0</v>
      </c>
      <c r="CM28" s="454" t="s">
        <v>7226</v>
      </c>
      <c r="CP28" s="455"/>
      <c r="CQ28" s="456" t="b">
        <f t="shared" si="13"/>
        <v>0</v>
      </c>
      <c r="CR28" s="457" t="s">
        <v>7260</v>
      </c>
    </row>
    <row r="29">
      <c r="A29" s="21"/>
      <c r="B29" s="488" t="s">
        <v>7265</v>
      </c>
      <c r="C29" s="21"/>
      <c r="D29" s="489" t="b">
        <f>IFALLTRUE(D30:D38)</f>
        <v>0</v>
      </c>
      <c r="E29" s="490"/>
      <c r="F29" s="490" t="str">
        <f>GET_MOB_HEAD(G29)</f>
        <v/>
      </c>
      <c r="G29" s="491" t="s">
        <v>7266</v>
      </c>
      <c r="H29" s="21"/>
      <c r="I29" s="489" t="b">
        <f>IFALLTRUE(I30:I38)</f>
        <v>0</v>
      </c>
      <c r="J29" s="490"/>
      <c r="K29" s="490" t="str">
        <f>GET_MOB_HEAD(L29)</f>
        <v/>
      </c>
      <c r="L29" s="491" t="s">
        <v>7267</v>
      </c>
      <c r="M29" s="21"/>
      <c r="N29" s="489" t="b">
        <f>IFALLTRUE(N30:N38)</f>
        <v>0</v>
      </c>
      <c r="O29" s="490"/>
      <c r="P29" s="490" t="str">
        <f>GET_MOB_HEAD(Q29)</f>
        <v/>
      </c>
      <c r="Q29" s="491" t="s">
        <v>7268</v>
      </c>
      <c r="R29" s="21"/>
      <c r="S29" s="489" t="b">
        <f>IFALLTRUE(S30:S38)</f>
        <v>0</v>
      </c>
      <c r="T29" s="490"/>
      <c r="U29" s="490" t="str">
        <f>GET_MOB_HEAD(V29)</f>
        <v/>
      </c>
      <c r="V29" s="491" t="s">
        <v>7269</v>
      </c>
      <c r="W29" s="21"/>
      <c r="X29" s="489" t="b">
        <f>IFALLTRUE(X30:X38)</f>
        <v>0</v>
      </c>
      <c r="Y29" s="490"/>
      <c r="Z29" s="490" t="str">
        <f>GET_MOB_HEAD(AA29)</f>
        <v/>
      </c>
      <c r="AA29" s="491" t="s">
        <v>7270</v>
      </c>
      <c r="AB29" s="21"/>
      <c r="AC29" s="21"/>
      <c r="AD29" s="21"/>
      <c r="AE29" s="21"/>
      <c r="AF29" s="21"/>
      <c r="AH29" s="443" t="str">
        <f t="shared" si="1"/>
        <v/>
      </c>
      <c r="AI29" s="420" t="b">
        <v>0</v>
      </c>
      <c r="AJ29" s="444" t="s">
        <v>7257</v>
      </c>
      <c r="AM29" s="445"/>
      <c r="AN29" s="423" t="b">
        <f t="shared" si="2"/>
        <v>0</v>
      </c>
      <c r="AO29" s="446" t="s">
        <v>7229</v>
      </c>
      <c r="AR29" s="447"/>
      <c r="AS29" s="423" t="b">
        <f t="shared" si="3"/>
        <v>0</v>
      </c>
      <c r="AT29" s="448" t="s">
        <v>7218</v>
      </c>
      <c r="AW29" s="447"/>
      <c r="AX29" s="423" t="b">
        <f t="shared" si="4"/>
        <v>0</v>
      </c>
      <c r="AY29" s="448" t="s">
        <v>7218</v>
      </c>
      <c r="BB29" s="447"/>
      <c r="BC29" s="423" t="b">
        <f t="shared" si="5"/>
        <v>0</v>
      </c>
      <c r="BD29" s="448" t="s">
        <v>7204</v>
      </c>
      <c r="BG29" s="447"/>
      <c r="BH29" s="423" t="b">
        <f t="shared" si="6"/>
        <v>0</v>
      </c>
      <c r="BI29" s="448" t="s">
        <v>7216</v>
      </c>
      <c r="BL29" s="447"/>
      <c r="BM29" s="423" t="b">
        <f t="shared" si="7"/>
        <v>0</v>
      </c>
      <c r="BN29" s="448" t="s">
        <v>7215</v>
      </c>
      <c r="BQ29" s="450"/>
      <c r="BR29" s="420" t="b">
        <f t="shared" si="8"/>
        <v>0</v>
      </c>
      <c r="BS29" s="451" t="s">
        <v>7264</v>
      </c>
      <c r="BV29" s="450"/>
      <c r="BW29" s="420" t="b">
        <f t="shared" si="9"/>
        <v>0</v>
      </c>
      <c r="BX29" s="451" t="s">
        <v>7264</v>
      </c>
      <c r="CA29" s="450"/>
      <c r="CB29" s="420" t="b">
        <f t="shared" si="10"/>
        <v>0</v>
      </c>
      <c r="CC29" s="451" t="s">
        <v>7271</v>
      </c>
      <c r="CF29" s="452"/>
      <c r="CG29" s="453" t="b">
        <f t="shared" si="11"/>
        <v>0</v>
      </c>
      <c r="CH29" s="454" t="s">
        <v>7261</v>
      </c>
      <c r="CK29" s="452"/>
      <c r="CL29" s="453" t="b">
        <f t="shared" si="12"/>
        <v>0</v>
      </c>
      <c r="CM29" s="454" t="s">
        <v>7272</v>
      </c>
      <c r="CP29" s="455"/>
      <c r="CQ29" s="456" t="b">
        <f t="shared" si="13"/>
        <v>0</v>
      </c>
      <c r="CR29" s="457" t="s">
        <v>7263</v>
      </c>
    </row>
    <row r="30">
      <c r="A30" s="21"/>
      <c r="B30" s="439"/>
      <c r="C30" s="21"/>
      <c r="D30" s="492" t="b">
        <f t="shared" ref="D30:D38" si="28">CHECK_MOB(G30,G$29)</f>
        <v>0</v>
      </c>
      <c r="E30" s="493" t="str">
        <f t="array" ref="E30">XLOOKUP(G30,Advancements!$I$2:$I164,Advancements!$C$2:$C164)</f>
        <v/>
      </c>
      <c r="F30" s="493" t="str">
        <f t="array" ref="F30">XLOOKUP(G30,Advancements!$I$2:$I164,Advancements!$H$2:$H164)</f>
        <v/>
      </c>
      <c r="G30" s="494" t="s">
        <v>2679</v>
      </c>
      <c r="H30" s="21"/>
      <c r="I30" s="492" t="b">
        <f t="shared" ref="I30:I38" si="29">CHECK_MOB(L30,L$29)</f>
        <v>0</v>
      </c>
      <c r="J30" s="493" t="str">
        <f t="array" ref="J30">XLOOKUP(L30,Advancements!$I$2:$I164,Advancements!$C$2:$C164)</f>
        <v/>
      </c>
      <c r="K30" s="493" t="str">
        <f t="array" ref="K30">XLOOKUP(L30,Advancements!$I$2:$I164,Advancements!$H$2:$H164)</f>
        <v/>
      </c>
      <c r="L30" s="494" t="s">
        <v>2679</v>
      </c>
      <c r="M30" s="21"/>
      <c r="N30" s="492" t="b">
        <f t="shared" ref="N30:N39" si="30">CHECK_MOB(Q30,Q$29)</f>
        <v>0</v>
      </c>
      <c r="O30" s="493" t="str">
        <f t="array" ref="O30">XLOOKUP(Q30,Advancements!$I$2:$I164,Advancements!$C$2:$C164)</f>
        <v/>
      </c>
      <c r="P30" s="493" t="str">
        <f t="array" ref="P30">XLOOKUP(Q30,Advancements!$I$2:$I164,Advancements!$H$2:$H164)</f>
        <v/>
      </c>
      <c r="Q30" s="494" t="s">
        <v>2679</v>
      </c>
      <c r="R30" s="21"/>
      <c r="S30" s="492" t="b">
        <f t="shared" ref="S30:S38" si="31">CHECK_MOB(V30,V$29)</f>
        <v>0</v>
      </c>
      <c r="T30" s="493" t="str">
        <f t="array" ref="T30">XLOOKUP(V30,Advancements!$I$2:$I164,Advancements!$C$2:$C164)</f>
        <v/>
      </c>
      <c r="U30" s="493" t="str">
        <f t="array" ref="U30">XLOOKUP(V30,Advancements!$I$2:$I164,Advancements!$H$2:$H164)</f>
        <v/>
      </c>
      <c r="V30" s="494" t="s">
        <v>2679</v>
      </c>
      <c r="W30" s="21"/>
      <c r="X30" s="492" t="b">
        <f t="shared" ref="X30:X39" si="32">CHECK_MOB(AA30,AA$29)</f>
        <v>0</v>
      </c>
      <c r="Y30" s="493" t="str">
        <f t="array" ref="Y30">XLOOKUP(AA30,Advancements!$I$2:$I164,Advancements!$C$2:$C164)</f>
        <v/>
      </c>
      <c r="Z30" s="493" t="str">
        <f t="array" ref="Z30">XLOOKUP(AA30,Advancements!$I$2:$I164,Advancements!$H$2:$H164)</f>
        <v/>
      </c>
      <c r="AA30" s="494" t="s">
        <v>2679</v>
      </c>
      <c r="AB30" s="21"/>
      <c r="AC30" s="21"/>
      <c r="AD30" s="21"/>
      <c r="AE30" s="21"/>
      <c r="AF30" s="21"/>
      <c r="AH30" s="443" t="str">
        <f t="shared" si="1"/>
        <v/>
      </c>
      <c r="AI30" s="420" t="b">
        <v>0</v>
      </c>
      <c r="AJ30" s="444" t="s">
        <v>7261</v>
      </c>
      <c r="AM30" s="445"/>
      <c r="AN30" s="423" t="b">
        <f t="shared" si="2"/>
        <v>0</v>
      </c>
      <c r="AO30" s="446" t="s">
        <v>7216</v>
      </c>
      <c r="AR30" s="447"/>
      <c r="AS30" s="423" t="b">
        <f t="shared" si="3"/>
        <v>0</v>
      </c>
      <c r="AT30" s="448" t="s">
        <v>7234</v>
      </c>
      <c r="AW30" s="447"/>
      <c r="AX30" s="423" t="b">
        <f t="shared" si="4"/>
        <v>0</v>
      </c>
      <c r="AY30" s="448" t="s">
        <v>7234</v>
      </c>
      <c r="BB30" s="447"/>
      <c r="BC30" s="423" t="b">
        <f t="shared" si="5"/>
        <v>0</v>
      </c>
      <c r="BD30" s="448" t="s">
        <v>7218</v>
      </c>
      <c r="BG30" s="447"/>
      <c r="BH30" s="423" t="b">
        <f t="shared" si="6"/>
        <v>0</v>
      </c>
      <c r="BI30" s="448" t="s">
        <v>7204</v>
      </c>
      <c r="BL30" s="447"/>
      <c r="BM30" s="423" t="b">
        <f t="shared" si="7"/>
        <v>0</v>
      </c>
      <c r="BN30" s="448" t="s">
        <v>7217</v>
      </c>
      <c r="BQ30" s="450"/>
      <c r="BR30" s="420" t="b">
        <f t="shared" si="8"/>
        <v>0</v>
      </c>
      <c r="BS30" s="451" t="s">
        <v>7271</v>
      </c>
      <c r="BV30" s="450"/>
      <c r="BW30" s="420" t="b">
        <f t="shared" si="9"/>
        <v>0</v>
      </c>
      <c r="BX30" s="451" t="s">
        <v>7271</v>
      </c>
      <c r="CA30" s="450"/>
      <c r="CB30" s="420" t="b">
        <f t="shared" si="10"/>
        <v>0</v>
      </c>
      <c r="CC30" s="451" t="s">
        <v>7273</v>
      </c>
      <c r="CF30" s="452"/>
      <c r="CG30" s="453" t="b">
        <f t="shared" si="11"/>
        <v>0</v>
      </c>
      <c r="CH30" s="454" t="s">
        <v>6687</v>
      </c>
      <c r="CK30" s="452"/>
      <c r="CL30" s="453" t="b">
        <f t="shared" si="12"/>
        <v>0</v>
      </c>
      <c r="CM30" s="454" t="s">
        <v>7247</v>
      </c>
      <c r="CP30" s="455"/>
      <c r="CQ30" s="456" t="b">
        <f t="shared" si="13"/>
        <v>0</v>
      </c>
      <c r="CR30" s="457" t="s">
        <v>7226</v>
      </c>
    </row>
    <row r="31">
      <c r="A31" s="21"/>
      <c r="B31" s="439"/>
      <c r="C31" s="21"/>
      <c r="D31" s="495" t="b">
        <f t="shared" si="28"/>
        <v>0</v>
      </c>
      <c r="E31" s="496" t="str">
        <f t="array" ref="E31">XLOOKUP(G31,Advancements!$I$2:$I164,Advancements!$C$2:$C164)</f>
        <v/>
      </c>
      <c r="F31" s="496" t="str">
        <f t="array" ref="F31">XLOOKUP(G31,Advancements!$I$2:$I164,Advancements!$H$2:$H164)</f>
        <v/>
      </c>
      <c r="G31" s="497" t="s">
        <v>3616</v>
      </c>
      <c r="H31" s="21"/>
      <c r="I31" s="495" t="b">
        <f t="shared" si="29"/>
        <v>0</v>
      </c>
      <c r="J31" s="496" t="str">
        <f t="array" ref="J31">XLOOKUP(L31,Advancements!$I$2:$I164,Advancements!$C$2:$C164)</f>
        <v/>
      </c>
      <c r="K31" s="496" t="str">
        <f t="array" ref="K31">XLOOKUP(L31,Advancements!$I$2:$I164,Advancements!$H$2:$H164)</f>
        <v/>
      </c>
      <c r="L31" s="497" t="s">
        <v>3616</v>
      </c>
      <c r="M31" s="21"/>
      <c r="N31" s="495" t="b">
        <f t="shared" si="30"/>
        <v>0</v>
      </c>
      <c r="O31" s="496" t="str">
        <f t="array" ref="O31">XLOOKUP(Q31,Advancements!$I$2:$I164,Advancements!$C$2:$C164)</f>
        <v/>
      </c>
      <c r="P31" s="496" t="str">
        <f t="array" ref="P31">XLOOKUP(Q31,Advancements!$I$2:$I164,Advancements!$H$2:$H164)</f>
        <v/>
      </c>
      <c r="Q31" s="497" t="s">
        <v>3616</v>
      </c>
      <c r="R31" s="21"/>
      <c r="S31" s="495" t="b">
        <f t="shared" si="31"/>
        <v>0</v>
      </c>
      <c r="T31" s="496" t="str">
        <f t="array" ref="T31">XLOOKUP(V31,Advancements!$I$2:$I164,Advancements!$C$2:$C164)</f>
        <v/>
      </c>
      <c r="U31" s="496" t="str">
        <f t="array" ref="U31">XLOOKUP(V31,Advancements!$I$2:$I164,Advancements!$H$2:$H164)</f>
        <v/>
      </c>
      <c r="V31" s="497" t="s">
        <v>3616</v>
      </c>
      <c r="W31" s="21"/>
      <c r="X31" s="495" t="b">
        <f t="shared" si="32"/>
        <v>0</v>
      </c>
      <c r="Y31" s="496" t="str">
        <f t="array" ref="Y31">XLOOKUP(AA31,Advancements!$I$2:$I164,Advancements!$C$2:$C164)</f>
        <v/>
      </c>
      <c r="Z31" s="496" t="str">
        <f t="array" ref="Z31">XLOOKUP(AA31,Advancements!$I$2:$I164,Advancements!$H$2:$H164)</f>
        <v/>
      </c>
      <c r="AA31" s="497" t="s">
        <v>3616</v>
      </c>
      <c r="AB31" s="21"/>
      <c r="AC31" s="21"/>
      <c r="AD31" s="21"/>
      <c r="AE31" s="21"/>
      <c r="AF31" s="21"/>
      <c r="AH31" s="443" t="str">
        <f t="shared" si="1"/>
        <v/>
      </c>
      <c r="AI31" s="420" t="b">
        <v>0</v>
      </c>
      <c r="AJ31" s="444" t="s">
        <v>6642</v>
      </c>
      <c r="AM31" s="445"/>
      <c r="AN31" s="423" t="b">
        <f t="shared" si="2"/>
        <v>0</v>
      </c>
      <c r="AO31" s="446" t="s">
        <v>7204</v>
      </c>
      <c r="AR31" s="447"/>
      <c r="AS31" s="423" t="b">
        <f t="shared" si="3"/>
        <v>0</v>
      </c>
      <c r="AT31" s="448" t="s">
        <v>7223</v>
      </c>
      <c r="AW31" s="447"/>
      <c r="AX31" s="423" t="b">
        <f t="shared" si="4"/>
        <v>0</v>
      </c>
      <c r="AY31" s="448" t="s">
        <v>7223</v>
      </c>
      <c r="BB31" s="447"/>
      <c r="BC31" s="423" t="b">
        <f t="shared" si="5"/>
        <v>0</v>
      </c>
      <c r="BD31" s="448" t="s">
        <v>7234</v>
      </c>
      <c r="BG31" s="447"/>
      <c r="BH31" s="423" t="b">
        <f t="shared" si="6"/>
        <v>0</v>
      </c>
      <c r="BI31" s="448" t="s">
        <v>7218</v>
      </c>
      <c r="BL31" s="447"/>
      <c r="BM31" s="423" t="b">
        <f t="shared" si="7"/>
        <v>0</v>
      </c>
      <c r="BN31" s="448" t="s">
        <v>7251</v>
      </c>
      <c r="BQ31" s="450"/>
      <c r="BR31" s="420" t="b">
        <f t="shared" si="8"/>
        <v>0</v>
      </c>
      <c r="BS31" s="451" t="s">
        <v>7273</v>
      </c>
      <c r="BV31" s="450"/>
      <c r="BW31" s="420" t="b">
        <f t="shared" si="9"/>
        <v>0</v>
      </c>
      <c r="BX31" s="451" t="s">
        <v>7273</v>
      </c>
      <c r="CA31" s="450"/>
      <c r="CB31" s="420" t="b">
        <f t="shared" si="10"/>
        <v>0</v>
      </c>
      <c r="CC31" s="451" t="s">
        <v>7274</v>
      </c>
      <c r="CF31" s="452"/>
      <c r="CG31" s="453" t="b">
        <f t="shared" si="11"/>
        <v>0</v>
      </c>
      <c r="CH31" s="454" t="s">
        <v>7260</v>
      </c>
      <c r="CK31" s="498"/>
      <c r="CL31" s="499" t="b">
        <f t="shared" si="12"/>
        <v>0</v>
      </c>
      <c r="CM31" s="500" t="s">
        <v>7275</v>
      </c>
      <c r="CP31" s="455"/>
      <c r="CQ31" s="456" t="b">
        <f t="shared" si="13"/>
        <v>0</v>
      </c>
      <c r="CR31" s="457" t="s">
        <v>7272</v>
      </c>
    </row>
    <row r="32">
      <c r="A32" s="21"/>
      <c r="B32" s="439"/>
      <c r="C32" s="21"/>
      <c r="D32" s="495" t="b">
        <f t="shared" si="28"/>
        <v>0</v>
      </c>
      <c r="E32" s="496" t="str">
        <f t="array" ref="E32">XLOOKUP(G32,Advancements!$I$2:$I164,Advancements!$C$2:$C164)</f>
        <v/>
      </c>
      <c r="F32" s="496" t="str">
        <f t="array" ref="F32">XLOOKUP(G32,Advancements!$I$2:$I164,Advancements!$H$2:$H164)</f>
        <v/>
      </c>
      <c r="G32" s="497" t="s">
        <v>63</v>
      </c>
      <c r="H32" s="21"/>
      <c r="I32" s="495" t="b">
        <f t="shared" si="29"/>
        <v>0</v>
      </c>
      <c r="J32" s="496" t="str">
        <f t="array" ref="J32">XLOOKUP(L32,Advancements!$I$2:$I164,Advancements!$C$2:$C164)</f>
        <v/>
      </c>
      <c r="K32" s="496" t="str">
        <f t="array" ref="K32">XLOOKUP(L32,Advancements!$I$2:$I164,Advancements!$H$2:$H164)</f>
        <v/>
      </c>
      <c r="L32" s="497" t="s">
        <v>63</v>
      </c>
      <c r="M32" s="21"/>
      <c r="N32" s="495" t="b">
        <f t="shared" si="30"/>
        <v>0</v>
      </c>
      <c r="O32" s="496" t="str">
        <f t="array" ref="O32">XLOOKUP(Q32,Advancements!$I$2:$I164,Advancements!$C$2:$C164)</f>
        <v/>
      </c>
      <c r="P32" s="496" t="str">
        <f t="array" ref="P32">XLOOKUP(Q32,Advancements!$I$2:$I164,Advancements!$H$2:$H164)</f>
        <v/>
      </c>
      <c r="Q32" s="497" t="s">
        <v>63</v>
      </c>
      <c r="R32" s="21"/>
      <c r="S32" s="495" t="b">
        <f t="shared" si="31"/>
        <v>0</v>
      </c>
      <c r="T32" s="496" t="str">
        <f t="array" ref="T32">XLOOKUP(V32,Advancements!$I$2:$I164,Advancements!$C$2:$C164)</f>
        <v/>
      </c>
      <c r="U32" s="496" t="str">
        <f t="array" ref="U32">XLOOKUP(V32,Advancements!$I$2:$I164,Advancements!$H$2:$H164)</f>
        <v/>
      </c>
      <c r="V32" s="497" t="s">
        <v>63</v>
      </c>
      <c r="W32" s="21"/>
      <c r="X32" s="495" t="b">
        <f t="shared" si="32"/>
        <v>0</v>
      </c>
      <c r="Y32" s="496" t="str">
        <f t="array" ref="Y32">XLOOKUP(AA32,Advancements!$I$2:$I164,Advancements!$C$2:$C164)</f>
        <v/>
      </c>
      <c r="Z32" s="496" t="str">
        <f t="array" ref="Z32">XLOOKUP(AA32,Advancements!$I$2:$I164,Advancements!$H$2:$H164)</f>
        <v/>
      </c>
      <c r="AA32" s="497" t="s">
        <v>63</v>
      </c>
      <c r="AB32" s="21"/>
      <c r="AC32" s="21"/>
      <c r="AD32" s="21"/>
      <c r="AE32" s="21"/>
      <c r="AF32" s="21"/>
      <c r="AH32" s="443" t="str">
        <f t="shared" si="1"/>
        <v/>
      </c>
      <c r="AI32" s="420" t="b">
        <v>0</v>
      </c>
      <c r="AJ32" s="444" t="s">
        <v>6687</v>
      </c>
      <c r="AM32" s="445"/>
      <c r="AN32" s="423" t="b">
        <f t="shared" si="2"/>
        <v>0</v>
      </c>
      <c r="AO32" s="446" t="s">
        <v>7218</v>
      </c>
      <c r="AR32" s="447"/>
      <c r="AS32" s="423" t="b">
        <f t="shared" si="3"/>
        <v>0</v>
      </c>
      <c r="AT32" s="448" t="s">
        <v>7207</v>
      </c>
      <c r="AW32" s="447"/>
      <c r="AX32" s="423" t="b">
        <f t="shared" si="4"/>
        <v>0</v>
      </c>
      <c r="AY32" s="448" t="s">
        <v>7207</v>
      </c>
      <c r="BB32" s="447"/>
      <c r="BC32" s="423" t="b">
        <f t="shared" si="5"/>
        <v>0</v>
      </c>
      <c r="BD32" s="448" t="s">
        <v>7223</v>
      </c>
      <c r="BG32" s="447"/>
      <c r="BH32" s="423" t="b">
        <f t="shared" si="6"/>
        <v>0</v>
      </c>
      <c r="BI32" s="448" t="s">
        <v>7234</v>
      </c>
      <c r="BL32" s="447"/>
      <c r="BM32" s="423" t="b">
        <f t="shared" si="7"/>
        <v>0</v>
      </c>
      <c r="BN32" s="448" t="s">
        <v>7261</v>
      </c>
      <c r="BQ32" s="450"/>
      <c r="BR32" s="420" t="b">
        <f t="shared" si="8"/>
        <v>0</v>
      </c>
      <c r="BS32" s="451" t="s">
        <v>7274</v>
      </c>
      <c r="BV32" s="450"/>
      <c r="BW32" s="420" t="b">
        <f t="shared" si="9"/>
        <v>0</v>
      </c>
      <c r="BX32" s="451" t="s">
        <v>7274</v>
      </c>
      <c r="CA32" s="450"/>
      <c r="CB32" s="420" t="b">
        <f t="shared" si="10"/>
        <v>0</v>
      </c>
      <c r="CC32" s="451" t="s">
        <v>2559</v>
      </c>
      <c r="CF32" s="452"/>
      <c r="CG32" s="453" t="b">
        <f t="shared" si="11"/>
        <v>0</v>
      </c>
      <c r="CH32" s="454" t="s">
        <v>7276</v>
      </c>
      <c r="CP32" s="455"/>
      <c r="CQ32" s="456" t="b">
        <f t="shared" si="13"/>
        <v>0</v>
      </c>
      <c r="CR32" s="457" t="s">
        <v>7247</v>
      </c>
    </row>
    <row r="33">
      <c r="A33" s="21"/>
      <c r="B33" s="439"/>
      <c r="C33" s="21"/>
      <c r="D33" s="495" t="b">
        <f t="shared" si="28"/>
        <v>0</v>
      </c>
      <c r="E33" s="496" t="str">
        <f t="array" ref="E33">XLOOKUP(G33,Advancements!$I$2:$I164,Advancements!$C$2:$C164)</f>
        <v/>
      </c>
      <c r="F33" s="496" t="str">
        <f t="array" ref="F33">XLOOKUP(G33,Advancements!$I$2:$I164,Advancements!$H$2:$H164)</f>
        <v/>
      </c>
      <c r="G33" s="497" t="s">
        <v>2738</v>
      </c>
      <c r="H33" s="21"/>
      <c r="I33" s="495" t="b">
        <f t="shared" si="29"/>
        <v>0</v>
      </c>
      <c r="J33" s="496" t="str">
        <f t="array" ref="J33">XLOOKUP(L33,Advancements!$I$2:$I164,Advancements!$C$2:$C164)</f>
        <v/>
      </c>
      <c r="K33" s="496" t="str">
        <f t="array" ref="K33">XLOOKUP(L33,Advancements!$I$2:$I164,Advancements!$H$2:$H164)</f>
        <v/>
      </c>
      <c r="L33" s="497" t="s">
        <v>2738</v>
      </c>
      <c r="M33" s="21"/>
      <c r="N33" s="495" t="b">
        <f t="shared" si="30"/>
        <v>0</v>
      </c>
      <c r="O33" s="496" t="str">
        <f t="array" ref="O33">XLOOKUP(Q33,Advancements!$I$2:$I164,Advancements!$C$2:$C164)</f>
        <v/>
      </c>
      <c r="P33" s="496" t="str">
        <f t="array" ref="P33">XLOOKUP(Q33,Advancements!$I$2:$I164,Advancements!$H$2:$H164)</f>
        <v/>
      </c>
      <c r="Q33" s="497" t="s">
        <v>2738</v>
      </c>
      <c r="R33" s="21"/>
      <c r="S33" s="495" t="b">
        <f t="shared" si="31"/>
        <v>0</v>
      </c>
      <c r="T33" s="496" t="str">
        <f t="array" ref="T33">XLOOKUP(V33,Advancements!$I$2:$I164,Advancements!$C$2:$C164)</f>
        <v/>
      </c>
      <c r="U33" s="496" t="str">
        <f t="array" ref="U33">XLOOKUP(V33,Advancements!$I$2:$I164,Advancements!$H$2:$H164)</f>
        <v/>
      </c>
      <c r="V33" s="497" t="s">
        <v>2738</v>
      </c>
      <c r="W33" s="21"/>
      <c r="X33" s="495" t="b">
        <f t="shared" si="32"/>
        <v>0</v>
      </c>
      <c r="Y33" s="496" t="str">
        <f t="array" ref="Y33">XLOOKUP(AA33,Advancements!$I$2:$I164,Advancements!$C$2:$C164)</f>
        <v/>
      </c>
      <c r="Z33" s="496" t="str">
        <f t="array" ref="Z33">XLOOKUP(AA33,Advancements!$I$2:$I164,Advancements!$H$2:$H164)</f>
        <v/>
      </c>
      <c r="AA33" s="497" t="s">
        <v>2711</v>
      </c>
      <c r="AB33" s="21"/>
      <c r="AC33" s="21"/>
      <c r="AD33" s="21"/>
      <c r="AE33" s="21"/>
      <c r="AF33" s="21"/>
      <c r="AH33" s="443" t="str">
        <f t="shared" si="1"/>
        <v/>
      </c>
      <c r="AI33" s="420" t="b">
        <v>0</v>
      </c>
      <c r="AJ33" s="444" t="s">
        <v>6756</v>
      </c>
      <c r="AM33" s="445"/>
      <c r="AN33" s="423" t="b">
        <f t="shared" si="2"/>
        <v>0</v>
      </c>
      <c r="AO33" s="446" t="s">
        <v>7234</v>
      </c>
      <c r="AR33" s="447"/>
      <c r="AS33" s="423" t="b">
        <f t="shared" si="3"/>
        <v>0</v>
      </c>
      <c r="AT33" s="448" t="s">
        <v>7246</v>
      </c>
      <c r="AW33" s="447"/>
      <c r="AX33" s="423" t="b">
        <f t="shared" si="4"/>
        <v>0</v>
      </c>
      <c r="AY33" s="448" t="s">
        <v>7246</v>
      </c>
      <c r="BB33" s="447"/>
      <c r="BC33" s="423" t="b">
        <f t="shared" si="5"/>
        <v>0</v>
      </c>
      <c r="BD33" s="448" t="s">
        <v>7207</v>
      </c>
      <c r="BG33" s="447"/>
      <c r="BH33" s="423" t="b">
        <f t="shared" si="6"/>
        <v>0</v>
      </c>
      <c r="BI33" s="448" t="s">
        <v>7223</v>
      </c>
      <c r="BL33" s="447"/>
      <c r="BM33" s="423" t="b">
        <f t="shared" si="7"/>
        <v>0</v>
      </c>
      <c r="BN33" s="448" t="s">
        <v>6642</v>
      </c>
      <c r="BQ33" s="450"/>
      <c r="BR33" s="420" t="b">
        <f t="shared" si="8"/>
        <v>0</v>
      </c>
      <c r="BS33" s="451" t="s">
        <v>2559</v>
      </c>
      <c r="BV33" s="450"/>
      <c r="BW33" s="420" t="b">
        <f t="shared" si="9"/>
        <v>0</v>
      </c>
      <c r="BX33" s="451" t="s">
        <v>2559</v>
      </c>
      <c r="CA33" s="450"/>
      <c r="CB33" s="420" t="b">
        <f t="shared" si="10"/>
        <v>0</v>
      </c>
      <c r="CC33" s="451" t="s">
        <v>7230</v>
      </c>
      <c r="CF33" s="452"/>
      <c r="CG33" s="453" t="b">
        <f t="shared" si="11"/>
        <v>0</v>
      </c>
      <c r="CH33" s="454" t="s">
        <v>7263</v>
      </c>
      <c r="CP33" s="470"/>
      <c r="CQ33" s="501" t="b">
        <f t="shared" si="13"/>
        <v>0</v>
      </c>
      <c r="CR33" s="472" t="s">
        <v>7275</v>
      </c>
    </row>
    <row r="34">
      <c r="A34" s="21"/>
      <c r="B34" s="439"/>
      <c r="C34" s="21"/>
      <c r="D34" s="495" t="b">
        <f t="shared" si="28"/>
        <v>0</v>
      </c>
      <c r="E34" s="496" t="str">
        <f t="array" ref="E34">XLOOKUP(G34,Advancements!$I$2:$I164,Advancements!$C$2:$C164)</f>
        <v/>
      </c>
      <c r="F34" s="496" t="str">
        <f t="array" ref="F34">XLOOKUP(G34,Advancements!$I$2:$I164,Advancements!$H$2:$H164)</f>
        <v/>
      </c>
      <c r="G34" s="497" t="s">
        <v>59</v>
      </c>
      <c r="H34" s="21"/>
      <c r="I34" s="495" t="b">
        <f t="shared" si="29"/>
        <v>0</v>
      </c>
      <c r="J34" s="496" t="str">
        <f t="array" ref="J34">XLOOKUP(L34,Advancements!$I$2:$I164,Advancements!$C$2:$C164)</f>
        <v/>
      </c>
      <c r="K34" s="496" t="str">
        <f t="array" ref="K34">XLOOKUP(L34,Advancements!$I$2:$I164,Advancements!$H$2:$H164)</f>
        <v/>
      </c>
      <c r="L34" s="497" t="s">
        <v>59</v>
      </c>
      <c r="M34" s="21"/>
      <c r="N34" s="495" t="b">
        <f t="shared" si="30"/>
        <v>0</v>
      </c>
      <c r="O34" s="496" t="str">
        <f t="array" ref="O34">XLOOKUP(Q34,Advancements!$I$2:$I164,Advancements!$C$2:$C164)</f>
        <v/>
      </c>
      <c r="P34" s="496" t="str">
        <f t="array" ref="P34">XLOOKUP(Q34,Advancements!$I$2:$I164,Advancements!$H$2:$H164)</f>
        <v/>
      </c>
      <c r="Q34" s="497" t="s">
        <v>59</v>
      </c>
      <c r="R34" s="21"/>
      <c r="S34" s="495" t="b">
        <f t="shared" si="31"/>
        <v>0</v>
      </c>
      <c r="T34" s="496" t="str">
        <f t="array" ref="T34">XLOOKUP(V34,Advancements!$I$2:$I164,Advancements!$C$2:$C164)</f>
        <v/>
      </c>
      <c r="U34" s="496" t="str">
        <f t="array" ref="U34">XLOOKUP(V34,Advancements!$I$2:$I164,Advancements!$H$2:$H164)</f>
        <v/>
      </c>
      <c r="V34" s="497" t="s">
        <v>59</v>
      </c>
      <c r="W34" s="21"/>
      <c r="X34" s="495" t="b">
        <f t="shared" si="32"/>
        <v>0</v>
      </c>
      <c r="Y34" s="496" t="str">
        <f t="array" ref="Y34">XLOOKUP(AA34,Advancements!$I$2:$I164,Advancements!$C$2:$C164)</f>
        <v/>
      </c>
      <c r="Z34" s="496" t="str">
        <f t="array" ref="Z34">XLOOKUP(AA34,Advancements!$I$2:$I164,Advancements!$H$2:$H164)</f>
        <v/>
      </c>
      <c r="AA34" s="497" t="s">
        <v>2738</v>
      </c>
      <c r="AB34" s="21"/>
      <c r="AC34" s="21"/>
      <c r="AD34" s="21"/>
      <c r="AE34" s="21"/>
      <c r="AF34" s="21"/>
      <c r="AH34" s="443" t="str">
        <f t="shared" si="1"/>
        <v/>
      </c>
      <c r="AI34" s="420" t="b">
        <v>0</v>
      </c>
      <c r="AJ34" s="444" t="s">
        <v>7260</v>
      </c>
      <c r="AM34" s="445"/>
      <c r="AN34" s="423" t="b">
        <f t="shared" si="2"/>
        <v>0</v>
      </c>
      <c r="AO34" s="446" t="s">
        <v>7223</v>
      </c>
      <c r="AR34" s="447"/>
      <c r="AS34" s="423" t="b">
        <f t="shared" si="3"/>
        <v>0</v>
      </c>
      <c r="AT34" s="448" t="s">
        <v>7244</v>
      </c>
      <c r="AW34" s="447"/>
      <c r="AX34" s="423" t="b">
        <f t="shared" si="4"/>
        <v>0</v>
      </c>
      <c r="AY34" s="448" t="s">
        <v>7244</v>
      </c>
      <c r="BB34" s="447"/>
      <c r="BC34" s="423" t="b">
        <f t="shared" si="5"/>
        <v>0</v>
      </c>
      <c r="BD34" s="448" t="s">
        <v>7246</v>
      </c>
      <c r="BG34" s="447"/>
      <c r="BH34" s="423" t="b">
        <f t="shared" si="6"/>
        <v>0</v>
      </c>
      <c r="BI34" s="448" t="s">
        <v>7207</v>
      </c>
      <c r="BL34" s="447"/>
      <c r="BM34" s="423" t="b">
        <f t="shared" si="7"/>
        <v>0</v>
      </c>
      <c r="BN34" s="448" t="s">
        <v>7254</v>
      </c>
      <c r="BQ34" s="450"/>
      <c r="BR34" s="420" t="b">
        <f t="shared" si="8"/>
        <v>0</v>
      </c>
      <c r="BS34" s="451" t="s">
        <v>7277</v>
      </c>
      <c r="BV34" s="450"/>
      <c r="BW34" s="420" t="b">
        <f t="shared" si="9"/>
        <v>0</v>
      </c>
      <c r="BX34" s="451" t="s">
        <v>7277</v>
      </c>
      <c r="CA34" s="450"/>
      <c r="CB34" s="420" t="b">
        <f t="shared" si="10"/>
        <v>0</v>
      </c>
      <c r="CC34" s="451" t="s">
        <v>7232</v>
      </c>
      <c r="CF34" s="452"/>
      <c r="CG34" s="453" t="b">
        <f t="shared" si="11"/>
        <v>0</v>
      </c>
      <c r="CH34" s="454" t="s">
        <v>7278</v>
      </c>
    </row>
    <row r="35">
      <c r="A35" s="21"/>
      <c r="B35" s="439"/>
      <c r="C35" s="21"/>
      <c r="D35" s="495" t="b">
        <f t="shared" si="28"/>
        <v>0</v>
      </c>
      <c r="E35" s="496" t="str">
        <f t="array" ref="E35">XLOOKUP(G35,Advancements!$I$2:$I164,Advancements!$C$2:$C164)</f>
        <v/>
      </c>
      <c r="F35" s="496" t="str">
        <f t="array" ref="F35">XLOOKUP(G35,Advancements!$I$2:$I164,Advancements!$H$2:$H164)</f>
        <v/>
      </c>
      <c r="G35" s="497" t="s">
        <v>55</v>
      </c>
      <c r="H35" s="21"/>
      <c r="I35" s="495" t="b">
        <f t="shared" si="29"/>
        <v>0</v>
      </c>
      <c r="J35" s="496" t="str">
        <f t="array" ref="J35">XLOOKUP(L35,Advancements!$I$2:$I164,Advancements!$C$2:$C164)</f>
        <v/>
      </c>
      <c r="K35" s="496" t="str">
        <f t="array" ref="K35">XLOOKUP(L35,Advancements!$I$2:$I164,Advancements!$H$2:$H164)</f>
        <v/>
      </c>
      <c r="L35" s="497" t="s">
        <v>55</v>
      </c>
      <c r="M35" s="21"/>
      <c r="N35" s="495" t="b">
        <f t="shared" si="30"/>
        <v>0</v>
      </c>
      <c r="O35" s="496" t="str">
        <f t="array" ref="O35">XLOOKUP(Q35,Advancements!$I$2:$I164,Advancements!$C$2:$C164)</f>
        <v/>
      </c>
      <c r="P35" s="496" t="str">
        <f t="array" ref="P35">XLOOKUP(Q35,Advancements!$I$2:$I164,Advancements!$H$2:$H164)</f>
        <v/>
      </c>
      <c r="Q35" s="497" t="s">
        <v>55</v>
      </c>
      <c r="R35" s="21"/>
      <c r="S35" s="495" t="b">
        <f t="shared" si="31"/>
        <v>0</v>
      </c>
      <c r="T35" s="496" t="str">
        <f t="array" ref="T35">XLOOKUP(V35,Advancements!$I$2:$I164,Advancements!$C$2:$C164)</f>
        <v/>
      </c>
      <c r="U35" s="496" t="str">
        <f t="array" ref="U35">XLOOKUP(V35,Advancements!$I$2:$I164,Advancements!$H$2:$H164)</f>
        <v/>
      </c>
      <c r="V35" s="497" t="s">
        <v>55</v>
      </c>
      <c r="W35" s="21"/>
      <c r="X35" s="495" t="b">
        <f t="shared" si="32"/>
        <v>0</v>
      </c>
      <c r="Y35" s="496" t="str">
        <f t="array" ref="Y35">XLOOKUP(AA35,Advancements!$I$2:$I164,Advancements!$C$2:$C164)</f>
        <v/>
      </c>
      <c r="Z35" s="496" t="str">
        <f t="array" ref="Z35">XLOOKUP(AA35,Advancements!$I$2:$I164,Advancements!$H$2:$H164)</f>
        <v/>
      </c>
      <c r="AA35" s="497" t="s">
        <v>59</v>
      </c>
      <c r="AB35" s="21"/>
      <c r="AC35" s="21"/>
      <c r="AD35" s="21"/>
      <c r="AE35" s="21"/>
      <c r="AF35" s="21"/>
      <c r="AH35" s="443" t="str">
        <f t="shared" si="1"/>
        <v/>
      </c>
      <c r="AI35" s="420" t="b">
        <v>0</v>
      </c>
      <c r="AJ35" s="444" t="s">
        <v>7276</v>
      </c>
      <c r="AM35" s="445"/>
      <c r="AN35" s="423" t="b">
        <f t="shared" si="2"/>
        <v>0</v>
      </c>
      <c r="AO35" s="446" t="s">
        <v>7207</v>
      </c>
      <c r="AR35" s="447"/>
      <c r="AS35" s="423" t="b">
        <f t="shared" si="3"/>
        <v>0</v>
      </c>
      <c r="AT35" s="448" t="s">
        <v>7252</v>
      </c>
      <c r="AW35" s="447"/>
      <c r="AX35" s="423" t="b">
        <f t="shared" si="4"/>
        <v>0</v>
      </c>
      <c r="AY35" s="448" t="s">
        <v>7252</v>
      </c>
      <c r="BB35" s="447"/>
      <c r="BC35" s="423" t="b">
        <f t="shared" si="5"/>
        <v>0</v>
      </c>
      <c r="BD35" s="448" t="s">
        <v>7244</v>
      </c>
      <c r="BG35" s="447"/>
      <c r="BH35" s="423" t="b">
        <f t="shared" si="6"/>
        <v>0</v>
      </c>
      <c r="BI35" s="448" t="s">
        <v>7246</v>
      </c>
      <c r="BL35" s="447"/>
      <c r="BM35" s="423" t="b">
        <f t="shared" si="7"/>
        <v>0</v>
      </c>
      <c r="BN35" s="448" t="s">
        <v>7256</v>
      </c>
      <c r="BQ35" s="450"/>
      <c r="BR35" s="420" t="b">
        <f t="shared" si="8"/>
        <v>0</v>
      </c>
      <c r="BS35" s="451" t="s">
        <v>5510</v>
      </c>
      <c r="BV35" s="450"/>
      <c r="BW35" s="420" t="b">
        <f t="shared" si="9"/>
        <v>0</v>
      </c>
      <c r="BX35" s="451" t="s">
        <v>7230</v>
      </c>
      <c r="CA35" s="450"/>
      <c r="CB35" s="420" t="b">
        <f t="shared" si="10"/>
        <v>0</v>
      </c>
      <c r="CC35" s="451" t="s">
        <v>7279</v>
      </c>
      <c r="CF35" s="452"/>
      <c r="CG35" s="453" t="b">
        <f t="shared" si="11"/>
        <v>0</v>
      </c>
      <c r="CH35" s="454" t="s">
        <v>7233</v>
      </c>
    </row>
    <row r="36">
      <c r="A36" s="21"/>
      <c r="B36" s="439"/>
      <c r="C36" s="21"/>
      <c r="D36" s="495" t="b">
        <f t="shared" si="28"/>
        <v>0</v>
      </c>
      <c r="E36" s="496" t="str">
        <f t="array" ref="E36">XLOOKUP(G36,Advancements!$I$2:$I164,Advancements!$C$2:$C164)</f>
        <v/>
      </c>
      <c r="F36" s="496" t="str">
        <f t="array" ref="F36">XLOOKUP(G36,Advancements!$I$2:$I164,Advancements!$H$2:$H164)</f>
        <v/>
      </c>
      <c r="G36" s="497" t="s">
        <v>67</v>
      </c>
      <c r="H36" s="21"/>
      <c r="I36" s="495" t="b">
        <f t="shared" si="29"/>
        <v>0</v>
      </c>
      <c r="J36" s="496" t="str">
        <f t="array" ref="J36">XLOOKUP(L36,Advancements!$I$2:$I164,Advancements!$C$2:$C164)</f>
        <v/>
      </c>
      <c r="K36" s="496" t="str">
        <f t="array" ref="K36">XLOOKUP(L36,Advancements!$I$2:$I164,Advancements!$H$2:$H164)</f>
        <v/>
      </c>
      <c r="L36" s="497" t="s">
        <v>67</v>
      </c>
      <c r="M36" s="21"/>
      <c r="N36" s="495" t="b">
        <f t="shared" si="30"/>
        <v>0</v>
      </c>
      <c r="O36" s="496" t="str">
        <f t="array" ref="O36">XLOOKUP(Q36,Advancements!$I$2:$I164,Advancements!$C$2:$C164)</f>
        <v/>
      </c>
      <c r="P36" s="496" t="str">
        <f t="array" ref="P36">XLOOKUP(Q36,Advancements!$I$2:$I164,Advancements!$H$2:$H164)</f>
        <v/>
      </c>
      <c r="Q36" s="497" t="s">
        <v>2707</v>
      </c>
      <c r="R36" s="21"/>
      <c r="S36" s="495" t="b">
        <f t="shared" si="31"/>
        <v>0</v>
      </c>
      <c r="T36" s="496" t="str">
        <f t="array" ref="T36">XLOOKUP(V36,Advancements!$I$2:$I164,Advancements!$C$2:$C164)</f>
        <v/>
      </c>
      <c r="U36" s="496" t="str">
        <f t="array" ref="U36">XLOOKUP(V36,Advancements!$I$2:$I164,Advancements!$H$2:$H164)</f>
        <v/>
      </c>
      <c r="V36" s="497" t="s">
        <v>67</v>
      </c>
      <c r="W36" s="21"/>
      <c r="X36" s="495" t="b">
        <f t="shared" si="32"/>
        <v>0</v>
      </c>
      <c r="Y36" s="496" t="str">
        <f t="array" ref="Y36">XLOOKUP(AA36,Advancements!$I$2:$I164,Advancements!$C$2:$C164)</f>
        <v/>
      </c>
      <c r="Z36" s="496" t="str">
        <f t="array" ref="Z36">XLOOKUP(AA36,Advancements!$I$2:$I164,Advancements!$H$2:$H164)</f>
        <v/>
      </c>
      <c r="AA36" s="497" t="s">
        <v>55</v>
      </c>
      <c r="AB36" s="21"/>
      <c r="AC36" s="21"/>
      <c r="AD36" s="21"/>
      <c r="AE36" s="21"/>
      <c r="AF36" s="21"/>
      <c r="AH36" s="443" t="str">
        <f t="shared" si="1"/>
        <v/>
      </c>
      <c r="AI36" s="420" t="b">
        <v>0</v>
      </c>
      <c r="AJ36" s="444" t="s">
        <v>7263</v>
      </c>
      <c r="AM36" s="445"/>
      <c r="AN36" s="423" t="b">
        <f t="shared" si="2"/>
        <v>0</v>
      </c>
      <c r="AO36" s="446" t="s">
        <v>7246</v>
      </c>
      <c r="AR36" s="447"/>
      <c r="AS36" s="423" t="b">
        <f t="shared" si="3"/>
        <v>0</v>
      </c>
      <c r="AT36" s="448" t="s">
        <v>7248</v>
      </c>
      <c r="AW36" s="447"/>
      <c r="AX36" s="423" t="b">
        <f t="shared" si="4"/>
        <v>0</v>
      </c>
      <c r="AY36" s="448" t="s">
        <v>7248</v>
      </c>
      <c r="BB36" s="447"/>
      <c r="BC36" s="423" t="b">
        <f t="shared" si="5"/>
        <v>0</v>
      </c>
      <c r="BD36" s="448" t="s">
        <v>7252</v>
      </c>
      <c r="BG36" s="447"/>
      <c r="BH36" s="423" t="b">
        <f t="shared" si="6"/>
        <v>0</v>
      </c>
      <c r="BI36" s="448" t="s">
        <v>7244</v>
      </c>
      <c r="BL36" s="447"/>
      <c r="BM36" s="423" t="b">
        <f t="shared" si="7"/>
        <v>0</v>
      </c>
      <c r="BN36" s="448" t="s">
        <v>7259</v>
      </c>
      <c r="BQ36" s="450"/>
      <c r="BR36" s="420" t="b">
        <f t="shared" si="8"/>
        <v>0</v>
      </c>
      <c r="BS36" s="451" t="s">
        <v>7230</v>
      </c>
      <c r="BV36" s="450"/>
      <c r="BW36" s="420" t="b">
        <f t="shared" si="9"/>
        <v>0</v>
      </c>
      <c r="BX36" s="451" t="s">
        <v>7232</v>
      </c>
      <c r="CA36" s="450"/>
      <c r="CB36" s="420" t="b">
        <f t="shared" si="10"/>
        <v>0</v>
      </c>
      <c r="CC36" s="451" t="s">
        <v>7280</v>
      </c>
      <c r="CF36" s="452"/>
      <c r="CG36" s="453" t="b">
        <f t="shared" si="11"/>
        <v>0</v>
      </c>
      <c r="CH36" s="454" t="s">
        <v>7226</v>
      </c>
    </row>
    <row r="37">
      <c r="A37" s="21"/>
      <c r="B37" s="439"/>
      <c r="C37" s="21"/>
      <c r="D37" s="495" t="b">
        <f t="shared" si="28"/>
        <v>0</v>
      </c>
      <c r="E37" s="496" t="str">
        <f t="array" ref="E37">XLOOKUP(G37,Advancements!$I$2:$I164,Advancements!$C$2:$C164)</f>
        <v/>
      </c>
      <c r="F37" s="496" t="str">
        <f t="array" ref="F37">XLOOKUP(G37,Advancements!$I$2:$I164,Advancements!$H$2:$H164)</f>
        <v/>
      </c>
      <c r="G37" s="497" t="s">
        <v>36</v>
      </c>
      <c r="H37" s="21"/>
      <c r="I37" s="495" t="b">
        <f t="shared" si="29"/>
        <v>0</v>
      </c>
      <c r="J37" s="496" t="str">
        <f t="array" ref="J37">XLOOKUP(L37,Advancements!$I$2:$I164,Advancements!$C$2:$C164)</f>
        <v/>
      </c>
      <c r="K37" s="496" t="str">
        <f t="array" ref="K37">XLOOKUP(L37,Advancements!$I$2:$I164,Advancements!$H$2:$H164)</f>
        <v/>
      </c>
      <c r="L37" s="497" t="s">
        <v>36</v>
      </c>
      <c r="M37" s="21"/>
      <c r="N37" s="495" t="b">
        <f t="shared" si="30"/>
        <v>0</v>
      </c>
      <c r="O37" s="496" t="str">
        <f t="array" ref="O37">XLOOKUP(Q37,Advancements!$I$2:$I164,Advancements!$C$2:$C164)</f>
        <v/>
      </c>
      <c r="P37" s="496" t="str">
        <f t="array" ref="P37">XLOOKUP(Q37,Advancements!$I$2:$I164,Advancements!$H$2:$H164)</f>
        <v/>
      </c>
      <c r="Q37" s="497" t="s">
        <v>67</v>
      </c>
      <c r="R37" s="21"/>
      <c r="S37" s="495" t="b">
        <f t="shared" si="31"/>
        <v>0</v>
      </c>
      <c r="T37" s="496" t="str">
        <f t="array" ref="T37">XLOOKUP(V37,Advancements!$I$2:$I164,Advancements!$C$2:$C164)</f>
        <v/>
      </c>
      <c r="U37" s="496" t="str">
        <f t="array" ref="U37">XLOOKUP(V37,Advancements!$I$2:$I164,Advancements!$H$2:$H164)</f>
        <v/>
      </c>
      <c r="V37" s="497" t="s">
        <v>36</v>
      </c>
      <c r="W37" s="21"/>
      <c r="X37" s="495" t="b">
        <f t="shared" si="32"/>
        <v>0</v>
      </c>
      <c r="Y37" s="496" t="str">
        <f t="array" ref="Y37">XLOOKUP(AA37,Advancements!$I$2:$I164,Advancements!$C$2:$C164)</f>
        <v/>
      </c>
      <c r="Z37" s="496" t="str">
        <f t="array" ref="Z37">XLOOKUP(AA37,Advancements!$I$2:$I164,Advancements!$H$2:$H164)</f>
        <v/>
      </c>
      <c r="AA37" s="497" t="s">
        <v>67</v>
      </c>
      <c r="AB37" s="21"/>
      <c r="AC37" s="21"/>
      <c r="AD37" s="21"/>
      <c r="AE37" s="21"/>
      <c r="AF37" s="21"/>
      <c r="AH37" s="443" t="str">
        <f t="shared" si="1"/>
        <v/>
      </c>
      <c r="AI37" s="420" t="b">
        <v>0</v>
      </c>
      <c r="AJ37" s="444" t="s">
        <v>7233</v>
      </c>
      <c r="AM37" s="445"/>
      <c r="AN37" s="423" t="b">
        <f t="shared" si="2"/>
        <v>0</v>
      </c>
      <c r="AO37" s="446" t="s">
        <v>7244</v>
      </c>
      <c r="AR37" s="447"/>
      <c r="AS37" s="423" t="b">
        <f t="shared" si="3"/>
        <v>0</v>
      </c>
      <c r="AT37" s="448" t="s">
        <v>7211</v>
      </c>
      <c r="AW37" s="447"/>
      <c r="AX37" s="423" t="b">
        <f t="shared" si="4"/>
        <v>0</v>
      </c>
      <c r="AY37" s="448" t="s">
        <v>7211</v>
      </c>
      <c r="BB37" s="447"/>
      <c r="BC37" s="423" t="b">
        <f t="shared" si="5"/>
        <v>0</v>
      </c>
      <c r="BD37" s="448" t="s">
        <v>7248</v>
      </c>
      <c r="BG37" s="447"/>
      <c r="BH37" s="423" t="b">
        <f t="shared" si="6"/>
        <v>0</v>
      </c>
      <c r="BI37" s="448" t="s">
        <v>7252</v>
      </c>
      <c r="BL37" s="447"/>
      <c r="BM37" s="423" t="b">
        <f t="shared" si="7"/>
        <v>0</v>
      </c>
      <c r="BN37" s="448" t="s">
        <v>7222</v>
      </c>
      <c r="BQ37" s="450"/>
      <c r="BR37" s="420" t="b">
        <f t="shared" si="8"/>
        <v>0</v>
      </c>
      <c r="BS37" s="451" t="s">
        <v>7232</v>
      </c>
      <c r="BV37" s="450"/>
      <c r="BW37" s="420" t="b">
        <f t="shared" si="9"/>
        <v>0</v>
      </c>
      <c r="BX37" s="451" t="s">
        <v>7279</v>
      </c>
      <c r="CA37" s="502"/>
      <c r="CB37" s="503" t="b">
        <f t="shared" si="10"/>
        <v>0</v>
      </c>
      <c r="CC37" s="504" t="s">
        <v>7235</v>
      </c>
      <c r="CF37" s="452"/>
      <c r="CG37" s="453" t="b">
        <f t="shared" si="11"/>
        <v>0</v>
      </c>
      <c r="CH37" s="454" t="s">
        <v>7272</v>
      </c>
    </row>
    <row r="38">
      <c r="A38" s="21"/>
      <c r="B38" s="439"/>
      <c r="C38" s="21"/>
      <c r="D38" s="505" t="b">
        <f t="shared" si="28"/>
        <v>0</v>
      </c>
      <c r="E38" s="506" t="str">
        <f t="array" ref="E38">XLOOKUP(G38,Advancements!$I$2:$I164,Advancements!$C$2:$C164)</f>
        <v/>
      </c>
      <c r="F38" s="506" t="str">
        <f t="array" ref="F38">XLOOKUP(G38,Advancements!$I$2:$I164,Advancements!$H$2:$H164)</f>
        <v/>
      </c>
      <c r="G38" s="507" t="s">
        <v>4846</v>
      </c>
      <c r="H38" s="21"/>
      <c r="I38" s="505" t="b">
        <f t="shared" si="29"/>
        <v>0</v>
      </c>
      <c r="J38" s="506" t="str">
        <f t="array" ref="J38">XLOOKUP(L38,Advancements!$I$2:$I164,Advancements!$C$2:$C164)</f>
        <v/>
      </c>
      <c r="K38" s="506" t="str">
        <f t="array" ref="K38">XLOOKUP(L38,Advancements!$I$2:$I164,Advancements!$H$2:$H164)</f>
        <v/>
      </c>
      <c r="L38" s="507" t="s">
        <v>4846</v>
      </c>
      <c r="M38" s="21"/>
      <c r="N38" s="495" t="b">
        <f t="shared" si="30"/>
        <v>0</v>
      </c>
      <c r="O38" s="496" t="str">
        <f t="array" ref="O38">XLOOKUP(Q38,Advancements!$I$2:$I164,Advancements!$C$2:$C164)</f>
        <v/>
      </c>
      <c r="P38" s="496" t="str">
        <f t="array" ref="P38">XLOOKUP(Q38,Advancements!$I$2:$I164,Advancements!$H$2:$H164)</f>
        <v/>
      </c>
      <c r="Q38" s="497" t="s">
        <v>36</v>
      </c>
      <c r="R38" s="21"/>
      <c r="S38" s="505" t="b">
        <f t="shared" si="31"/>
        <v>0</v>
      </c>
      <c r="T38" s="506" t="str">
        <f t="array" ref="T38">XLOOKUP(V38,Advancements!$I$2:$I164,Advancements!$C$2:$C164)</f>
        <v/>
      </c>
      <c r="U38" s="506" t="str">
        <f t="array" ref="U38">XLOOKUP(V38,Advancements!$I$2:$I164,Advancements!$H$2:$H164)</f>
        <v/>
      </c>
      <c r="V38" s="507" t="s">
        <v>4846</v>
      </c>
      <c r="W38" s="21"/>
      <c r="X38" s="495" t="b">
        <f t="shared" si="32"/>
        <v>0</v>
      </c>
      <c r="Y38" s="496" t="str">
        <f t="array" ref="Y38">XLOOKUP(AA38,Advancements!$I$2:$I164,Advancements!$C$2:$C164)</f>
        <v/>
      </c>
      <c r="Z38" s="496" t="str">
        <f t="array" ref="Z38">XLOOKUP(AA38,Advancements!$I$2:$I164,Advancements!$H$2:$H164)</f>
        <v/>
      </c>
      <c r="AA38" s="497" t="s">
        <v>36</v>
      </c>
      <c r="AB38" s="21"/>
      <c r="AC38" s="21"/>
      <c r="AD38" s="21"/>
      <c r="AE38" s="21"/>
      <c r="AF38" s="21"/>
      <c r="AH38" s="443" t="str">
        <f t="shared" si="1"/>
        <v/>
      </c>
      <c r="AI38" s="420" t="b">
        <v>0</v>
      </c>
      <c r="AJ38" s="444" t="s">
        <v>7226</v>
      </c>
      <c r="AM38" s="445"/>
      <c r="AN38" s="423" t="b">
        <f t="shared" si="2"/>
        <v>0</v>
      </c>
      <c r="AO38" s="446" t="s">
        <v>7252</v>
      </c>
      <c r="AR38" s="447"/>
      <c r="AS38" s="423" t="b">
        <f t="shared" si="3"/>
        <v>0</v>
      </c>
      <c r="AT38" s="448" t="s">
        <v>7249</v>
      </c>
      <c r="AW38" s="447"/>
      <c r="AX38" s="423" t="b">
        <f t="shared" si="4"/>
        <v>0</v>
      </c>
      <c r="AY38" s="448" t="s">
        <v>7249</v>
      </c>
      <c r="BB38" s="447"/>
      <c r="BC38" s="423" t="b">
        <f t="shared" si="5"/>
        <v>0</v>
      </c>
      <c r="BD38" s="448" t="s">
        <v>7211</v>
      </c>
      <c r="BG38" s="447"/>
      <c r="BH38" s="423" t="b">
        <f t="shared" si="6"/>
        <v>0</v>
      </c>
      <c r="BI38" s="448" t="s">
        <v>7248</v>
      </c>
      <c r="BL38" s="447"/>
      <c r="BM38" s="423" t="b">
        <f t="shared" si="7"/>
        <v>0</v>
      </c>
      <c r="BN38" s="448" t="s">
        <v>7262</v>
      </c>
      <c r="BQ38" s="450"/>
      <c r="BR38" s="420" t="b">
        <f t="shared" si="8"/>
        <v>0</v>
      </c>
      <c r="BS38" s="451" t="s">
        <v>7279</v>
      </c>
      <c r="BV38" s="450"/>
      <c r="BW38" s="420" t="b">
        <f t="shared" si="9"/>
        <v>0</v>
      </c>
      <c r="BX38" s="451" t="s">
        <v>7280</v>
      </c>
      <c r="CF38" s="452"/>
      <c r="CG38" s="453" t="b">
        <f t="shared" si="11"/>
        <v>0</v>
      </c>
      <c r="CH38" s="454" t="s">
        <v>7275</v>
      </c>
    </row>
    <row r="39">
      <c r="A39" s="21"/>
      <c r="B39" s="468"/>
      <c r="C39" s="21"/>
      <c r="D39" s="466"/>
      <c r="E39" s="21"/>
      <c r="F39" s="21"/>
      <c r="G39" s="21"/>
      <c r="H39" s="21"/>
      <c r="I39" s="21"/>
      <c r="J39" s="21"/>
      <c r="K39" s="21"/>
      <c r="L39" s="21"/>
      <c r="M39" s="21"/>
      <c r="N39" s="508" t="b">
        <f t="shared" si="30"/>
        <v>0</v>
      </c>
      <c r="O39" s="506" t="str">
        <f t="array" ref="O39">XLOOKUP(Q39,Advancements!$I$2:$I164,Advancements!$C$2:$C164)</f>
        <v/>
      </c>
      <c r="P39" s="506" t="str">
        <f t="array" ref="P39">XLOOKUP(Q39,Advancements!$I$2:$I164,Advancements!$H$2:$H164)</f>
        <v/>
      </c>
      <c r="Q39" s="507" t="s">
        <v>4846</v>
      </c>
      <c r="R39" s="21"/>
      <c r="S39" s="21"/>
      <c r="T39" s="21"/>
      <c r="U39" s="21"/>
      <c r="V39" s="21"/>
      <c r="W39" s="21"/>
      <c r="X39" s="508" t="b">
        <f t="shared" si="32"/>
        <v>0</v>
      </c>
      <c r="Y39" s="506" t="str">
        <f t="array" ref="Y39">XLOOKUP(AA39,Advancements!$I$2:$I164,Advancements!$C$2:$C164)</f>
        <v/>
      </c>
      <c r="Z39" s="506" t="str">
        <f t="array" ref="Z39">XLOOKUP(AA39,Advancements!$I$2:$I164,Advancements!$H$2:$H164)</f>
        <v/>
      </c>
      <c r="AA39" s="507" t="s">
        <v>4846</v>
      </c>
      <c r="AB39" s="21"/>
      <c r="AC39" s="21"/>
      <c r="AD39" s="21"/>
      <c r="AE39" s="21"/>
      <c r="AF39" s="21"/>
      <c r="AH39" s="443" t="str">
        <f t="shared" si="1"/>
        <v/>
      </c>
      <c r="AI39" s="420" t="b">
        <v>0</v>
      </c>
      <c r="AJ39" s="483" t="s">
        <v>7236</v>
      </c>
      <c r="AM39" s="445"/>
      <c r="AN39" s="423" t="b">
        <f t="shared" si="2"/>
        <v>0</v>
      </c>
      <c r="AO39" s="446" t="s">
        <v>7248</v>
      </c>
      <c r="AR39" s="447"/>
      <c r="AS39" s="423" t="b">
        <f t="shared" si="3"/>
        <v>0</v>
      </c>
      <c r="AT39" s="448" t="s">
        <v>7250</v>
      </c>
      <c r="AW39" s="447"/>
      <c r="AX39" s="423" t="b">
        <f t="shared" si="4"/>
        <v>0</v>
      </c>
      <c r="AY39" s="448" t="s">
        <v>7250</v>
      </c>
      <c r="BB39" s="447"/>
      <c r="BC39" s="423" t="b">
        <f t="shared" si="5"/>
        <v>0</v>
      </c>
      <c r="BD39" s="448" t="s">
        <v>7249</v>
      </c>
      <c r="BG39" s="447"/>
      <c r="BH39" s="423" t="b">
        <f t="shared" si="6"/>
        <v>0</v>
      </c>
      <c r="BI39" s="448" t="s">
        <v>7211</v>
      </c>
      <c r="BL39" s="447"/>
      <c r="BM39" s="423" t="b">
        <f t="shared" si="7"/>
        <v>0</v>
      </c>
      <c r="BN39" s="448" t="s">
        <v>7264</v>
      </c>
      <c r="BQ39" s="450"/>
      <c r="BR39" s="420" t="b">
        <f t="shared" si="8"/>
        <v>0</v>
      </c>
      <c r="BS39" s="451" t="s">
        <v>7280</v>
      </c>
      <c r="BV39" s="502"/>
      <c r="BW39" s="503" t="b">
        <f t="shared" si="9"/>
        <v>0</v>
      </c>
      <c r="BX39" s="504" t="s">
        <v>7235</v>
      </c>
      <c r="CF39" s="498"/>
      <c r="CG39" s="499" t="b">
        <f t="shared" si="11"/>
        <v>0</v>
      </c>
      <c r="CH39" s="500" t="s">
        <v>7232</v>
      </c>
    </row>
    <row r="40">
      <c r="A40" s="21"/>
      <c r="B40" s="21"/>
      <c r="C40" s="21"/>
      <c r="D40" s="21"/>
      <c r="E40" s="21"/>
      <c r="F40" s="21"/>
      <c r="G40" s="21"/>
      <c r="H40" s="21"/>
      <c r="I40" s="21"/>
      <c r="J40" s="21"/>
      <c r="K40" s="21"/>
      <c r="L40" s="21"/>
      <c r="M40" s="21"/>
      <c r="N40" s="21"/>
      <c r="O40" s="21"/>
      <c r="P40" s="21"/>
      <c r="Q40" s="21"/>
      <c r="R40" s="21"/>
      <c r="S40" s="21"/>
      <c r="T40" s="21"/>
      <c r="U40" s="21"/>
      <c r="V40" s="21"/>
      <c r="W40" s="21"/>
      <c r="X40" s="21"/>
      <c r="Y40" s="21"/>
      <c r="Z40" s="21"/>
      <c r="AA40" s="21"/>
      <c r="AB40" s="21"/>
      <c r="AC40" s="21"/>
      <c r="AD40" s="21"/>
      <c r="AE40" s="21"/>
      <c r="AF40" s="21"/>
      <c r="AH40" s="443" t="str">
        <f t="shared" si="1"/>
        <v/>
      </c>
      <c r="AI40" s="420" t="b">
        <v>0</v>
      </c>
      <c r="AJ40" s="444" t="s">
        <v>7245</v>
      </c>
      <c r="AM40" s="445"/>
      <c r="AN40" s="423" t="b">
        <f t="shared" si="2"/>
        <v>0</v>
      </c>
      <c r="AO40" s="446" t="s">
        <v>7211</v>
      </c>
      <c r="AR40" s="447"/>
      <c r="AS40" s="423" t="b">
        <f t="shared" si="3"/>
        <v>0</v>
      </c>
      <c r="AT40" s="448" t="s">
        <v>7253</v>
      </c>
      <c r="AW40" s="447"/>
      <c r="AX40" s="423" t="b">
        <f t="shared" si="4"/>
        <v>0</v>
      </c>
      <c r="AY40" s="448" t="s">
        <v>7253</v>
      </c>
      <c r="BB40" s="447"/>
      <c r="BC40" s="423" t="b">
        <f t="shared" si="5"/>
        <v>0</v>
      </c>
      <c r="BD40" s="448" t="s">
        <v>7250</v>
      </c>
      <c r="BG40" s="447"/>
      <c r="BH40" s="423" t="b">
        <f t="shared" si="6"/>
        <v>0</v>
      </c>
      <c r="BI40" s="448" t="s">
        <v>7249</v>
      </c>
      <c r="BL40" s="447"/>
      <c r="BM40" s="423" t="b">
        <f t="shared" si="7"/>
        <v>0</v>
      </c>
      <c r="BN40" s="448" t="s">
        <v>7271</v>
      </c>
      <c r="BQ40" s="502"/>
      <c r="BR40" s="503" t="b">
        <f t="shared" si="8"/>
        <v>0</v>
      </c>
      <c r="BS40" s="504" t="s">
        <v>7235</v>
      </c>
    </row>
    <row r="41">
      <c r="A41" s="21"/>
      <c r="B41" s="509" t="s">
        <v>7281</v>
      </c>
      <c r="C41" s="21"/>
      <c r="D41" s="510" t="b">
        <f>IFALLTRUE(D42:D50)</f>
        <v>0</v>
      </c>
      <c r="E41" s="511"/>
      <c r="F41" s="511" t="str">
        <f>GET_MOB_HEAD(G41)</f>
        <v/>
      </c>
      <c r="G41" s="512" t="s">
        <v>7282</v>
      </c>
      <c r="H41" s="21"/>
      <c r="I41" s="510" t="b">
        <f>IFALLTRUE(I42:I50)</f>
        <v>0</v>
      </c>
      <c r="J41" s="511"/>
      <c r="K41" s="511" t="str">
        <f>GET_MOB_HEAD(L41)</f>
        <v/>
      </c>
      <c r="L41" s="512" t="s">
        <v>7283</v>
      </c>
      <c r="M41" s="21"/>
      <c r="N41" s="510" t="b">
        <f>IFALLTRUE(N42:N50)</f>
        <v>0</v>
      </c>
      <c r="O41" s="511"/>
      <c r="P41" s="511" t="str">
        <f>GET_MOB_HEAD(Q41)</f>
        <v/>
      </c>
      <c r="Q41" s="512" t="s">
        <v>7284</v>
      </c>
      <c r="R41" s="21"/>
      <c r="S41" s="510" t="b">
        <f>IFALLTRUE(S42:S50)</f>
        <v>0</v>
      </c>
      <c r="T41" s="511"/>
      <c r="U41" s="511" t="str">
        <f>GET_MOB_HEAD(V41)</f>
        <v/>
      </c>
      <c r="V41" s="512" t="s">
        <v>7285</v>
      </c>
      <c r="W41" s="21"/>
      <c r="X41" s="510" t="b">
        <f>IFALLTRUE(X42:X50)</f>
        <v>0</v>
      </c>
      <c r="Y41" s="511"/>
      <c r="Z41" s="511" t="str">
        <f>GET_MOB_HEAD(AA41)</f>
        <v/>
      </c>
      <c r="AA41" s="512" t="s">
        <v>7286</v>
      </c>
      <c r="AB41" s="21"/>
      <c r="AC41" s="510" t="b">
        <f>IFALLTRUE(AC42:AC50)</f>
        <v>0</v>
      </c>
      <c r="AD41" s="511"/>
      <c r="AE41" s="511" t="str">
        <f>GET_MOB_HEAD(AF41)</f>
        <v/>
      </c>
      <c r="AF41" s="512" t="s">
        <v>7287</v>
      </c>
      <c r="AH41" s="443" t="str">
        <f t="shared" si="1"/>
        <v/>
      </c>
      <c r="AI41" s="420" t="b">
        <v>0</v>
      </c>
      <c r="AJ41" s="444" t="s">
        <v>7247</v>
      </c>
      <c r="AM41" s="445"/>
      <c r="AN41" s="423" t="b">
        <f t="shared" si="2"/>
        <v>0</v>
      </c>
      <c r="AO41" s="446" t="s">
        <v>7249</v>
      </c>
      <c r="AR41" s="513"/>
      <c r="AS41" s="423" t="b">
        <f t="shared" si="3"/>
        <v>0</v>
      </c>
      <c r="AT41" s="514" t="s">
        <v>7255</v>
      </c>
      <c r="AW41" s="513"/>
      <c r="AX41" s="423" t="b">
        <f t="shared" si="4"/>
        <v>0</v>
      </c>
      <c r="AY41" s="514" t="s">
        <v>7255</v>
      </c>
      <c r="BB41" s="447"/>
      <c r="BC41" s="423" t="b">
        <f t="shared" si="5"/>
        <v>0</v>
      </c>
      <c r="BD41" s="448" t="s">
        <v>7253</v>
      </c>
      <c r="BG41" s="447"/>
      <c r="BH41" s="423" t="b">
        <f t="shared" si="6"/>
        <v>0</v>
      </c>
      <c r="BI41" s="448" t="s">
        <v>7250</v>
      </c>
      <c r="BL41" s="447"/>
      <c r="BM41" s="423" t="b">
        <f t="shared" si="7"/>
        <v>0</v>
      </c>
      <c r="BN41" s="448" t="s">
        <v>7272</v>
      </c>
    </row>
    <row r="42">
      <c r="A42" s="21"/>
      <c r="B42" s="439"/>
      <c r="C42" s="21"/>
      <c r="D42" s="515" t="b">
        <f t="shared" ref="D42:D43" si="33">CHECK_MOB(G42,G$41)</f>
        <v>0</v>
      </c>
      <c r="E42" s="516" t="str">
        <f t="array" ref="E42">XLOOKUP(G42,Advancements!$I$2:$I164,Advancements!$C$2:$C164)</f>
        <v/>
      </c>
      <c r="F42" s="516" t="str">
        <f t="array" ref="F42">XLOOKUP(G42,Advancements!$I$2:$I164,Advancements!$H$2:$H164)</f>
        <v/>
      </c>
      <c r="G42" s="517" t="s">
        <v>36</v>
      </c>
      <c r="H42" s="21"/>
      <c r="I42" s="515" t="b">
        <f t="shared" ref="I42:I50" si="34">CHECK_MOB(L42,L$41)</f>
        <v>0</v>
      </c>
      <c r="J42" s="516" t="str">
        <f t="array" ref="J42">XLOOKUP(L42,Advancements!$I$2:$I164,Advancements!$C$2:$C164)</f>
        <v/>
      </c>
      <c r="K42" s="516" t="str">
        <f t="array" ref="K42">XLOOKUP(L42,Advancements!$I$2:$I164,Advancements!$H$2:$H164)</f>
        <v/>
      </c>
      <c r="L42" s="517" t="s">
        <v>3616</v>
      </c>
      <c r="M42" s="21"/>
      <c r="N42" s="515" t="b">
        <f t="shared" ref="N42:N49" si="35">CHECK_MOB(Q42,Q$41)</f>
        <v>0</v>
      </c>
      <c r="O42" s="516" t="str">
        <f t="array" ref="O42">XLOOKUP(Q42,Advancements!$I$2:$I164,Advancements!$C$2:$C164)</f>
        <v/>
      </c>
      <c r="P42" s="516" t="str">
        <f t="array" ref="P42">XLOOKUP(Q42,Advancements!$I$2:$I164,Advancements!$H$2:$H164)</f>
        <v/>
      </c>
      <c r="Q42" s="517" t="s">
        <v>63</v>
      </c>
      <c r="R42" s="21"/>
      <c r="S42" s="515" t="b">
        <f t="shared" ref="S42:S48" si="36">CHECK_MOB(V42,V$41)</f>
        <v>0</v>
      </c>
      <c r="T42" s="516" t="str">
        <f t="array" ref="T42">XLOOKUP(V42,Advancements!$I$2:$I164,Advancements!$C$2:$C164)</f>
        <v/>
      </c>
      <c r="U42" s="516" t="str">
        <f t="array" ref="U42">XLOOKUP(V42,Advancements!$I$2:$I164,Advancements!$H$2:$H164)</f>
        <v/>
      </c>
      <c r="V42" s="517" t="s">
        <v>63</v>
      </c>
      <c r="W42" s="21"/>
      <c r="X42" s="515" t="b">
        <f t="shared" ref="X42:X48" si="37">CHECK_MOB(AA42,AA$41)</f>
        <v>0</v>
      </c>
      <c r="Y42" s="516" t="str">
        <f t="array" ref="Y42">XLOOKUP(AA42,Advancements!$I$2:$I164,Advancements!$C$2:$C164)</f>
        <v/>
      </c>
      <c r="Z42" s="516" t="str">
        <f t="array" ref="Z42">XLOOKUP(AA42,Advancements!$I$2:$I164,Advancements!$H$2:$H164)</f>
        <v/>
      </c>
      <c r="AA42" s="517" t="s">
        <v>63</v>
      </c>
      <c r="AB42" s="21"/>
      <c r="AC42" s="515" t="b">
        <f t="shared" ref="AC42:AC49" si="38">CHECK_MOB(AF42,AF$41)</f>
        <v>0</v>
      </c>
      <c r="AD42" s="516" t="str">
        <f t="array" ref="AD42">XLOOKUP(AF42,Advancements!$I$2:$I164,Advancements!$C$2:$C164)</f>
        <v/>
      </c>
      <c r="AE42" s="516" t="str">
        <f t="array" ref="AE42">XLOOKUP(AF42,Advancements!$I$2:$I164,Advancements!$H$2:$H164)</f>
        <v/>
      </c>
      <c r="AF42" s="517" t="s">
        <v>63</v>
      </c>
      <c r="AH42" s="518" t="str">
        <f t="shared" si="1"/>
        <v/>
      </c>
      <c r="AI42" s="503" t="b">
        <v>0</v>
      </c>
      <c r="AJ42" s="519" t="s">
        <v>7275</v>
      </c>
      <c r="AM42" s="445"/>
      <c r="AN42" s="423" t="b">
        <f t="shared" si="2"/>
        <v>0</v>
      </c>
      <c r="AO42" s="446" t="s">
        <v>7250</v>
      </c>
      <c r="AR42" s="447"/>
      <c r="AS42" s="423" t="b">
        <f t="shared" si="3"/>
        <v>0</v>
      </c>
      <c r="AT42" s="448" t="s">
        <v>7258</v>
      </c>
      <c r="AW42" s="447"/>
      <c r="AX42" s="423" t="b">
        <f t="shared" si="4"/>
        <v>0</v>
      </c>
      <c r="AY42" s="448" t="s">
        <v>7258</v>
      </c>
      <c r="BB42" s="513"/>
      <c r="BC42" s="423" t="b">
        <f t="shared" si="5"/>
        <v>0</v>
      </c>
      <c r="BD42" s="514" t="s">
        <v>7255</v>
      </c>
      <c r="BG42" s="447"/>
      <c r="BH42" s="423" t="b">
        <f t="shared" si="6"/>
        <v>0</v>
      </c>
      <c r="BI42" s="448" t="s">
        <v>7253</v>
      </c>
      <c r="BL42" s="447"/>
      <c r="BM42" s="423" t="b">
        <f t="shared" si="7"/>
        <v>0</v>
      </c>
      <c r="BN42" s="448" t="s">
        <v>7273</v>
      </c>
    </row>
    <row r="43">
      <c r="A43" s="21"/>
      <c r="B43" s="439"/>
      <c r="C43" s="21"/>
      <c r="D43" s="520" t="b">
        <f t="shared" si="33"/>
        <v>0</v>
      </c>
      <c r="E43" s="521" t="str">
        <f t="array" ref="E43">XLOOKUP(G43,Advancements!$I$2:$I164,Advancements!$C$2:$C164)</f>
        <v/>
      </c>
      <c r="F43" s="521" t="str">
        <f t="array" ref="F43">XLOOKUP(G43,Advancements!$I$2:$I164,Advancements!$H$2:$H164)</f>
        <v/>
      </c>
      <c r="G43" s="522" t="s">
        <v>4846</v>
      </c>
      <c r="H43" s="21"/>
      <c r="I43" s="523" t="b">
        <f t="shared" si="34"/>
        <v>0</v>
      </c>
      <c r="J43" s="524" t="str">
        <f t="array" ref="J43">XLOOKUP(L43,Advancements!$I$2:$I164,Advancements!$C$2:$C164)</f>
        <v/>
      </c>
      <c r="K43" s="524" t="str">
        <f t="array" ref="K43">XLOOKUP(L43,Advancements!$I$2:$I164,Advancements!$H$2:$H164)</f>
        <v/>
      </c>
      <c r="L43" s="525" t="s">
        <v>63</v>
      </c>
      <c r="M43" s="21"/>
      <c r="N43" s="523" t="b">
        <f t="shared" si="35"/>
        <v>0</v>
      </c>
      <c r="O43" s="524" t="str">
        <f t="array" ref="O43">XLOOKUP(Q43,Advancements!$I$2:$I164,Advancements!$C$2:$C164)</f>
        <v/>
      </c>
      <c r="P43" s="524" t="str">
        <f t="array" ref="P43">XLOOKUP(Q43,Advancements!$I$2:$I164,Advancements!$H$2:$H164)</f>
        <v/>
      </c>
      <c r="Q43" s="525" t="s">
        <v>59</v>
      </c>
      <c r="R43" s="21"/>
      <c r="S43" s="523" t="b">
        <f t="shared" si="36"/>
        <v>0</v>
      </c>
      <c r="T43" s="524" t="str">
        <f t="array" ref="T43">XLOOKUP(V43,Advancements!$I$2:$I164,Advancements!$C$2:$C164)</f>
        <v/>
      </c>
      <c r="U43" s="524" t="str">
        <f t="array" ref="U43">XLOOKUP(V43,Advancements!$I$2:$I164,Advancements!$H$2:$H164)</f>
        <v/>
      </c>
      <c r="V43" s="525" t="s">
        <v>59</v>
      </c>
      <c r="W43" s="21"/>
      <c r="X43" s="523" t="b">
        <f t="shared" si="37"/>
        <v>0</v>
      </c>
      <c r="Y43" s="524" t="str">
        <f t="array" ref="Y43">XLOOKUP(AA43,Advancements!$I$2:$I164,Advancements!$C$2:$C164)</f>
        <v/>
      </c>
      <c r="Z43" s="524" t="str">
        <f t="array" ref="Z43">XLOOKUP(AA43,Advancements!$I$2:$I164,Advancements!$H$2:$H164)</f>
        <v/>
      </c>
      <c r="AA43" s="525" t="s">
        <v>59</v>
      </c>
      <c r="AB43" s="21"/>
      <c r="AC43" s="523" t="b">
        <f t="shared" si="38"/>
        <v>0</v>
      </c>
      <c r="AD43" s="524" t="str">
        <f t="array" ref="AD43">XLOOKUP(AF43,Advancements!$I$2:$I164,Advancements!$C$2:$C164)</f>
        <v/>
      </c>
      <c r="AE43" s="524" t="str">
        <f t="array" ref="AE43">XLOOKUP(AF43,Advancements!$I$2:$I164,Advancements!$H$2:$H164)</f>
        <v/>
      </c>
      <c r="AF43" s="525" t="s">
        <v>2618</v>
      </c>
      <c r="AM43" s="445"/>
      <c r="AN43" s="423" t="b">
        <f t="shared" si="2"/>
        <v>0</v>
      </c>
      <c r="AO43" s="446" t="s">
        <v>7253</v>
      </c>
      <c r="AR43" s="447"/>
      <c r="AS43" s="423" t="b">
        <f t="shared" si="3"/>
        <v>0</v>
      </c>
      <c r="AT43" s="448" t="s">
        <v>2531</v>
      </c>
      <c r="AW43" s="447"/>
      <c r="AX43" s="423" t="b">
        <f t="shared" si="4"/>
        <v>0</v>
      </c>
      <c r="AY43" s="448" t="s">
        <v>2531</v>
      </c>
      <c r="BB43" s="447"/>
      <c r="BC43" s="423" t="b">
        <f t="shared" si="5"/>
        <v>0</v>
      </c>
      <c r="BD43" s="448" t="s">
        <v>7258</v>
      </c>
      <c r="BG43" s="513"/>
      <c r="BH43" s="423" t="b">
        <f t="shared" si="6"/>
        <v>0</v>
      </c>
      <c r="BI43" s="514" t="s">
        <v>7255</v>
      </c>
      <c r="BL43" s="447"/>
      <c r="BM43" s="423" t="b">
        <f t="shared" si="7"/>
        <v>0</v>
      </c>
      <c r="BN43" s="448" t="s">
        <v>7274</v>
      </c>
    </row>
    <row r="44">
      <c r="A44" s="21"/>
      <c r="B44" s="439"/>
      <c r="C44" s="21"/>
      <c r="D44" s="526"/>
      <c r="E44" s="21"/>
      <c r="F44" s="21"/>
      <c r="G44" s="466"/>
      <c r="H44" s="21"/>
      <c r="I44" s="523" t="b">
        <f t="shared" si="34"/>
        <v>0</v>
      </c>
      <c r="J44" s="524" t="str">
        <f t="array" ref="J44">XLOOKUP(L44,Advancements!$I$2:$I164,Advancements!$C$2:$C164)</f>
        <v/>
      </c>
      <c r="K44" s="524" t="str">
        <f t="array" ref="K44">XLOOKUP(L44,Advancements!$I$2:$I164,Advancements!$H$2:$H164)</f>
        <v/>
      </c>
      <c r="L44" s="525" t="s">
        <v>2738</v>
      </c>
      <c r="M44" s="21"/>
      <c r="N44" s="523" t="b">
        <f t="shared" si="35"/>
        <v>0</v>
      </c>
      <c r="O44" s="524" t="str">
        <f t="array" ref="O44">XLOOKUP(Q44,Advancements!$I$2:$I164,Advancements!$C$2:$C164)</f>
        <v/>
      </c>
      <c r="P44" s="524" t="str">
        <f t="array" ref="P44">XLOOKUP(Q44,Advancements!$I$2:$I164,Advancements!$H$2:$H164)</f>
        <v/>
      </c>
      <c r="Q44" s="525" t="s">
        <v>2016</v>
      </c>
      <c r="R44" s="21"/>
      <c r="S44" s="523" t="b">
        <f t="shared" si="36"/>
        <v>0</v>
      </c>
      <c r="T44" s="524" t="str">
        <f t="array" ref="T44">XLOOKUP(V44,Advancements!$I$2:$I164,Advancements!$C$2:$C164)</f>
        <v/>
      </c>
      <c r="U44" s="524" t="str">
        <f t="array" ref="U44">XLOOKUP(V44,Advancements!$I$2:$I164,Advancements!$H$2:$H164)</f>
        <v/>
      </c>
      <c r="V44" s="525" t="s">
        <v>2016</v>
      </c>
      <c r="W44" s="21"/>
      <c r="X44" s="523" t="b">
        <f t="shared" si="37"/>
        <v>0</v>
      </c>
      <c r="Y44" s="524" t="str">
        <f t="array" ref="Y44">XLOOKUP(AA44,Advancements!$I$2:$I164,Advancements!$C$2:$C164)</f>
        <v/>
      </c>
      <c r="Z44" s="524" t="str">
        <f t="array" ref="Z44">XLOOKUP(AA44,Advancements!$I$2:$I164,Advancements!$H$2:$H164)</f>
        <v/>
      </c>
      <c r="AA44" s="525" t="s">
        <v>2016</v>
      </c>
      <c r="AB44" s="21"/>
      <c r="AC44" s="523" t="b">
        <f t="shared" si="38"/>
        <v>0</v>
      </c>
      <c r="AD44" s="524" t="str">
        <f t="array" ref="AD44">XLOOKUP(AF44,Advancements!$I$2:$I164,Advancements!$C$2:$C164)</f>
        <v/>
      </c>
      <c r="AE44" s="524" t="str">
        <f t="array" ref="AE44">XLOOKUP(AF44,Advancements!$I$2:$I164,Advancements!$H$2:$H164)</f>
        <v/>
      </c>
      <c r="AF44" s="525" t="s">
        <v>59</v>
      </c>
      <c r="AM44" s="445"/>
      <c r="AN44" s="423" t="b">
        <f t="shared" si="2"/>
        <v>0</v>
      </c>
      <c r="AO44" s="446" t="s">
        <v>7255</v>
      </c>
      <c r="AR44" s="447"/>
      <c r="AS44" s="423" t="b">
        <f t="shared" si="3"/>
        <v>0</v>
      </c>
      <c r="AT44" s="514" t="s">
        <v>7257</v>
      </c>
      <c r="AW44" s="447"/>
      <c r="AX44" s="423" t="b">
        <f t="shared" si="4"/>
        <v>0</v>
      </c>
      <c r="AY44" s="448" t="s">
        <v>7257</v>
      </c>
      <c r="BB44" s="447"/>
      <c r="BC44" s="423" t="b">
        <f t="shared" si="5"/>
        <v>0</v>
      </c>
      <c r="BD44" s="448" t="s">
        <v>2531</v>
      </c>
      <c r="BG44" s="447"/>
      <c r="BH44" s="423" t="b">
        <f t="shared" si="6"/>
        <v>0</v>
      </c>
      <c r="BI44" s="448" t="s">
        <v>7258</v>
      </c>
      <c r="BL44" s="447"/>
      <c r="BM44" s="423" t="b">
        <f t="shared" si="7"/>
        <v>0</v>
      </c>
      <c r="BN44" s="448" t="s">
        <v>2559</v>
      </c>
    </row>
    <row r="45">
      <c r="A45" s="21"/>
      <c r="B45" s="439"/>
      <c r="C45" s="21"/>
      <c r="D45" s="21"/>
      <c r="E45" s="21"/>
      <c r="F45" s="21"/>
      <c r="G45" s="21"/>
      <c r="H45" s="21"/>
      <c r="I45" s="523" t="b">
        <f t="shared" si="34"/>
        <v>0</v>
      </c>
      <c r="J45" s="524" t="str">
        <f t="array" ref="J45">XLOOKUP(L45,Advancements!$I$2:$I164,Advancements!$C$2:$C164)</f>
        <v/>
      </c>
      <c r="K45" s="524" t="str">
        <f t="array" ref="K45">XLOOKUP(L45,Advancements!$I$2:$I164,Advancements!$H$2:$H164)</f>
        <v/>
      </c>
      <c r="L45" s="525" t="s">
        <v>59</v>
      </c>
      <c r="M45" s="21"/>
      <c r="N45" s="523" t="b">
        <f t="shared" si="35"/>
        <v>0</v>
      </c>
      <c r="O45" s="524" t="str">
        <f t="array" ref="O45">XLOOKUP(Q45,Advancements!$I$2:$I164,Advancements!$C$2:$C164)</f>
        <v/>
      </c>
      <c r="P45" s="524" t="str">
        <f t="array" ref="P45">XLOOKUP(Q45,Advancements!$I$2:$I164,Advancements!$H$2:$H164)</f>
        <v/>
      </c>
      <c r="Q45" s="525" t="s">
        <v>55</v>
      </c>
      <c r="R45" s="21"/>
      <c r="S45" s="523" t="b">
        <f t="shared" si="36"/>
        <v>0</v>
      </c>
      <c r="T45" s="524" t="str">
        <f t="array" ref="T45">XLOOKUP(V45,Advancements!$I$2:$I164,Advancements!$C$2:$C164)</f>
        <v/>
      </c>
      <c r="U45" s="524" t="str">
        <f t="array" ref="U45">XLOOKUP(V45,Advancements!$I$2:$I164,Advancements!$H$2:$H164)</f>
        <v/>
      </c>
      <c r="V45" s="525" t="s">
        <v>55</v>
      </c>
      <c r="W45" s="21"/>
      <c r="X45" s="523" t="b">
        <f t="shared" si="37"/>
        <v>0</v>
      </c>
      <c r="Y45" s="524" t="str">
        <f t="array" ref="Y45">XLOOKUP(AA45,Advancements!$I$2:$I164,Advancements!$C$2:$C164)</f>
        <v/>
      </c>
      <c r="Z45" s="524" t="str">
        <f t="array" ref="Z45">XLOOKUP(AA45,Advancements!$I$2:$I164,Advancements!$H$2:$H164)</f>
        <v/>
      </c>
      <c r="AA45" s="525" t="s">
        <v>55</v>
      </c>
      <c r="AB45" s="21"/>
      <c r="AC45" s="523" t="b">
        <f t="shared" si="38"/>
        <v>0</v>
      </c>
      <c r="AD45" s="524" t="str">
        <f t="array" ref="AD45">XLOOKUP(AF45,Advancements!$I$2:$I164,Advancements!$C$2:$C164)</f>
        <v/>
      </c>
      <c r="AE45" s="524" t="str">
        <f t="array" ref="AE45">XLOOKUP(AF45,Advancements!$I$2:$I164,Advancements!$H$2:$H164)</f>
        <v/>
      </c>
      <c r="AF45" s="525" t="s">
        <v>1718</v>
      </c>
      <c r="AM45" s="445"/>
      <c r="AN45" s="423" t="b">
        <f t="shared" si="2"/>
        <v>0</v>
      </c>
      <c r="AO45" s="446" t="s">
        <v>7258</v>
      </c>
      <c r="AR45" s="447"/>
      <c r="AS45" s="423" t="b">
        <f t="shared" si="3"/>
        <v>0</v>
      </c>
      <c r="AT45" s="448" t="s">
        <v>7215</v>
      </c>
      <c r="AW45" s="447"/>
      <c r="AX45" s="423" t="b">
        <f t="shared" si="4"/>
        <v>0</v>
      </c>
      <c r="AY45" s="448" t="s">
        <v>7215</v>
      </c>
      <c r="BB45" s="447"/>
      <c r="BC45" s="423" t="b">
        <f t="shared" si="5"/>
        <v>0</v>
      </c>
      <c r="BD45" s="448" t="s">
        <v>7257</v>
      </c>
      <c r="BG45" s="447"/>
      <c r="BH45" s="423" t="b">
        <f t="shared" si="6"/>
        <v>0</v>
      </c>
      <c r="BI45" s="448" t="s">
        <v>2531</v>
      </c>
      <c r="BL45" s="447"/>
      <c r="BM45" s="423" t="b">
        <f t="shared" si="7"/>
        <v>0</v>
      </c>
      <c r="BN45" s="448" t="s">
        <v>7277</v>
      </c>
    </row>
    <row r="46">
      <c r="A46" s="21"/>
      <c r="B46" s="439"/>
      <c r="C46" s="21"/>
      <c r="D46" s="21"/>
      <c r="E46" s="21"/>
      <c r="F46" s="21"/>
      <c r="G46" s="21"/>
      <c r="H46" s="21"/>
      <c r="I46" s="523" t="b">
        <f t="shared" si="34"/>
        <v>0</v>
      </c>
      <c r="J46" s="524" t="str">
        <f t="array" ref="J46">XLOOKUP(L46,Advancements!$I$2:$I164,Advancements!$C$2:$C164)</f>
        <v/>
      </c>
      <c r="K46" s="524" t="str">
        <f t="array" ref="K46">XLOOKUP(L46,Advancements!$I$2:$I164,Advancements!$H$2:$H164)</f>
        <v/>
      </c>
      <c r="L46" s="525" t="s">
        <v>55</v>
      </c>
      <c r="M46" s="21"/>
      <c r="N46" s="523" t="b">
        <f t="shared" si="35"/>
        <v>0</v>
      </c>
      <c r="O46" s="524" t="str">
        <f t="array" ref="O46">XLOOKUP(Q46,Advancements!$I$2:$I164,Advancements!$C$2:$C164)</f>
        <v/>
      </c>
      <c r="P46" s="524" t="str">
        <f t="array" ref="P46">XLOOKUP(Q46,Advancements!$I$2:$I164,Advancements!$H$2:$H164)</f>
        <v/>
      </c>
      <c r="Q46" s="525" t="s">
        <v>2707</v>
      </c>
      <c r="R46" s="21"/>
      <c r="S46" s="523" t="b">
        <f t="shared" si="36"/>
        <v>0</v>
      </c>
      <c r="T46" s="524" t="str">
        <f t="array" ref="T46">XLOOKUP(V46,Advancements!$I$2:$I164,Advancements!$C$2:$C164)</f>
        <v/>
      </c>
      <c r="U46" s="524" t="str">
        <f t="array" ref="U46">XLOOKUP(V46,Advancements!$I$2:$I164,Advancements!$H$2:$H164)</f>
        <v/>
      </c>
      <c r="V46" s="525" t="s">
        <v>2707</v>
      </c>
      <c r="W46" s="21"/>
      <c r="X46" s="523" t="b">
        <f t="shared" si="37"/>
        <v>0</v>
      </c>
      <c r="Y46" s="524" t="str">
        <f t="array" ref="Y46">XLOOKUP(AA46,Advancements!$I$2:$I164,Advancements!$C$2:$C164)</f>
        <v/>
      </c>
      <c r="Z46" s="524" t="str">
        <f t="array" ref="Z46">XLOOKUP(AA46,Advancements!$I$2:$I164,Advancements!$H$2:$H164)</f>
        <v/>
      </c>
      <c r="AA46" s="525" t="s">
        <v>2707</v>
      </c>
      <c r="AB46" s="21"/>
      <c r="AC46" s="523" t="b">
        <f t="shared" si="38"/>
        <v>0</v>
      </c>
      <c r="AD46" s="524" t="str">
        <f t="array" ref="AD46">XLOOKUP(AF46,Advancements!$I$2:$I164,Advancements!$C$2:$C164)</f>
        <v/>
      </c>
      <c r="AE46" s="524" t="str">
        <f t="array" ref="AE46">XLOOKUP(AF46,Advancements!$I$2:$I164,Advancements!$H$2:$H164)</f>
        <v/>
      </c>
      <c r="AF46" s="525" t="s">
        <v>55</v>
      </c>
      <c r="AM46" s="445"/>
      <c r="AN46" s="423" t="b">
        <f t="shared" si="2"/>
        <v>0</v>
      </c>
      <c r="AO46" s="446" t="s">
        <v>2531</v>
      </c>
      <c r="AR46" s="447"/>
      <c r="AS46" s="423" t="b">
        <f t="shared" si="3"/>
        <v>0</v>
      </c>
      <c r="AT46" s="448" t="s">
        <v>7217</v>
      </c>
      <c r="AW46" s="447"/>
      <c r="AX46" s="423" t="b">
        <f t="shared" si="4"/>
        <v>0</v>
      </c>
      <c r="AY46" s="448" t="s">
        <v>7217</v>
      </c>
      <c r="BB46" s="447"/>
      <c r="BC46" s="423" t="b">
        <f t="shared" si="5"/>
        <v>0</v>
      </c>
      <c r="BD46" s="448" t="s">
        <v>7215</v>
      </c>
      <c r="BG46" s="447"/>
      <c r="BH46" s="423" t="b">
        <f t="shared" si="6"/>
        <v>0</v>
      </c>
      <c r="BI46" s="448" t="s">
        <v>7257</v>
      </c>
      <c r="BL46" s="447"/>
      <c r="BM46" s="423" t="b">
        <f t="shared" si="7"/>
        <v>0</v>
      </c>
      <c r="BN46" s="448" t="s">
        <v>5510</v>
      </c>
    </row>
    <row r="47">
      <c r="A47" s="21"/>
      <c r="B47" s="439"/>
      <c r="C47" s="21"/>
      <c r="D47" s="21"/>
      <c r="E47" s="21"/>
      <c r="F47" s="21"/>
      <c r="G47" s="21"/>
      <c r="H47" s="21"/>
      <c r="I47" s="523" t="b">
        <f t="shared" si="34"/>
        <v>0</v>
      </c>
      <c r="J47" s="524" t="str">
        <f t="array" ref="J47">XLOOKUP(L47,Advancements!$I$2:$I164,Advancements!$C$2:$C164)</f>
        <v/>
      </c>
      <c r="K47" s="524" t="str">
        <f t="array" ref="K47">XLOOKUP(L47,Advancements!$I$2:$I164,Advancements!$H$2:$H164)</f>
        <v/>
      </c>
      <c r="L47" s="525" t="s">
        <v>2707</v>
      </c>
      <c r="M47" s="21"/>
      <c r="N47" s="523" t="b">
        <f t="shared" si="35"/>
        <v>0</v>
      </c>
      <c r="O47" s="524" t="str">
        <f t="array" ref="O47">XLOOKUP(Q47,Advancements!$I$2:$I164,Advancements!$C$2:$C164)</f>
        <v/>
      </c>
      <c r="P47" s="524" t="str">
        <f t="array" ref="P47">XLOOKUP(Q47,Advancements!$I$2:$I164,Advancements!$H$2:$H164)</f>
        <v/>
      </c>
      <c r="Q47" s="525" t="s">
        <v>67</v>
      </c>
      <c r="R47" s="21"/>
      <c r="S47" s="523" t="b">
        <f t="shared" si="36"/>
        <v>0</v>
      </c>
      <c r="T47" s="524" t="str">
        <f t="array" ref="T47">XLOOKUP(V47,Advancements!$I$2:$I164,Advancements!$C$2:$C164)</f>
        <v/>
      </c>
      <c r="U47" s="524" t="str">
        <f t="array" ref="U47">XLOOKUP(V47,Advancements!$I$2:$I164,Advancements!$H$2:$H164)</f>
        <v/>
      </c>
      <c r="V47" s="525" t="s">
        <v>67</v>
      </c>
      <c r="W47" s="21"/>
      <c r="X47" s="523" t="b">
        <f t="shared" si="37"/>
        <v>0</v>
      </c>
      <c r="Y47" s="524" t="str">
        <f t="array" ref="Y47">XLOOKUP(AA47,Advancements!$I$2:$I164,Advancements!$C$2:$C164)</f>
        <v/>
      </c>
      <c r="Z47" s="524" t="str">
        <f t="array" ref="Z47">XLOOKUP(AA47,Advancements!$I$2:$I164,Advancements!$H$2:$H164)</f>
        <v/>
      </c>
      <c r="AA47" s="525" t="s">
        <v>67</v>
      </c>
      <c r="AB47" s="21"/>
      <c r="AC47" s="523" t="b">
        <f t="shared" si="38"/>
        <v>0</v>
      </c>
      <c r="AD47" s="524" t="str">
        <f t="array" ref="AD47">XLOOKUP(AF47,Advancements!$I$2:$I164,Advancements!$C$2:$C164)</f>
        <v/>
      </c>
      <c r="AE47" s="524" t="str">
        <f t="array" ref="AE47">XLOOKUP(AF47,Advancements!$I$2:$I164,Advancements!$H$2:$H164)</f>
        <v/>
      </c>
      <c r="AF47" s="525" t="s">
        <v>2707</v>
      </c>
      <c r="AM47" s="445"/>
      <c r="AN47" s="423" t="b">
        <f t="shared" si="2"/>
        <v>0</v>
      </c>
      <c r="AO47" s="446" t="s">
        <v>7257</v>
      </c>
      <c r="AR47" s="447"/>
      <c r="AS47" s="423" t="b">
        <f t="shared" si="3"/>
        <v>0</v>
      </c>
      <c r="AT47" s="448" t="s">
        <v>7251</v>
      </c>
      <c r="AW47" s="447"/>
      <c r="AX47" s="423" t="b">
        <f t="shared" si="4"/>
        <v>0</v>
      </c>
      <c r="AY47" s="448" t="s">
        <v>7251</v>
      </c>
      <c r="BB47" s="447"/>
      <c r="BC47" s="423" t="b">
        <f t="shared" si="5"/>
        <v>0</v>
      </c>
      <c r="BD47" s="448" t="s">
        <v>7217</v>
      </c>
      <c r="BG47" s="447"/>
      <c r="BH47" s="423" t="b">
        <f t="shared" si="6"/>
        <v>0</v>
      </c>
      <c r="BI47" s="448" t="s">
        <v>7215</v>
      </c>
      <c r="BL47" s="447"/>
      <c r="BM47" s="423" t="b">
        <f t="shared" si="7"/>
        <v>0</v>
      </c>
      <c r="BN47" s="448" t="s">
        <v>7230</v>
      </c>
    </row>
    <row r="48">
      <c r="A48" s="21"/>
      <c r="B48" s="439"/>
      <c r="C48" s="21"/>
      <c r="D48" s="21"/>
      <c r="E48" s="21"/>
      <c r="F48" s="21"/>
      <c r="G48" s="21"/>
      <c r="H48" s="21"/>
      <c r="I48" s="523" t="b">
        <f t="shared" si="34"/>
        <v>0</v>
      </c>
      <c r="J48" s="524" t="str">
        <f t="array" ref="J48">XLOOKUP(L48,Advancements!$I$2:$I164,Advancements!$C$2:$C164)</f>
        <v/>
      </c>
      <c r="K48" s="524" t="str">
        <f t="array" ref="K48">XLOOKUP(L48,Advancements!$I$2:$I164,Advancements!$H$2:$H164)</f>
        <v/>
      </c>
      <c r="L48" s="525" t="s">
        <v>67</v>
      </c>
      <c r="M48" s="21"/>
      <c r="N48" s="523" t="b">
        <f t="shared" si="35"/>
        <v>0</v>
      </c>
      <c r="O48" s="524" t="str">
        <f t="array" ref="O48">XLOOKUP(Q48,Advancements!$I$2:$I164,Advancements!$C$2:$C164)</f>
        <v/>
      </c>
      <c r="P48" s="524" t="str">
        <f t="array" ref="P48">XLOOKUP(Q48,Advancements!$I$2:$I164,Advancements!$H$2:$H164)</f>
        <v/>
      </c>
      <c r="Q48" s="525" t="s">
        <v>36</v>
      </c>
      <c r="R48" s="21"/>
      <c r="S48" s="520" t="b">
        <f t="shared" si="36"/>
        <v>0</v>
      </c>
      <c r="T48" s="521" t="str">
        <f t="array" ref="T48">XLOOKUP(V48,Advancements!$I$2:$I164,Advancements!$C$2:$C164)</f>
        <v/>
      </c>
      <c r="U48" s="521" t="str">
        <f t="array" ref="U48">XLOOKUP(V48,Advancements!$I$2:$I164,Advancements!$H$2:$H164)</f>
        <v/>
      </c>
      <c r="V48" s="527" t="s">
        <v>4846</v>
      </c>
      <c r="W48" s="21"/>
      <c r="X48" s="520" t="b">
        <f t="shared" si="37"/>
        <v>0</v>
      </c>
      <c r="Y48" s="521" t="str">
        <f t="array" ref="Y48">XLOOKUP(AA48,Advancements!$I$2:$I164,Advancements!$C$2:$C164)</f>
        <v/>
      </c>
      <c r="Z48" s="521" t="str">
        <f t="array" ref="Z48">XLOOKUP(AA48,Advancements!$I$2:$I164,Advancements!$H$2:$H164)</f>
        <v/>
      </c>
      <c r="AA48" s="527" t="s">
        <v>4846</v>
      </c>
      <c r="AB48" s="21"/>
      <c r="AC48" s="523" t="b">
        <f t="shared" si="38"/>
        <v>0</v>
      </c>
      <c r="AD48" s="524" t="str">
        <f t="array" ref="AD48">XLOOKUP(AF48,Advancements!$I$2:$I164,Advancements!$C$2:$C164)</f>
        <v/>
      </c>
      <c r="AE48" s="524" t="str">
        <f t="array" ref="AE48">XLOOKUP(AF48,Advancements!$I$2:$I164,Advancements!$H$2:$H164)</f>
        <v/>
      </c>
      <c r="AF48" s="525" t="s">
        <v>67</v>
      </c>
      <c r="AM48" s="445"/>
      <c r="AN48" s="423" t="b">
        <f t="shared" si="2"/>
        <v>0</v>
      </c>
      <c r="AO48" s="446" t="s">
        <v>7215</v>
      </c>
      <c r="AR48" s="447"/>
      <c r="AS48" s="423" t="b">
        <f t="shared" si="3"/>
        <v>0</v>
      </c>
      <c r="AT48" s="448" t="s">
        <v>7261</v>
      </c>
      <c r="AW48" s="447"/>
      <c r="AX48" s="423" t="b">
        <f t="shared" si="4"/>
        <v>0</v>
      </c>
      <c r="AY48" s="448" t="s">
        <v>7261</v>
      </c>
      <c r="BB48" s="447"/>
      <c r="BC48" s="423" t="b">
        <f t="shared" si="5"/>
        <v>0</v>
      </c>
      <c r="BD48" s="448" t="s">
        <v>7251</v>
      </c>
      <c r="BG48" s="447"/>
      <c r="BH48" s="423" t="b">
        <f t="shared" si="6"/>
        <v>0</v>
      </c>
      <c r="BI48" s="448" t="s">
        <v>7217</v>
      </c>
      <c r="BL48" s="447"/>
      <c r="BM48" s="423" t="b">
        <f t="shared" si="7"/>
        <v>0</v>
      </c>
      <c r="BN48" s="448" t="s">
        <v>7275</v>
      </c>
    </row>
    <row r="49">
      <c r="A49" s="21"/>
      <c r="B49" s="439"/>
      <c r="C49" s="21"/>
      <c r="D49" s="21"/>
      <c r="E49" s="21"/>
      <c r="F49" s="21"/>
      <c r="G49" s="21"/>
      <c r="H49" s="21"/>
      <c r="I49" s="523" t="b">
        <f t="shared" si="34"/>
        <v>0</v>
      </c>
      <c r="J49" s="524" t="str">
        <f t="array" ref="J49">XLOOKUP(L49,Advancements!$I$2:$I164,Advancements!$C$2:$C164)</f>
        <v/>
      </c>
      <c r="K49" s="524" t="str">
        <f t="array" ref="K49">XLOOKUP(L49,Advancements!$I$2:$I164,Advancements!$H$2:$H164)</f>
        <v/>
      </c>
      <c r="L49" s="525" t="s">
        <v>36</v>
      </c>
      <c r="M49" s="21"/>
      <c r="N49" s="520" t="b">
        <f t="shared" si="35"/>
        <v>0</v>
      </c>
      <c r="O49" s="521" t="str">
        <f t="array" ref="O49">XLOOKUP(Q49,Advancements!$I$2:$I164,Advancements!$C$2:$C164)</f>
        <v/>
      </c>
      <c r="P49" s="521" t="str">
        <f t="array" ref="P49">XLOOKUP(Q49,Advancements!$I$2:$I164,Advancements!$H$2:$H164)</f>
        <v/>
      </c>
      <c r="Q49" s="527" t="s">
        <v>4846</v>
      </c>
      <c r="R49" s="21"/>
      <c r="S49" s="21"/>
      <c r="T49" s="21"/>
      <c r="U49" s="21"/>
      <c r="V49" s="21"/>
      <c r="W49" s="21"/>
      <c r="X49" s="21"/>
      <c r="Y49" s="21"/>
      <c r="Z49" s="21"/>
      <c r="AA49" s="21"/>
      <c r="AB49" s="21"/>
      <c r="AC49" s="520" t="b">
        <f t="shared" si="38"/>
        <v>0</v>
      </c>
      <c r="AD49" s="521" t="str">
        <f t="array" ref="AD49">XLOOKUP(AF49,Advancements!$I$2:$I164,Advancements!$C$2:$C164)</f>
        <v/>
      </c>
      <c r="AE49" s="521" t="str">
        <f t="array" ref="AE49">XLOOKUP(AF49,Advancements!$I$2:$I164,Advancements!$H$2:$H164)</f>
        <v/>
      </c>
      <c r="AF49" s="527" t="s">
        <v>4846</v>
      </c>
      <c r="AM49" s="445"/>
      <c r="AN49" s="423" t="b">
        <f t="shared" si="2"/>
        <v>0</v>
      </c>
      <c r="AO49" s="446" t="s">
        <v>7217</v>
      </c>
      <c r="AR49" s="447"/>
      <c r="AS49" s="423" t="b">
        <f t="shared" si="3"/>
        <v>0</v>
      </c>
      <c r="AT49" s="448" t="s">
        <v>6642</v>
      </c>
      <c r="AW49" s="447"/>
      <c r="AX49" s="423" t="b">
        <f t="shared" si="4"/>
        <v>0</v>
      </c>
      <c r="AY49" s="448" t="s">
        <v>6642</v>
      </c>
      <c r="BB49" s="447"/>
      <c r="BC49" s="423" t="b">
        <f t="shared" si="5"/>
        <v>0</v>
      </c>
      <c r="BD49" s="448" t="s">
        <v>7261</v>
      </c>
      <c r="BG49" s="447"/>
      <c r="BH49" s="423" t="b">
        <f t="shared" si="6"/>
        <v>0</v>
      </c>
      <c r="BI49" s="448" t="s">
        <v>7251</v>
      </c>
      <c r="BL49" s="447"/>
      <c r="BM49" s="423" t="b">
        <f t="shared" si="7"/>
        <v>0</v>
      </c>
      <c r="BN49" s="448" t="s">
        <v>7232</v>
      </c>
    </row>
    <row r="50">
      <c r="A50" s="21"/>
      <c r="B50" s="468"/>
      <c r="C50" s="21"/>
      <c r="D50" s="21"/>
      <c r="E50" s="21"/>
      <c r="F50" s="21"/>
      <c r="G50" s="21"/>
      <c r="H50" s="21"/>
      <c r="I50" s="520" t="b">
        <f t="shared" si="34"/>
        <v>0</v>
      </c>
      <c r="J50" s="521" t="str">
        <f t="array" ref="J50">XLOOKUP(L50,Advancements!$I$2:$I164,Advancements!$C$2:$C164)</f>
        <v/>
      </c>
      <c r="K50" s="521" t="str">
        <f t="array" ref="K50">XLOOKUP(L50,Advancements!$I$2:$I164,Advancements!$H$2:$H164)</f>
        <v/>
      </c>
      <c r="L50" s="527" t="s">
        <v>4846</v>
      </c>
      <c r="M50" s="21"/>
      <c r="N50" s="21"/>
      <c r="O50" s="21"/>
      <c r="P50" s="21"/>
      <c r="Q50" s="21"/>
      <c r="R50" s="21"/>
      <c r="S50" s="21"/>
      <c r="T50" s="21"/>
      <c r="U50" s="21"/>
      <c r="V50" s="21"/>
      <c r="W50" s="21"/>
      <c r="X50" s="21"/>
      <c r="Y50" s="21"/>
      <c r="Z50" s="21"/>
      <c r="AA50" s="21"/>
      <c r="AB50" s="21"/>
      <c r="AC50" s="21"/>
      <c r="AD50" s="21"/>
      <c r="AE50" s="21"/>
      <c r="AF50" s="21"/>
      <c r="AM50" s="445"/>
      <c r="AN50" s="423" t="b">
        <f t="shared" si="2"/>
        <v>0</v>
      </c>
      <c r="AO50" s="446" t="s">
        <v>7251</v>
      </c>
      <c r="AR50" s="447"/>
      <c r="AS50" s="423" t="b">
        <f t="shared" si="3"/>
        <v>0</v>
      </c>
      <c r="AT50" s="448" t="s">
        <v>6687</v>
      </c>
      <c r="AW50" s="447"/>
      <c r="AX50" s="423" t="b">
        <f t="shared" si="4"/>
        <v>0</v>
      </c>
      <c r="AY50" s="448" t="s">
        <v>6687</v>
      </c>
      <c r="BB50" s="447"/>
      <c r="BC50" s="423" t="b">
        <f t="shared" si="5"/>
        <v>0</v>
      </c>
      <c r="BD50" s="448" t="s">
        <v>6642</v>
      </c>
      <c r="BG50" s="447"/>
      <c r="BH50" s="423" t="b">
        <f t="shared" si="6"/>
        <v>0</v>
      </c>
      <c r="BI50" s="448" t="s">
        <v>7261</v>
      </c>
      <c r="BL50" s="447"/>
      <c r="BM50" s="423" t="b">
        <f t="shared" si="7"/>
        <v>0</v>
      </c>
      <c r="BN50" s="448" t="s">
        <v>7279</v>
      </c>
    </row>
    <row r="51">
      <c r="A51" s="21"/>
      <c r="B51" s="21"/>
      <c r="C51" s="21"/>
      <c r="D51" s="21"/>
      <c r="E51" s="21"/>
      <c r="F51" s="21"/>
      <c r="G51" s="21"/>
      <c r="H51" s="21"/>
      <c r="I51" s="21"/>
      <c r="J51" s="21"/>
      <c r="K51" s="21"/>
      <c r="L51" s="21"/>
      <c r="M51" s="21"/>
      <c r="N51" s="21"/>
      <c r="O51" s="21"/>
      <c r="P51" s="21"/>
      <c r="Q51" s="21"/>
      <c r="R51" s="21"/>
      <c r="S51" s="21"/>
      <c r="T51" s="21"/>
      <c r="U51" s="21"/>
      <c r="V51" s="21"/>
      <c r="W51" s="21"/>
      <c r="X51" s="21"/>
      <c r="Y51" s="21"/>
      <c r="Z51" s="21"/>
      <c r="AA51" s="21"/>
      <c r="AB51" s="21"/>
      <c r="AC51" s="21"/>
      <c r="AD51" s="21"/>
      <c r="AE51" s="21"/>
      <c r="AF51" s="21"/>
      <c r="AM51" s="445"/>
      <c r="AN51" s="423" t="b">
        <f t="shared" si="2"/>
        <v>0</v>
      </c>
      <c r="AO51" s="446" t="s">
        <v>7261</v>
      </c>
      <c r="AR51" s="447"/>
      <c r="AS51" s="423" t="b">
        <f t="shared" si="3"/>
        <v>0</v>
      </c>
      <c r="AT51" s="448" t="s">
        <v>7254</v>
      </c>
      <c r="AW51" s="447"/>
      <c r="AX51" s="423" t="b">
        <f t="shared" si="4"/>
        <v>0</v>
      </c>
      <c r="AY51" s="448" t="s">
        <v>7254</v>
      </c>
      <c r="BB51" s="447"/>
      <c r="BC51" s="423" t="b">
        <f t="shared" si="5"/>
        <v>0</v>
      </c>
      <c r="BD51" s="448" t="s">
        <v>6687</v>
      </c>
      <c r="BG51" s="447"/>
      <c r="BH51" s="423" t="b">
        <f t="shared" si="6"/>
        <v>0</v>
      </c>
      <c r="BI51" s="448" t="s">
        <v>6642</v>
      </c>
      <c r="BL51" s="447"/>
      <c r="BM51" s="423" t="b">
        <f t="shared" si="7"/>
        <v>0</v>
      </c>
      <c r="BN51" s="448" t="s">
        <v>7280</v>
      </c>
    </row>
    <row r="52">
      <c r="A52" s="21"/>
      <c r="B52" s="528" t="s">
        <v>7288</v>
      </c>
      <c r="C52" s="21"/>
      <c r="D52" s="529" t="b">
        <f>IFALLTRUE(D53:D57)</f>
        <v>0</v>
      </c>
      <c r="E52" s="530"/>
      <c r="F52" s="530" t="str">
        <f>GET_MOB_HEAD(G52)</f>
        <v/>
      </c>
      <c r="G52" s="531" t="s">
        <v>2180</v>
      </c>
      <c r="H52" s="21"/>
      <c r="I52" s="529" t="b">
        <f>IFALLTRUE(I53:I57)</f>
        <v>0</v>
      </c>
      <c r="J52" s="530"/>
      <c r="K52" s="530" t="str">
        <f>GET_MOB_HEAD(L52)</f>
        <v/>
      </c>
      <c r="L52" s="531" t="s">
        <v>2184</v>
      </c>
      <c r="M52" s="21"/>
      <c r="N52" s="529" t="b">
        <f>IFALLTRUE(N53:N57)</f>
        <v>0</v>
      </c>
      <c r="O52" s="530"/>
      <c r="P52" s="530" t="str">
        <f>GET_MOB_HEAD(Q52)</f>
        <v/>
      </c>
      <c r="Q52" s="531" t="s">
        <v>2107</v>
      </c>
      <c r="R52" s="21"/>
      <c r="S52" s="529" t="b">
        <f>IFALLTRUE(S53:S57)</f>
        <v>0</v>
      </c>
      <c r="T52" s="530"/>
      <c r="U52" s="530" t="str">
        <f>GET_MOB_HEAD(V52)</f>
        <v/>
      </c>
      <c r="V52" s="531" t="s">
        <v>2205</v>
      </c>
      <c r="W52" s="21"/>
      <c r="X52" s="529" t="b">
        <f>IFALLTRUE(X53:X57)</f>
        <v>0</v>
      </c>
      <c r="Y52" s="530"/>
      <c r="Z52" s="530" t="str">
        <f>GET_MOB_HEAD(AA52)</f>
        <v/>
      </c>
      <c r="AA52" s="531" t="s">
        <v>7289</v>
      </c>
      <c r="AB52" s="21"/>
      <c r="AC52" s="529" t="b">
        <f>IFALLTRUE(AC53:AC57)</f>
        <v>0</v>
      </c>
      <c r="AD52" s="530"/>
      <c r="AE52" s="530" t="str">
        <f>GET_MOB_HEAD(AF52)</f>
        <v/>
      </c>
      <c r="AF52" s="531" t="s">
        <v>7290</v>
      </c>
      <c r="AM52" s="445"/>
      <c r="AN52" s="423" t="b">
        <f t="shared" si="2"/>
        <v>0</v>
      </c>
      <c r="AO52" s="446" t="s">
        <v>6642</v>
      </c>
      <c r="AR52" s="447"/>
      <c r="AS52" s="423" t="b">
        <f t="shared" si="3"/>
        <v>0</v>
      </c>
      <c r="AT52" s="448" t="s">
        <v>6756</v>
      </c>
      <c r="AW52" s="447"/>
      <c r="AX52" s="423" t="b">
        <f t="shared" si="4"/>
        <v>0</v>
      </c>
      <c r="AY52" s="448" t="s">
        <v>6756</v>
      </c>
      <c r="BB52" s="447"/>
      <c r="BC52" s="423" t="b">
        <f t="shared" si="5"/>
        <v>0</v>
      </c>
      <c r="BD52" s="448" t="s">
        <v>7254</v>
      </c>
      <c r="BG52" s="447"/>
      <c r="BH52" s="423" t="b">
        <f t="shared" si="6"/>
        <v>0</v>
      </c>
      <c r="BI52" s="448" t="s">
        <v>6687</v>
      </c>
      <c r="BL52" s="532"/>
      <c r="BM52" s="533" t="b">
        <f t="shared" si="7"/>
        <v>0</v>
      </c>
      <c r="BN52" s="534" t="s">
        <v>7235</v>
      </c>
    </row>
    <row r="53">
      <c r="A53" s="21"/>
      <c r="B53" s="439"/>
      <c r="C53" s="21"/>
      <c r="D53" s="535" t="b">
        <f t="shared" ref="D53:D55" si="39">CHECK_MOB(G53,G$52)</f>
        <v>0</v>
      </c>
      <c r="E53" s="536" t="str">
        <f t="array" ref="E53">XLOOKUP(G53,Advancements!$I$2:$I164,Advancements!$C$2:$C164)</f>
        <v/>
      </c>
      <c r="F53" s="536" t="str">
        <f t="array" ref="F53">XLOOKUP(G53,Advancements!$I$2:$I164,Advancements!$H$2:$H164)</f>
        <v/>
      </c>
      <c r="G53" s="537" t="s">
        <v>63</v>
      </c>
      <c r="H53" s="21"/>
      <c r="I53" s="535" t="b">
        <f t="shared" ref="I53:I55" si="40">CHECK_MOB(L53,L$52)</f>
        <v>0</v>
      </c>
      <c r="J53" s="536" t="str">
        <f t="array" ref="J53">XLOOKUP(L53,Advancements!$I$2:$I164,Advancements!$C$2:$C164)</f>
        <v/>
      </c>
      <c r="K53" s="536" t="str">
        <f t="array" ref="K53">XLOOKUP(L53,Advancements!$I$2:$I164,Advancements!$H$2:$H164)</f>
        <v/>
      </c>
      <c r="L53" s="537" t="s">
        <v>63</v>
      </c>
      <c r="M53" s="21"/>
      <c r="N53" s="535" t="b">
        <f t="shared" ref="N53:N58" si="41">CHECK_MOB(Q53,Q$52)</f>
        <v>0</v>
      </c>
      <c r="O53" s="536" t="str">
        <f t="array" ref="O53">XLOOKUP(Q53,Advancements!$I$2:$I164,Advancements!$C$2:$C164)</f>
        <v/>
      </c>
      <c r="P53" s="536" t="str">
        <f t="array" ref="P53">XLOOKUP(Q53,Advancements!$I$2:$I164,Advancements!$H$2:$H164)</f>
        <v/>
      </c>
      <c r="Q53" s="537" t="s">
        <v>63</v>
      </c>
      <c r="R53" s="21"/>
      <c r="S53" s="535" t="b">
        <f t="shared" ref="S53:S59" si="42">CHECK_MOB(V53,V$52)</f>
        <v>0</v>
      </c>
      <c r="T53" s="536" t="str">
        <f t="array" ref="T53">XLOOKUP(V53,Advancements!$I$2:$I164,Advancements!$C$2:$C164)</f>
        <v/>
      </c>
      <c r="U53" s="536" t="str">
        <f t="array" ref="U53">XLOOKUP(V53,Advancements!$I$2:$I164,Advancements!$H$2:$H164)</f>
        <v/>
      </c>
      <c r="V53" s="537" t="s">
        <v>63</v>
      </c>
      <c r="W53" s="21"/>
      <c r="X53" s="535" t="b">
        <f t="shared" ref="X53:X60" si="43">CHECK_MOB(AA53,AA$52)</f>
        <v>0</v>
      </c>
      <c r="Y53" s="536" t="str">
        <f t="array" ref="Y53">XLOOKUP(AA53,Advancements!$I$2:$I164,Advancements!$C$2:$C164)</f>
        <v/>
      </c>
      <c r="Z53" s="536" t="str">
        <f t="array" ref="Z53">XLOOKUP(AA53,Advancements!$I$2:$I164,Advancements!$H$2:$H164)</f>
        <v/>
      </c>
      <c r="AA53" s="537" t="s">
        <v>63</v>
      </c>
      <c r="AB53" s="21"/>
      <c r="AC53" s="535" t="b">
        <f t="shared" ref="AC53:AC58" si="44">CHECK_MOB(AF53,AF$52)</f>
        <v>0</v>
      </c>
      <c r="AD53" s="536" t="str">
        <f t="array" ref="AD53">XLOOKUP(AF53,Advancements!$I$2:$I164,Advancements!$C$2:$C164)</f>
        <v/>
      </c>
      <c r="AE53" s="536" t="str">
        <f t="array" ref="AE53">XLOOKUP(AF53,Advancements!$I$2:$I164,Advancements!$H$2:$H164)</f>
        <v/>
      </c>
      <c r="AF53" s="537" t="s">
        <v>63</v>
      </c>
      <c r="AM53" s="445"/>
      <c r="AN53" s="423" t="b">
        <f t="shared" si="2"/>
        <v>0</v>
      </c>
      <c r="AO53" s="446" t="s">
        <v>6687</v>
      </c>
      <c r="AR53" s="447"/>
      <c r="AS53" s="423" t="b">
        <f t="shared" si="3"/>
        <v>0</v>
      </c>
      <c r="AT53" s="448" t="s">
        <v>7260</v>
      </c>
      <c r="AW53" s="447"/>
      <c r="AX53" s="423" t="b">
        <f t="shared" si="4"/>
        <v>0</v>
      </c>
      <c r="AY53" s="448" t="s">
        <v>7260</v>
      </c>
      <c r="BB53" s="447"/>
      <c r="BC53" s="423" t="b">
        <f t="shared" si="5"/>
        <v>0</v>
      </c>
      <c r="BD53" s="448" t="s">
        <v>6756</v>
      </c>
      <c r="BG53" s="447"/>
      <c r="BH53" s="423" t="b">
        <f t="shared" si="6"/>
        <v>0</v>
      </c>
      <c r="BI53" s="448" t="s">
        <v>7254</v>
      </c>
    </row>
    <row r="54">
      <c r="A54" s="21"/>
      <c r="B54" s="439"/>
      <c r="C54" s="21"/>
      <c r="D54" s="538" t="b">
        <f t="shared" si="39"/>
        <v>0</v>
      </c>
      <c r="E54" s="539" t="str">
        <f t="array" ref="E54">XLOOKUP(G54,Advancements!$I$2:$I164,Advancements!$C$2:$C164)</f>
        <v/>
      </c>
      <c r="F54" s="539" t="str">
        <f t="array" ref="F54">XLOOKUP(G54,Advancements!$I$2:$I164,Advancements!$H$2:$H164)</f>
        <v/>
      </c>
      <c r="G54" s="540" t="s">
        <v>59</v>
      </c>
      <c r="H54" s="21"/>
      <c r="I54" s="538" t="b">
        <f t="shared" si="40"/>
        <v>0</v>
      </c>
      <c r="J54" s="539" t="str">
        <f t="array" ref="J54">XLOOKUP(L54,Advancements!$I$2:$I164,Advancements!$C$2:$C164)</f>
        <v/>
      </c>
      <c r="K54" s="539" t="str">
        <f t="array" ref="K54">XLOOKUP(L54,Advancements!$I$2:$I164,Advancements!$H$2:$H164)</f>
        <v/>
      </c>
      <c r="L54" s="540" t="s">
        <v>59</v>
      </c>
      <c r="M54" s="21"/>
      <c r="N54" s="538" t="b">
        <f t="shared" si="41"/>
        <v>0</v>
      </c>
      <c r="O54" s="539" t="str">
        <f t="array" ref="O54">XLOOKUP(Q54,Advancements!$I$2:$I164,Advancements!$C$2:$C164)</f>
        <v/>
      </c>
      <c r="P54" s="539" t="str">
        <f t="array" ref="P54">XLOOKUP(Q54,Advancements!$I$2:$I164,Advancements!$H$2:$H164)</f>
        <v/>
      </c>
      <c r="Q54" s="540" t="s">
        <v>59</v>
      </c>
      <c r="R54" s="21"/>
      <c r="S54" s="538" t="b">
        <f t="shared" si="42"/>
        <v>0</v>
      </c>
      <c r="T54" s="539" t="str">
        <f t="array" ref="T54">XLOOKUP(V54,Advancements!$I$2:$I164,Advancements!$C$2:$C164)</f>
        <v/>
      </c>
      <c r="U54" s="539" t="str">
        <f t="array" ref="U54">XLOOKUP(V54,Advancements!$I$2:$I164,Advancements!$H$2:$H164)</f>
        <v/>
      </c>
      <c r="V54" s="540" t="s">
        <v>59</v>
      </c>
      <c r="W54" s="21"/>
      <c r="X54" s="538" t="b">
        <f t="shared" si="43"/>
        <v>0</v>
      </c>
      <c r="Y54" s="539" t="str">
        <f t="array" ref="Y54">XLOOKUP(AA54,Advancements!$I$2:$I164,Advancements!$C$2:$C164)</f>
        <v/>
      </c>
      <c r="Z54" s="539" t="str">
        <f t="array" ref="Z54">XLOOKUP(AA54,Advancements!$I$2:$I164,Advancements!$H$2:$H164)</f>
        <v/>
      </c>
      <c r="AA54" s="540" t="s">
        <v>59</v>
      </c>
      <c r="AB54" s="21"/>
      <c r="AC54" s="538" t="b">
        <f t="shared" si="44"/>
        <v>0</v>
      </c>
      <c r="AD54" s="539" t="str">
        <f t="array" ref="AD54">XLOOKUP(AF54,Advancements!$I$2:$I164,Advancements!$C$2:$C164)</f>
        <v/>
      </c>
      <c r="AE54" s="539" t="str">
        <f t="array" ref="AE54">XLOOKUP(AF54,Advancements!$I$2:$I164,Advancements!$H$2:$H164)</f>
        <v/>
      </c>
      <c r="AF54" s="540" t="s">
        <v>59</v>
      </c>
      <c r="AM54" s="445"/>
      <c r="AN54" s="423" t="b">
        <f t="shared" si="2"/>
        <v>0</v>
      </c>
      <c r="AO54" s="446" t="s">
        <v>7254</v>
      </c>
      <c r="AR54" s="447"/>
      <c r="AS54" s="423" t="b">
        <f t="shared" si="3"/>
        <v>0</v>
      </c>
      <c r="AT54" s="448" t="s">
        <v>7256</v>
      </c>
      <c r="AW54" s="447"/>
      <c r="AX54" s="423" t="b">
        <f t="shared" si="4"/>
        <v>0</v>
      </c>
      <c r="AY54" s="448" t="s">
        <v>7256</v>
      </c>
      <c r="BB54" s="447"/>
      <c r="BC54" s="423" t="b">
        <f t="shared" si="5"/>
        <v>0</v>
      </c>
      <c r="BD54" s="448" t="s">
        <v>7260</v>
      </c>
      <c r="BG54" s="447"/>
      <c r="BH54" s="423" t="b">
        <f t="shared" si="6"/>
        <v>0</v>
      </c>
      <c r="BI54" s="448" t="s">
        <v>6756</v>
      </c>
    </row>
    <row r="55">
      <c r="A55" s="21"/>
      <c r="B55" s="439"/>
      <c r="C55" s="21"/>
      <c r="D55" s="538" t="b">
        <f t="shared" si="39"/>
        <v>0</v>
      </c>
      <c r="E55" s="539" t="str">
        <f t="array" ref="E55">XLOOKUP(G55,Advancements!$I$2:$I164,Advancements!$C$2:$C164)</f>
        <v/>
      </c>
      <c r="F55" s="539" t="str">
        <f t="array" ref="F55">XLOOKUP(G55,Advancements!$I$2:$I164,Advancements!$H$2:$H164)</f>
        <v/>
      </c>
      <c r="G55" s="540" t="s">
        <v>55</v>
      </c>
      <c r="H55" s="21"/>
      <c r="I55" s="538" t="b">
        <f t="shared" si="40"/>
        <v>0</v>
      </c>
      <c r="J55" s="539" t="str">
        <f t="array" ref="J55">XLOOKUP(L55,Advancements!$I$2:$I164,Advancements!$C$2:$C164)</f>
        <v/>
      </c>
      <c r="K55" s="539" t="str">
        <f t="array" ref="K55">XLOOKUP(L55,Advancements!$I$2:$I164,Advancements!$H$2:$H164)</f>
        <v/>
      </c>
      <c r="L55" s="540" t="s">
        <v>55</v>
      </c>
      <c r="M55" s="21"/>
      <c r="N55" s="538" t="b">
        <f t="shared" si="41"/>
        <v>0</v>
      </c>
      <c r="O55" s="539" t="str">
        <f t="array" ref="O55">XLOOKUP(Q55,Advancements!$I$2:$I164,Advancements!$C$2:$C164)</f>
        <v/>
      </c>
      <c r="P55" s="539" t="str">
        <f t="array" ref="P55">XLOOKUP(Q55,Advancements!$I$2:$I164,Advancements!$H$2:$H164)</f>
        <v/>
      </c>
      <c r="Q55" s="540" t="s">
        <v>55</v>
      </c>
      <c r="R55" s="21"/>
      <c r="S55" s="538" t="b">
        <f t="shared" si="42"/>
        <v>0</v>
      </c>
      <c r="T55" s="539" t="str">
        <f t="array" ref="T55">XLOOKUP(V55,Advancements!$I$2:$I164,Advancements!$C$2:$C164)</f>
        <v/>
      </c>
      <c r="U55" s="539" t="str">
        <f t="array" ref="U55">XLOOKUP(V55,Advancements!$I$2:$I164,Advancements!$H$2:$H164)</f>
        <v/>
      </c>
      <c r="V55" s="540" t="s">
        <v>55</v>
      </c>
      <c r="W55" s="21"/>
      <c r="X55" s="538" t="b">
        <f t="shared" si="43"/>
        <v>0</v>
      </c>
      <c r="Y55" s="539" t="str">
        <f t="array" ref="Y55">XLOOKUP(AA55,Advancements!$I$2:$I164,Advancements!$C$2:$C164)</f>
        <v/>
      </c>
      <c r="Z55" s="539" t="str">
        <f t="array" ref="Z55">XLOOKUP(AA55,Advancements!$I$2:$I164,Advancements!$H$2:$H164)</f>
        <v/>
      </c>
      <c r="AA55" s="540" t="s">
        <v>1718</v>
      </c>
      <c r="AB55" s="21"/>
      <c r="AC55" s="538" t="b">
        <f t="shared" si="44"/>
        <v>0</v>
      </c>
      <c r="AD55" s="539" t="str">
        <f t="array" ref="AD55">XLOOKUP(AF55,Advancements!$I$2:$I164,Advancements!$C$2:$C164)</f>
        <v/>
      </c>
      <c r="AE55" s="539" t="str">
        <f t="array" ref="AE55">XLOOKUP(AF55,Advancements!$I$2:$I164,Advancements!$H$2:$H164)</f>
        <v/>
      </c>
      <c r="AF55" s="540" t="s">
        <v>55</v>
      </c>
      <c r="AM55" s="445"/>
      <c r="AN55" s="423" t="b">
        <f t="shared" si="2"/>
        <v>0</v>
      </c>
      <c r="AO55" s="446" t="s">
        <v>6756</v>
      </c>
      <c r="AR55" s="447"/>
      <c r="AS55" s="423" t="b">
        <f t="shared" si="3"/>
        <v>0</v>
      </c>
      <c r="AT55" s="448" t="s">
        <v>7259</v>
      </c>
      <c r="AW55" s="447"/>
      <c r="AX55" s="423" t="b">
        <f t="shared" si="4"/>
        <v>0</v>
      </c>
      <c r="AY55" s="448" t="s">
        <v>7259</v>
      </c>
      <c r="BB55" s="447"/>
      <c r="BC55" s="423" t="b">
        <f t="shared" si="5"/>
        <v>0</v>
      </c>
      <c r="BD55" s="448" t="s">
        <v>7256</v>
      </c>
      <c r="BG55" s="447"/>
      <c r="BH55" s="423" t="b">
        <f t="shared" si="6"/>
        <v>0</v>
      </c>
      <c r="BI55" s="448" t="s">
        <v>7260</v>
      </c>
    </row>
    <row r="56">
      <c r="A56" s="21"/>
      <c r="B56" s="439"/>
      <c r="C56" s="21"/>
      <c r="D56" s="538" t="b">
        <f>CHECK_MOB(G56,"cod_mob")</f>
        <v>0</v>
      </c>
      <c r="E56" s="539" t="str">
        <f t="array" ref="E56">XLOOKUP(G56,Advancements!$I$2:$I164,Advancements!$C$2:$C164)</f>
        <v/>
      </c>
      <c r="F56" s="539" t="str">
        <f t="array" ref="F56">XLOOKUP(G56,Advancements!$I$2:$I164,Advancements!$H$2:$H164)</f>
        <v/>
      </c>
      <c r="G56" s="540" t="s">
        <v>2707</v>
      </c>
      <c r="H56" s="21"/>
      <c r="I56" s="538" t="b">
        <f>CHECK_MOB(L56,"salmon_mob")</f>
        <v>0</v>
      </c>
      <c r="J56" s="539" t="str">
        <f t="array" ref="J56">XLOOKUP(L56,Advancements!$I$2:$I164,Advancements!$C$2:$C164)</f>
        <v/>
      </c>
      <c r="K56" s="539" t="str">
        <f t="array" ref="K56">XLOOKUP(L56,Advancements!$I$2:$I164,Advancements!$H$2:$H164)</f>
        <v/>
      </c>
      <c r="L56" s="540" t="s">
        <v>2707</v>
      </c>
      <c r="M56" s="21"/>
      <c r="N56" s="538" t="b">
        <f t="shared" si="41"/>
        <v>0</v>
      </c>
      <c r="O56" s="539" t="str">
        <f t="array" ref="O56">XLOOKUP(Q56,Advancements!$I$2:$I164,Advancements!$C$2:$C164)</f>
        <v/>
      </c>
      <c r="P56" s="539" t="str">
        <f t="array" ref="P56">XLOOKUP(Q56,Advancements!$I$2:$I164,Advancements!$H$2:$H164)</f>
        <v/>
      </c>
      <c r="Q56" s="540" t="s">
        <v>2707</v>
      </c>
      <c r="R56" s="21"/>
      <c r="S56" s="538" t="b">
        <f t="shared" si="42"/>
        <v>0</v>
      </c>
      <c r="T56" s="539" t="str">
        <f t="array" ref="T56">XLOOKUP(V56,Advancements!$I$2:$I164,Advancements!$C$2:$C164)</f>
        <v/>
      </c>
      <c r="U56" s="539" t="str">
        <f t="array" ref="U56">XLOOKUP(V56,Advancements!$I$2:$I164,Advancements!$H$2:$H164)</f>
        <v/>
      </c>
      <c r="V56" s="540" t="s">
        <v>2707</v>
      </c>
      <c r="W56" s="21"/>
      <c r="X56" s="538" t="b">
        <f t="shared" si="43"/>
        <v>0</v>
      </c>
      <c r="Y56" s="539" t="str">
        <f t="array" ref="Y56">XLOOKUP(AA56,Advancements!$I$2:$I164,Advancements!$C$2:$C164)</f>
        <v/>
      </c>
      <c r="Z56" s="539" t="str">
        <f t="array" ref="Z56">XLOOKUP(AA56,Advancements!$I$2:$I164,Advancements!$H$2:$H164)</f>
        <v/>
      </c>
      <c r="AA56" s="540" t="s">
        <v>2016</v>
      </c>
      <c r="AB56" s="21"/>
      <c r="AC56" s="538" t="b">
        <f t="shared" si="44"/>
        <v>0</v>
      </c>
      <c r="AD56" s="539" t="str">
        <f t="array" ref="AD56">XLOOKUP(AF56,Advancements!$I$2:$I164,Advancements!$C$2:$C164)</f>
        <v/>
      </c>
      <c r="AE56" s="539" t="str">
        <f t="array" ref="AE56">XLOOKUP(AF56,Advancements!$I$2:$I164,Advancements!$H$2:$H164)</f>
        <v/>
      </c>
      <c r="AF56" s="540" t="s">
        <v>2707</v>
      </c>
      <c r="AM56" s="445"/>
      <c r="AN56" s="423" t="b">
        <f t="shared" si="2"/>
        <v>0</v>
      </c>
      <c r="AO56" s="446" t="s">
        <v>7260</v>
      </c>
      <c r="AR56" s="447"/>
      <c r="AS56" s="423" t="b">
        <f t="shared" si="3"/>
        <v>0</v>
      </c>
      <c r="AT56" s="448" t="s">
        <v>7222</v>
      </c>
      <c r="AW56" s="447"/>
      <c r="AX56" s="423" t="b">
        <f t="shared" si="4"/>
        <v>0</v>
      </c>
      <c r="AY56" s="448" t="s">
        <v>7222</v>
      </c>
      <c r="BB56" s="447"/>
      <c r="BC56" s="423" t="b">
        <f t="shared" si="5"/>
        <v>0</v>
      </c>
      <c r="BD56" s="448" t="s">
        <v>7259</v>
      </c>
      <c r="BG56" s="447"/>
      <c r="BH56" s="423" t="b">
        <f t="shared" si="6"/>
        <v>0</v>
      </c>
      <c r="BI56" s="448" t="s">
        <v>7256</v>
      </c>
    </row>
    <row r="57">
      <c r="A57" s="21"/>
      <c r="B57" s="439"/>
      <c r="C57" s="21"/>
      <c r="D57" s="538" t="b">
        <f t="shared" ref="D57:D58" si="45">CHECK_MOB(G57,G$52)</f>
        <v>0</v>
      </c>
      <c r="E57" s="539" t="str">
        <f t="array" ref="E57">XLOOKUP(G57,Advancements!$I$2:$I164,Advancements!$C$2:$C164)</f>
        <v/>
      </c>
      <c r="F57" s="539" t="str">
        <f t="array" ref="F57">XLOOKUP(G57,Advancements!$I$2:$I164,Advancements!$H$2:$H164)</f>
        <v/>
      </c>
      <c r="G57" s="540" t="s">
        <v>67</v>
      </c>
      <c r="H57" s="21"/>
      <c r="I57" s="538" t="b">
        <f t="shared" ref="I57:I58" si="46">CHECK_MOB(L57,L$52)</f>
        <v>0</v>
      </c>
      <c r="J57" s="539" t="str">
        <f t="array" ref="J57">XLOOKUP(L57,Advancements!$I$2:$I164,Advancements!$C$2:$C164)</f>
        <v/>
      </c>
      <c r="K57" s="539" t="str">
        <f t="array" ref="K57">XLOOKUP(L57,Advancements!$I$2:$I164,Advancements!$H$2:$H164)</f>
        <v/>
      </c>
      <c r="L57" s="540" t="s">
        <v>67</v>
      </c>
      <c r="M57" s="21"/>
      <c r="N57" s="538" t="b">
        <f t="shared" si="41"/>
        <v>0</v>
      </c>
      <c r="O57" s="539" t="str">
        <f t="array" ref="O57">XLOOKUP(Q57,Advancements!$I$2:$I164,Advancements!$C$2:$C164)</f>
        <v/>
      </c>
      <c r="P57" s="539" t="str">
        <f t="array" ref="P57">XLOOKUP(Q57,Advancements!$I$2:$I164,Advancements!$H$2:$H164)</f>
        <v/>
      </c>
      <c r="Q57" s="540" t="s">
        <v>67</v>
      </c>
      <c r="R57" s="21"/>
      <c r="S57" s="538" t="b">
        <f t="shared" si="42"/>
        <v>0</v>
      </c>
      <c r="T57" s="539" t="str">
        <f t="array" ref="T57">XLOOKUP(V57,Advancements!$I$2:$I164,Advancements!$C$2:$C164)</f>
        <v/>
      </c>
      <c r="U57" s="539" t="str">
        <f t="array" ref="U57">XLOOKUP(V57,Advancements!$I$2:$I164,Advancements!$H$2:$H164)</f>
        <v/>
      </c>
      <c r="V57" s="540" t="s">
        <v>67</v>
      </c>
      <c r="W57" s="21"/>
      <c r="X57" s="538" t="b">
        <f t="shared" si="43"/>
        <v>0</v>
      </c>
      <c r="Y57" s="539" t="str">
        <f t="array" ref="Y57">XLOOKUP(AA57,Advancements!$I$2:$I164,Advancements!$C$2:$C164)</f>
        <v/>
      </c>
      <c r="Z57" s="539" t="str">
        <f t="array" ref="Z57">XLOOKUP(AA57,Advancements!$I$2:$I164,Advancements!$H$2:$H164)</f>
        <v/>
      </c>
      <c r="AA57" s="540" t="s">
        <v>55</v>
      </c>
      <c r="AB57" s="21"/>
      <c r="AC57" s="538" t="b">
        <f t="shared" si="44"/>
        <v>0</v>
      </c>
      <c r="AD57" s="539" t="str">
        <f t="array" ref="AD57">XLOOKUP(AF57,Advancements!$I$2:$I164,Advancements!$C$2:$C164)</f>
        <v/>
      </c>
      <c r="AE57" s="539" t="str">
        <f t="array" ref="AE57">XLOOKUP(AF57,Advancements!$I$2:$I164,Advancements!$H$2:$H164)</f>
        <v/>
      </c>
      <c r="AF57" s="540" t="s">
        <v>67</v>
      </c>
      <c r="AM57" s="445"/>
      <c r="AN57" s="423" t="b">
        <f t="shared" si="2"/>
        <v>0</v>
      </c>
      <c r="AO57" s="446" t="s">
        <v>7256</v>
      </c>
      <c r="AR57" s="447"/>
      <c r="AS57" s="423" t="b">
        <f t="shared" si="3"/>
        <v>0</v>
      </c>
      <c r="AT57" s="448" t="s">
        <v>7276</v>
      </c>
      <c r="AW57" s="447"/>
      <c r="AX57" s="423" t="b">
        <f t="shared" si="4"/>
        <v>0</v>
      </c>
      <c r="AY57" s="448" t="s">
        <v>7276</v>
      </c>
      <c r="BB57" s="447"/>
      <c r="BC57" s="423" t="b">
        <f t="shared" si="5"/>
        <v>0</v>
      </c>
      <c r="BD57" s="448" t="s">
        <v>7222</v>
      </c>
      <c r="BG57" s="447"/>
      <c r="BH57" s="423" t="b">
        <f t="shared" si="6"/>
        <v>0</v>
      </c>
      <c r="BI57" s="448" t="s">
        <v>7259</v>
      </c>
    </row>
    <row r="58">
      <c r="A58" s="21"/>
      <c r="B58" s="439"/>
      <c r="C58" s="21"/>
      <c r="D58" s="541" t="b">
        <f t="shared" si="45"/>
        <v>0</v>
      </c>
      <c r="E58" s="542" t="str">
        <f t="array" ref="E58">XLOOKUP(G58,Advancements!$I$2:$I164,Advancements!$C$2:$C164)</f>
        <v/>
      </c>
      <c r="F58" s="542" t="str">
        <f t="array" ref="F58">XLOOKUP(G58,Advancements!$I$2:$I164,Advancements!$H$2:$H164)</f>
        <v/>
      </c>
      <c r="G58" s="543" t="s">
        <v>4846</v>
      </c>
      <c r="H58" s="21"/>
      <c r="I58" s="541" t="b">
        <f t="shared" si="46"/>
        <v>0</v>
      </c>
      <c r="J58" s="542" t="str">
        <f t="array" ref="J58">XLOOKUP(L58,Advancements!$I$2:$I164,Advancements!$C$2:$C164)</f>
        <v/>
      </c>
      <c r="K58" s="542" t="str">
        <f t="array" ref="K58">XLOOKUP(L58,Advancements!$I$2:$I164,Advancements!$H$2:$H164)</f>
        <v/>
      </c>
      <c r="L58" s="543" t="s">
        <v>4846</v>
      </c>
      <c r="M58" s="21"/>
      <c r="N58" s="541" t="b">
        <f t="shared" si="41"/>
        <v>0</v>
      </c>
      <c r="O58" s="542" t="str">
        <f t="array" ref="O58">XLOOKUP(Q58,Advancements!$I$2:$I164,Advancements!$C$2:$C164)</f>
        <v/>
      </c>
      <c r="P58" s="542" t="str">
        <f t="array" ref="P58">XLOOKUP(Q58,Advancements!$I$2:$I164,Advancements!$H$2:$H164)</f>
        <v/>
      </c>
      <c r="Q58" s="543" t="s">
        <v>4846</v>
      </c>
      <c r="R58" s="21"/>
      <c r="S58" s="538" t="b">
        <f t="shared" si="42"/>
        <v>0</v>
      </c>
      <c r="T58" s="539" t="str">
        <f t="array" ref="T58">XLOOKUP(V58,Advancements!$I$2:$I164,Advancements!$C$2:$C164)</f>
        <v/>
      </c>
      <c r="U58" s="539" t="str">
        <f t="array" ref="U58">XLOOKUP(V58,Advancements!$I$2:$I164,Advancements!$H$2:$H164)</f>
        <v/>
      </c>
      <c r="V58" s="540" t="s">
        <v>36</v>
      </c>
      <c r="W58" s="21"/>
      <c r="X58" s="538" t="b">
        <f t="shared" si="43"/>
        <v>0</v>
      </c>
      <c r="Y58" s="539" t="str">
        <f t="array" ref="Y58">XLOOKUP(AA58,Advancements!$I$2:$I164,Advancements!$C$2:$C164)</f>
        <v/>
      </c>
      <c r="Z58" s="539" t="str">
        <f t="array" ref="Z58">XLOOKUP(AA58,Advancements!$I$2:$I164,Advancements!$H$2:$H164)</f>
        <v/>
      </c>
      <c r="AA58" s="540" t="s">
        <v>2707</v>
      </c>
      <c r="AB58" s="21"/>
      <c r="AC58" s="541" t="b">
        <f t="shared" si="44"/>
        <v>0</v>
      </c>
      <c r="AD58" s="542" t="str">
        <f t="array" ref="AD58">XLOOKUP(AF58,Advancements!$I$2:$I164,Advancements!$C$2:$C164)</f>
        <v/>
      </c>
      <c r="AE58" s="542" t="str">
        <f t="array" ref="AE58">XLOOKUP(AF58,Advancements!$I$2:$I164,Advancements!$H$2:$H164)</f>
        <v/>
      </c>
      <c r="AF58" s="543" t="s">
        <v>4846</v>
      </c>
      <c r="AM58" s="445"/>
      <c r="AN58" s="423" t="b">
        <f t="shared" si="2"/>
        <v>0</v>
      </c>
      <c r="AO58" s="446" t="s">
        <v>7259</v>
      </c>
      <c r="AR58" s="447"/>
      <c r="AS58" s="423" t="b">
        <f t="shared" si="3"/>
        <v>0</v>
      </c>
      <c r="AT58" s="448" t="s">
        <v>7262</v>
      </c>
      <c r="AW58" s="447"/>
      <c r="AX58" s="423" t="b">
        <f t="shared" si="4"/>
        <v>0</v>
      </c>
      <c r="AY58" s="448" t="s">
        <v>7262</v>
      </c>
      <c r="BB58" s="447"/>
      <c r="BC58" s="423" t="b">
        <f t="shared" si="5"/>
        <v>0</v>
      </c>
      <c r="BD58" s="448" t="s">
        <v>7276</v>
      </c>
      <c r="BG58" s="447"/>
      <c r="BH58" s="423" t="b">
        <f t="shared" si="6"/>
        <v>0</v>
      </c>
      <c r="BI58" s="448" t="s">
        <v>7222</v>
      </c>
    </row>
    <row r="59">
      <c r="A59" s="21"/>
      <c r="B59" s="439"/>
      <c r="C59" s="21"/>
      <c r="D59" s="21"/>
      <c r="E59" s="21"/>
      <c r="F59" s="21"/>
      <c r="G59" s="21"/>
      <c r="H59" s="21"/>
      <c r="I59" s="21"/>
      <c r="J59" s="21"/>
      <c r="K59" s="21"/>
      <c r="L59" s="21"/>
      <c r="M59" s="21"/>
      <c r="N59" s="21"/>
      <c r="O59" s="21"/>
      <c r="P59" s="21"/>
      <c r="Q59" s="21"/>
      <c r="R59" s="21"/>
      <c r="S59" s="544" t="b">
        <f t="shared" si="42"/>
        <v>0</v>
      </c>
      <c r="T59" s="542" t="str">
        <f t="array" ref="T59">XLOOKUP(V59,Advancements!$I$2:$I164,Advancements!$C$2:$C164)</f>
        <v/>
      </c>
      <c r="U59" s="542" t="str">
        <f t="array" ref="U59">XLOOKUP(V59,Advancements!$I$2:$I164,Advancements!$H$2:$H164)</f>
        <v/>
      </c>
      <c r="V59" s="543" t="s">
        <v>4846</v>
      </c>
      <c r="W59" s="21"/>
      <c r="X59" s="538" t="b">
        <f t="shared" si="43"/>
        <v>0</v>
      </c>
      <c r="Y59" s="539" t="str">
        <f t="array" ref="Y59">XLOOKUP(AA59,Advancements!$I$2:$I164,Advancements!$C$2:$C164)</f>
        <v/>
      </c>
      <c r="Z59" s="539" t="str">
        <f t="array" ref="Z59">XLOOKUP(AA59,Advancements!$I$2:$I164,Advancements!$H$2:$H164)</f>
        <v/>
      </c>
      <c r="AA59" s="540" t="s">
        <v>67</v>
      </c>
      <c r="AB59" s="21"/>
      <c r="AC59" s="21"/>
      <c r="AD59" s="21"/>
      <c r="AE59" s="21"/>
      <c r="AF59" s="21"/>
      <c r="AM59" s="445"/>
      <c r="AN59" s="423" t="b">
        <f t="shared" si="2"/>
        <v>0</v>
      </c>
      <c r="AO59" s="446" t="s">
        <v>7222</v>
      </c>
      <c r="AR59" s="447"/>
      <c r="AS59" s="423" t="b">
        <f t="shared" si="3"/>
        <v>0</v>
      </c>
      <c r="AT59" s="448" t="s">
        <v>7263</v>
      </c>
      <c r="AW59" s="447"/>
      <c r="AX59" s="423" t="b">
        <f t="shared" si="4"/>
        <v>0</v>
      </c>
      <c r="AY59" s="448" t="s">
        <v>7263</v>
      </c>
      <c r="BB59" s="447"/>
      <c r="BC59" s="423" t="b">
        <f t="shared" si="5"/>
        <v>0</v>
      </c>
      <c r="BD59" s="448" t="s">
        <v>7262</v>
      </c>
      <c r="BG59" s="447"/>
      <c r="BH59" s="423" t="b">
        <f t="shared" si="6"/>
        <v>0</v>
      </c>
      <c r="BI59" s="448" t="s">
        <v>7276</v>
      </c>
    </row>
    <row r="60">
      <c r="A60" s="21"/>
      <c r="B60" s="468"/>
      <c r="C60" s="21"/>
      <c r="D60" s="21"/>
      <c r="E60" s="21"/>
      <c r="F60" s="21"/>
      <c r="G60" s="21"/>
      <c r="H60" s="21"/>
      <c r="I60" s="21"/>
      <c r="J60" s="21"/>
      <c r="K60" s="21"/>
      <c r="L60" s="21"/>
      <c r="M60" s="21"/>
      <c r="N60" s="21"/>
      <c r="O60" s="21"/>
      <c r="P60" s="21"/>
      <c r="Q60" s="21"/>
      <c r="R60" s="21"/>
      <c r="S60" s="21"/>
      <c r="T60" s="21"/>
      <c r="U60" s="21"/>
      <c r="V60" s="21"/>
      <c r="W60" s="21"/>
      <c r="X60" s="544" t="b">
        <f t="shared" si="43"/>
        <v>0</v>
      </c>
      <c r="Y60" s="542" t="str">
        <f t="array" ref="Y60">XLOOKUP(AA60,Advancements!$I$2:$I164,Advancements!$C$2:$C164)</f>
        <v/>
      </c>
      <c r="Z60" s="542" t="str">
        <f t="array" ref="Z60">XLOOKUP(AA60,Advancements!$I$2:$I164,Advancements!$H$2:$H164)</f>
        <v/>
      </c>
      <c r="AA60" s="543" t="s">
        <v>4846</v>
      </c>
      <c r="AB60" s="21"/>
      <c r="AC60" s="21"/>
      <c r="AD60" s="21"/>
      <c r="AE60" s="21"/>
      <c r="AF60" s="21"/>
      <c r="AM60" s="445"/>
      <c r="AN60" s="423" t="b">
        <f t="shared" si="2"/>
        <v>0</v>
      </c>
      <c r="AO60" s="446" t="s">
        <v>7276</v>
      </c>
      <c r="AR60" s="447"/>
      <c r="AS60" s="423" t="b">
        <f t="shared" si="3"/>
        <v>0</v>
      </c>
      <c r="AT60" s="448" t="s">
        <v>7278</v>
      </c>
      <c r="AW60" s="447"/>
      <c r="AX60" s="423" t="b">
        <f t="shared" si="4"/>
        <v>0</v>
      </c>
      <c r="AY60" s="448" t="s">
        <v>7278</v>
      </c>
      <c r="BB60" s="447"/>
      <c r="BC60" s="423" t="b">
        <f t="shared" si="5"/>
        <v>0</v>
      </c>
      <c r="BD60" s="448" t="s">
        <v>7263</v>
      </c>
      <c r="BG60" s="447"/>
      <c r="BH60" s="423" t="b">
        <f t="shared" si="6"/>
        <v>0</v>
      </c>
      <c r="BI60" s="448" t="s">
        <v>7262</v>
      </c>
    </row>
    <row r="61">
      <c r="A61" s="21"/>
      <c r="B61" s="21"/>
      <c r="C61" s="21"/>
      <c r="D61" s="21"/>
      <c r="E61" s="21"/>
      <c r="F61" s="21"/>
      <c r="G61" s="21"/>
      <c r="H61" s="21"/>
      <c r="I61" s="21"/>
      <c r="J61" s="21"/>
      <c r="K61" s="21"/>
      <c r="L61" s="21"/>
      <c r="M61" s="21"/>
      <c r="N61" s="21"/>
      <c r="O61" s="21"/>
      <c r="P61" s="21"/>
      <c r="Q61" s="21"/>
      <c r="R61" s="21"/>
      <c r="S61" s="21"/>
      <c r="T61" s="21"/>
      <c r="U61" s="21"/>
      <c r="V61" s="21"/>
      <c r="W61" s="21"/>
      <c r="X61" s="21"/>
      <c r="Y61" s="21"/>
      <c r="Z61" s="21"/>
      <c r="AA61" s="21"/>
      <c r="AB61" s="21"/>
      <c r="AC61" s="21"/>
      <c r="AD61" s="21"/>
      <c r="AE61" s="21"/>
      <c r="AF61" s="21"/>
      <c r="AM61" s="445"/>
      <c r="AN61" s="423" t="b">
        <f t="shared" si="2"/>
        <v>0</v>
      </c>
      <c r="AO61" s="446" t="s">
        <v>7262</v>
      </c>
      <c r="AR61" s="447"/>
      <c r="AS61" s="423" t="b">
        <f t="shared" si="3"/>
        <v>0</v>
      </c>
      <c r="AT61" s="448" t="s">
        <v>7264</v>
      </c>
      <c r="AW61" s="447"/>
      <c r="AX61" s="423" t="b">
        <f t="shared" si="4"/>
        <v>0</v>
      </c>
      <c r="AY61" s="448" t="s">
        <v>7264</v>
      </c>
      <c r="BB61" s="447"/>
      <c r="BC61" s="423" t="b">
        <f t="shared" si="5"/>
        <v>0</v>
      </c>
      <c r="BD61" s="448" t="s">
        <v>7278</v>
      </c>
      <c r="BG61" s="447"/>
      <c r="BH61" s="423" t="b">
        <f t="shared" si="6"/>
        <v>0</v>
      </c>
      <c r="BI61" s="448" t="s">
        <v>7263</v>
      </c>
    </row>
    <row r="62">
      <c r="A62" s="21"/>
      <c r="B62" s="545" t="s">
        <v>7291</v>
      </c>
      <c r="C62" s="21"/>
      <c r="D62" s="546" t="b">
        <f>IFALLTRUE(D63:D67)</f>
        <v>0</v>
      </c>
      <c r="E62" s="547"/>
      <c r="F62" s="547" t="str">
        <f>GET_MOB_HEAD(G62)</f>
        <v/>
      </c>
      <c r="G62" s="548" t="s">
        <v>7292</v>
      </c>
      <c r="H62" s="21"/>
      <c r="I62" s="546" t="b">
        <f>IFALLTRUE(I63:I67)</f>
        <v>0</v>
      </c>
      <c r="J62" s="547"/>
      <c r="K62" s="547" t="str">
        <f>GET_MOB_HEAD(L62)</f>
        <v/>
      </c>
      <c r="L62" s="548" t="s">
        <v>7293</v>
      </c>
      <c r="M62" s="21"/>
      <c r="N62" s="546" t="b">
        <f>IFALLTRUE(N63:N67)</f>
        <v>0</v>
      </c>
      <c r="O62" s="547"/>
      <c r="P62" s="547" t="str">
        <f>GET_MOB_HEAD(Q62)</f>
        <v/>
      </c>
      <c r="Q62" s="548" t="s">
        <v>7294</v>
      </c>
      <c r="R62" s="21"/>
      <c r="S62" s="546" t="b">
        <f>IFALLTRUE(S63:S67)</f>
        <v>0</v>
      </c>
      <c r="T62" s="547"/>
      <c r="U62" s="547" t="str">
        <f>GET_MOB_HEAD(V62)</f>
        <v/>
      </c>
      <c r="V62" s="548" t="s">
        <v>2621</v>
      </c>
      <c r="W62" s="21"/>
      <c r="X62" s="546" t="b">
        <f>IFALLTRUE(X63:X67)</f>
        <v>0</v>
      </c>
      <c r="Y62" s="547"/>
      <c r="Z62" s="547" t="str">
        <f>GET_MOB_HEAD(AA62)</f>
        <v/>
      </c>
      <c r="AA62" s="548" t="s">
        <v>7295</v>
      </c>
      <c r="AB62" s="21"/>
      <c r="AC62" s="21"/>
      <c r="AD62" s="21"/>
      <c r="AE62" s="21"/>
      <c r="AF62" s="21"/>
      <c r="AM62" s="445"/>
      <c r="AN62" s="423" t="b">
        <f t="shared" si="2"/>
        <v>0</v>
      </c>
      <c r="AO62" s="446" t="s">
        <v>7263</v>
      </c>
      <c r="AR62" s="447"/>
      <c r="AS62" s="423" t="b">
        <f t="shared" si="3"/>
        <v>0</v>
      </c>
      <c r="AT62" s="448" t="s">
        <v>7233</v>
      </c>
      <c r="AW62" s="447"/>
      <c r="AX62" s="423" t="b">
        <f t="shared" si="4"/>
        <v>0</v>
      </c>
      <c r="AY62" s="448" t="s">
        <v>7233</v>
      </c>
      <c r="BB62" s="447"/>
      <c r="BC62" s="423" t="b">
        <f t="shared" si="5"/>
        <v>0</v>
      </c>
      <c r="BD62" s="448" t="s">
        <v>7264</v>
      </c>
      <c r="BG62" s="447"/>
      <c r="BH62" s="423" t="b">
        <f t="shared" si="6"/>
        <v>0</v>
      </c>
      <c r="BI62" s="448" t="s">
        <v>7278</v>
      </c>
    </row>
    <row r="63">
      <c r="A63" s="21"/>
      <c r="B63" s="439"/>
      <c r="C63" s="21"/>
      <c r="D63" s="549" t="b">
        <f t="shared" ref="D63:D69" si="47">CHECK_MOB(G63,G$62)</f>
        <v>0</v>
      </c>
      <c r="E63" s="550" t="str">
        <f t="array" ref="E63">XLOOKUP(G63,Advancements!$I$2:$I164,Advancements!$C$2:$C164)</f>
        <v/>
      </c>
      <c r="F63" s="550" t="str">
        <f t="array" ref="F63">XLOOKUP(G63,Advancements!$I$2:$I164,Advancements!$H$2:$H164)</f>
        <v/>
      </c>
      <c r="G63" s="551" t="s">
        <v>63</v>
      </c>
      <c r="H63" s="21"/>
      <c r="I63" s="549" t="b">
        <f t="shared" ref="I63:I68" si="48">CHECK_MOB(L63,L$62)</f>
        <v>0</v>
      </c>
      <c r="J63" s="550" t="str">
        <f t="array" ref="J63">XLOOKUP(L63,Advancements!$I$2:$I164,Advancements!$C$2:$C164)</f>
        <v/>
      </c>
      <c r="K63" s="550" t="str">
        <f t="array" ref="K63">XLOOKUP(L63,Advancements!$I$2:$I164,Advancements!$H$2:$H164)</f>
        <v/>
      </c>
      <c r="L63" s="551" t="s">
        <v>63</v>
      </c>
      <c r="M63" s="21"/>
      <c r="N63" s="549" t="b">
        <f t="shared" ref="N63:N71" si="49">CHECK_MOB(Q63,Q$62)</f>
        <v>0</v>
      </c>
      <c r="O63" s="550" t="str">
        <f t="array" ref="O63">XLOOKUP(Q63,Advancements!$I$2:$I164,Advancements!$C$2:$C164)</f>
        <v/>
      </c>
      <c r="P63" s="550" t="str">
        <f t="array" ref="P63">XLOOKUP(Q63,Advancements!$I$2:$I164,Advancements!$H$2:$H164)</f>
        <v/>
      </c>
      <c r="Q63" s="551" t="s">
        <v>2679</v>
      </c>
      <c r="R63" s="21"/>
      <c r="S63" s="549" t="b">
        <f t="shared" ref="S63:S70" si="50">CHECK_MOB(V63,V$62)</f>
        <v>0</v>
      </c>
      <c r="T63" s="550" t="str">
        <f t="array" ref="T63">XLOOKUP(V63,Advancements!$I$2:$I164,Advancements!$C$2:$C164)</f>
        <v/>
      </c>
      <c r="U63" s="550" t="str">
        <f t="array" ref="U63">XLOOKUP(V63,Advancements!$I$2:$I164,Advancements!$H$2:$H164)</f>
        <v/>
      </c>
      <c r="V63" s="551" t="s">
        <v>63</v>
      </c>
      <c r="W63" s="21"/>
      <c r="X63" s="549" t="b">
        <f t="shared" ref="X63:X71" si="51">CHECK_MOB(AA63,AA$62)</f>
        <v>0</v>
      </c>
      <c r="Y63" s="550" t="str">
        <f t="array" ref="Y63">XLOOKUP(AA63,Advancements!$I$2:$I164,Advancements!$C$2:$C164)</f>
        <v/>
      </c>
      <c r="Z63" s="550" t="str">
        <f t="array" ref="Z63">XLOOKUP(AA63,Advancements!$I$2:$I164,Advancements!$H$2:$H164)</f>
        <v/>
      </c>
      <c r="AA63" s="551" t="s">
        <v>63</v>
      </c>
      <c r="AB63" s="21"/>
      <c r="AC63" s="21"/>
      <c r="AD63" s="21"/>
      <c r="AE63" s="21"/>
      <c r="AF63" s="21"/>
      <c r="AM63" s="445"/>
      <c r="AN63" s="423" t="b">
        <f t="shared" si="2"/>
        <v>0</v>
      </c>
      <c r="AO63" s="446" t="s">
        <v>7278</v>
      </c>
      <c r="AR63" s="447"/>
      <c r="AS63" s="423" t="b">
        <f t="shared" si="3"/>
        <v>0</v>
      </c>
      <c r="AT63" s="448" t="s">
        <v>7271</v>
      </c>
      <c r="AW63" s="447"/>
      <c r="AX63" s="423" t="b">
        <f t="shared" si="4"/>
        <v>0</v>
      </c>
      <c r="AY63" s="448" t="s">
        <v>7271</v>
      </c>
      <c r="BB63" s="447"/>
      <c r="BC63" s="423" t="b">
        <f t="shared" si="5"/>
        <v>0</v>
      </c>
      <c r="BD63" s="448" t="s">
        <v>7233</v>
      </c>
      <c r="BG63" s="447"/>
      <c r="BH63" s="423" t="b">
        <f t="shared" si="6"/>
        <v>0</v>
      </c>
      <c r="BI63" s="448" t="s">
        <v>7264</v>
      </c>
    </row>
    <row r="64">
      <c r="A64" s="21"/>
      <c r="B64" s="439"/>
      <c r="C64" s="21"/>
      <c r="D64" s="552" t="b">
        <f t="shared" si="47"/>
        <v>0</v>
      </c>
      <c r="E64" s="553" t="str">
        <f t="array" ref="E64">XLOOKUP(G64,Advancements!$I$2:$I164,Advancements!$C$2:$C164)</f>
        <v/>
      </c>
      <c r="F64" s="553" t="str">
        <f t="array" ref="F64">XLOOKUP(G64,Advancements!$I$2:$I164,Advancements!$H$2:$H164)</f>
        <v/>
      </c>
      <c r="G64" s="554" t="s">
        <v>59</v>
      </c>
      <c r="H64" s="21"/>
      <c r="I64" s="552" t="b">
        <f t="shared" si="48"/>
        <v>0</v>
      </c>
      <c r="J64" s="553" t="str">
        <f t="array" ref="J64">XLOOKUP(L64,Advancements!$I$2:$I164,Advancements!$C$2:$C164)</f>
        <v/>
      </c>
      <c r="K64" s="553" t="str">
        <f t="array" ref="K64">XLOOKUP(L64,Advancements!$I$2:$I164,Advancements!$H$2:$H164)</f>
        <v/>
      </c>
      <c r="L64" s="554" t="s">
        <v>59</v>
      </c>
      <c r="M64" s="21"/>
      <c r="N64" s="552" t="b">
        <f t="shared" si="49"/>
        <v>0</v>
      </c>
      <c r="O64" s="553" t="str">
        <f t="array" ref="O64">XLOOKUP(Q64,Advancements!$I$2:$I164,Advancements!$C$2:$C164)</f>
        <v/>
      </c>
      <c r="P64" s="553" t="str">
        <f t="array" ref="P64">XLOOKUP(Q64,Advancements!$I$2:$I164,Advancements!$H$2:$H164)</f>
        <v/>
      </c>
      <c r="Q64" s="554" t="s">
        <v>3616</v>
      </c>
      <c r="R64" s="21"/>
      <c r="S64" s="552" t="b">
        <f t="shared" si="50"/>
        <v>0</v>
      </c>
      <c r="T64" s="553" t="str">
        <f t="array" ref="T64">XLOOKUP(V64,Advancements!$I$2:$I164,Advancements!$C$2:$C164)</f>
        <v/>
      </c>
      <c r="U64" s="553" t="str">
        <f t="array" ref="U64">XLOOKUP(V64,Advancements!$I$2:$I164,Advancements!$H$2:$H164)</f>
        <v/>
      </c>
      <c r="V64" s="554" t="s">
        <v>2618</v>
      </c>
      <c r="W64" s="21"/>
      <c r="X64" s="552" t="b">
        <f t="shared" si="51"/>
        <v>0</v>
      </c>
      <c r="Y64" s="553" t="str">
        <f t="array" ref="Y64">XLOOKUP(AA64,Advancements!$I$2:$I164,Advancements!$C$2:$C164)</f>
        <v/>
      </c>
      <c r="Z64" s="553" t="str">
        <f t="array" ref="Z64">XLOOKUP(AA64,Advancements!$I$2:$I164,Advancements!$H$2:$H164)</f>
        <v/>
      </c>
      <c r="AA64" s="554" t="s">
        <v>2618</v>
      </c>
      <c r="AB64" s="21"/>
      <c r="AC64" s="21"/>
      <c r="AD64" s="21"/>
      <c r="AE64" s="21"/>
      <c r="AF64" s="21"/>
      <c r="AM64" s="445"/>
      <c r="AN64" s="423" t="b">
        <f t="shared" si="2"/>
        <v>0</v>
      </c>
      <c r="AO64" s="446" t="s">
        <v>7264</v>
      </c>
      <c r="AR64" s="447"/>
      <c r="AS64" s="423" t="b">
        <f t="shared" si="3"/>
        <v>0</v>
      </c>
      <c r="AT64" s="448" t="s">
        <v>7226</v>
      </c>
      <c r="AW64" s="447"/>
      <c r="AX64" s="423" t="b">
        <f t="shared" si="4"/>
        <v>0</v>
      </c>
      <c r="AY64" s="448" t="s">
        <v>7226</v>
      </c>
      <c r="BB64" s="447"/>
      <c r="BC64" s="423" t="b">
        <f t="shared" si="5"/>
        <v>0</v>
      </c>
      <c r="BD64" s="448" t="s">
        <v>7271</v>
      </c>
      <c r="BG64" s="447"/>
      <c r="BH64" s="423" t="b">
        <f t="shared" si="6"/>
        <v>0</v>
      </c>
      <c r="BI64" s="448" t="s">
        <v>7233</v>
      </c>
    </row>
    <row r="65">
      <c r="A65" s="21"/>
      <c r="B65" s="439"/>
      <c r="C65" s="21"/>
      <c r="D65" s="552" t="b">
        <f t="shared" si="47"/>
        <v>0</v>
      </c>
      <c r="E65" s="553" t="str">
        <f t="array" ref="E65">XLOOKUP(G65,Advancements!$I$2:$I164,Advancements!$C$2:$C164)</f>
        <v/>
      </c>
      <c r="F65" s="553" t="str">
        <f t="array" ref="F65">XLOOKUP(G65,Advancements!$I$2:$I164,Advancements!$H$2:$H164)</f>
        <v/>
      </c>
      <c r="G65" s="554" t="s">
        <v>2016</v>
      </c>
      <c r="H65" s="21"/>
      <c r="I65" s="552" t="b">
        <f t="shared" si="48"/>
        <v>0</v>
      </c>
      <c r="J65" s="553" t="str">
        <f t="array" ref="J65">XLOOKUP(L65,Advancements!$I$2:$I164,Advancements!$C$2:$C164)</f>
        <v/>
      </c>
      <c r="K65" s="553" t="str">
        <f t="array" ref="K65">XLOOKUP(L65,Advancements!$I$2:$I164,Advancements!$H$2:$H164)</f>
        <v/>
      </c>
      <c r="L65" s="554" t="s">
        <v>2016</v>
      </c>
      <c r="M65" s="21"/>
      <c r="N65" s="552" t="b">
        <f t="shared" si="49"/>
        <v>0</v>
      </c>
      <c r="O65" s="553" t="str">
        <f t="array" ref="O65">XLOOKUP(Q65,Advancements!$I$2:$I164,Advancements!$C$2:$C164)</f>
        <v/>
      </c>
      <c r="P65" s="553" t="str">
        <f t="array" ref="P65">XLOOKUP(Q65,Advancements!$I$2:$I164,Advancements!$H$2:$H164)</f>
        <v/>
      </c>
      <c r="Q65" s="554" t="s">
        <v>63</v>
      </c>
      <c r="R65" s="21"/>
      <c r="S65" s="552" t="b">
        <f t="shared" si="50"/>
        <v>0</v>
      </c>
      <c r="T65" s="553" t="str">
        <f t="array" ref="T65">XLOOKUP(V65,Advancements!$I$2:$I164,Advancements!$C$2:$C164)</f>
        <v/>
      </c>
      <c r="U65" s="553" t="str">
        <f t="array" ref="U65">XLOOKUP(V65,Advancements!$I$2:$I164,Advancements!$H$2:$H164)</f>
        <v/>
      </c>
      <c r="V65" s="554" t="s">
        <v>59</v>
      </c>
      <c r="W65" s="21"/>
      <c r="X65" s="552" t="b">
        <f t="shared" si="51"/>
        <v>0</v>
      </c>
      <c r="Y65" s="553" t="str">
        <f t="array" ref="Y65">XLOOKUP(AA65,Advancements!$I$2:$I164,Advancements!$C$2:$C164)</f>
        <v/>
      </c>
      <c r="Z65" s="553" t="str">
        <f t="array" ref="Z65">XLOOKUP(AA65,Advancements!$I$2:$I164,Advancements!$H$2:$H164)</f>
        <v/>
      </c>
      <c r="AA65" s="554" t="s">
        <v>59</v>
      </c>
      <c r="AB65" s="21"/>
      <c r="AC65" s="21"/>
      <c r="AD65" s="21"/>
      <c r="AE65" s="21"/>
      <c r="AF65" s="21"/>
      <c r="AM65" s="445"/>
      <c r="AN65" s="423" t="b">
        <f t="shared" si="2"/>
        <v>0</v>
      </c>
      <c r="AO65" s="446" t="s">
        <v>7233</v>
      </c>
      <c r="AR65" s="447"/>
      <c r="AS65" s="423" t="b">
        <f t="shared" si="3"/>
        <v>0</v>
      </c>
      <c r="AT65" s="448" t="s">
        <v>7236</v>
      </c>
      <c r="AW65" s="447"/>
      <c r="AX65" s="423" t="b">
        <f t="shared" si="4"/>
        <v>0</v>
      </c>
      <c r="AY65" s="448" t="s">
        <v>7236</v>
      </c>
      <c r="BB65" s="447"/>
      <c r="BC65" s="423" t="b">
        <f t="shared" si="5"/>
        <v>0</v>
      </c>
      <c r="BD65" s="448" t="s">
        <v>7226</v>
      </c>
      <c r="BG65" s="447"/>
      <c r="BH65" s="423" t="b">
        <f t="shared" si="6"/>
        <v>0</v>
      </c>
      <c r="BI65" s="448" t="s">
        <v>7271</v>
      </c>
    </row>
    <row r="66">
      <c r="A66" s="21"/>
      <c r="B66" s="439"/>
      <c r="C66" s="21"/>
      <c r="D66" s="552" t="b">
        <f t="shared" si="47"/>
        <v>0</v>
      </c>
      <c r="E66" s="553" t="str">
        <f t="array" ref="E66">XLOOKUP(G66,Advancements!$I$2:$I164,Advancements!$C$2:$C164)</f>
        <v/>
      </c>
      <c r="F66" s="553" t="str">
        <f t="array" ref="F66">XLOOKUP(G66,Advancements!$I$2:$I164,Advancements!$H$2:$H164)</f>
        <v/>
      </c>
      <c r="G66" s="554" t="s">
        <v>55</v>
      </c>
      <c r="H66" s="21"/>
      <c r="I66" s="552" t="b">
        <f t="shared" si="48"/>
        <v>0</v>
      </c>
      <c r="J66" s="553" t="str">
        <f t="array" ref="J66">XLOOKUP(L66,Advancements!$I$2:$I164,Advancements!$C$2:$C164)</f>
        <v/>
      </c>
      <c r="K66" s="553" t="str">
        <f t="array" ref="K66">XLOOKUP(L66,Advancements!$I$2:$I164,Advancements!$H$2:$H164)</f>
        <v/>
      </c>
      <c r="L66" s="554" t="s">
        <v>55</v>
      </c>
      <c r="M66" s="21"/>
      <c r="N66" s="552" t="b">
        <f t="shared" si="49"/>
        <v>0</v>
      </c>
      <c r="O66" s="553" t="str">
        <f t="array" ref="O66">XLOOKUP(Q66,Advancements!$I$2:$I164,Advancements!$C$2:$C164)</f>
        <v/>
      </c>
      <c r="P66" s="553" t="str">
        <f t="array" ref="P66">XLOOKUP(Q66,Advancements!$I$2:$I164,Advancements!$H$2:$H164)</f>
        <v/>
      </c>
      <c r="Q66" s="554" t="s">
        <v>2738</v>
      </c>
      <c r="R66" s="21"/>
      <c r="S66" s="552" t="b">
        <f t="shared" si="50"/>
        <v>0</v>
      </c>
      <c r="T66" s="553" t="str">
        <f t="array" ref="T66">XLOOKUP(V66,Advancements!$I$2:$I164,Advancements!$C$2:$C164)</f>
        <v/>
      </c>
      <c r="U66" s="553" t="str">
        <f t="array" ref="U66">XLOOKUP(V66,Advancements!$I$2:$I164,Advancements!$H$2:$H164)</f>
        <v/>
      </c>
      <c r="V66" s="554" t="s">
        <v>1718</v>
      </c>
      <c r="W66" s="21"/>
      <c r="X66" s="552" t="b">
        <f t="shared" si="51"/>
        <v>0</v>
      </c>
      <c r="Y66" s="553" t="str">
        <f t="array" ref="Y66">XLOOKUP(AA66,Advancements!$I$2:$I164,Advancements!$C$2:$C164)</f>
        <v/>
      </c>
      <c r="Z66" s="553" t="str">
        <f t="array" ref="Z66">XLOOKUP(AA66,Advancements!$I$2:$I164,Advancements!$H$2:$H164)</f>
        <v/>
      </c>
      <c r="AA66" s="554" t="s">
        <v>1718</v>
      </c>
      <c r="AB66" s="21"/>
      <c r="AC66" s="21"/>
      <c r="AD66" s="21"/>
      <c r="AE66" s="21"/>
      <c r="AF66" s="21"/>
      <c r="AM66" s="445"/>
      <c r="AN66" s="423" t="b">
        <f t="shared" si="2"/>
        <v>0</v>
      </c>
      <c r="AO66" s="446" t="s">
        <v>7271</v>
      </c>
      <c r="AR66" s="447"/>
      <c r="AS66" s="423" t="b">
        <f t="shared" si="3"/>
        <v>0</v>
      </c>
      <c r="AT66" s="448" t="s">
        <v>7272</v>
      </c>
      <c r="AW66" s="447"/>
      <c r="AX66" s="423" t="b">
        <f t="shared" si="4"/>
        <v>0</v>
      </c>
      <c r="AY66" s="448" t="s">
        <v>7272</v>
      </c>
      <c r="BB66" s="447"/>
      <c r="BC66" s="423" t="b">
        <f t="shared" si="5"/>
        <v>0</v>
      </c>
      <c r="BD66" s="448" t="s">
        <v>7236</v>
      </c>
      <c r="BG66" s="447"/>
      <c r="BH66" s="423" t="b">
        <f t="shared" si="6"/>
        <v>0</v>
      </c>
      <c r="BI66" s="448" t="s">
        <v>7226</v>
      </c>
    </row>
    <row r="67">
      <c r="A67" s="21"/>
      <c r="B67" s="439"/>
      <c r="C67" s="21"/>
      <c r="D67" s="552" t="b">
        <f t="shared" si="47"/>
        <v>0</v>
      </c>
      <c r="E67" s="553" t="str">
        <f t="array" ref="E67">XLOOKUP(G67,Advancements!$I$2:$I164,Advancements!$C$2:$C164)</f>
        <v/>
      </c>
      <c r="F67" s="553" t="str">
        <f t="array" ref="F67">XLOOKUP(G67,Advancements!$I$2:$I164,Advancements!$H$2:$H164)</f>
        <v/>
      </c>
      <c r="G67" s="554" t="s">
        <v>67</v>
      </c>
      <c r="H67" s="21"/>
      <c r="I67" s="552" t="b">
        <f t="shared" si="48"/>
        <v>0</v>
      </c>
      <c r="J67" s="553" t="str">
        <f t="array" ref="J67">XLOOKUP(L67,Advancements!$I$2:$I164,Advancements!$C$2:$C164)</f>
        <v/>
      </c>
      <c r="K67" s="553" t="str">
        <f t="array" ref="K67">XLOOKUP(L67,Advancements!$I$2:$I164,Advancements!$H$2:$H164)</f>
        <v/>
      </c>
      <c r="L67" s="554" t="s">
        <v>67</v>
      </c>
      <c r="M67" s="21"/>
      <c r="N67" s="552" t="b">
        <f t="shared" si="49"/>
        <v>0</v>
      </c>
      <c r="O67" s="553" t="str">
        <f t="array" ref="O67">XLOOKUP(Q67,Advancements!$I$2:$I164,Advancements!$C$2:$C164)</f>
        <v/>
      </c>
      <c r="P67" s="553" t="str">
        <f t="array" ref="P67">XLOOKUP(Q67,Advancements!$I$2:$I164,Advancements!$H$2:$H164)</f>
        <v/>
      </c>
      <c r="Q67" s="554" t="s">
        <v>59</v>
      </c>
      <c r="R67" s="21"/>
      <c r="S67" s="552" t="b">
        <f t="shared" si="50"/>
        <v>0</v>
      </c>
      <c r="T67" s="553" t="str">
        <f t="array" ref="T67">XLOOKUP(V67,Advancements!$I$2:$I164,Advancements!$C$2:$C164)</f>
        <v/>
      </c>
      <c r="U67" s="553" t="str">
        <f t="array" ref="U67">XLOOKUP(V67,Advancements!$I$2:$I164,Advancements!$H$2:$H164)</f>
        <v/>
      </c>
      <c r="V67" s="554" t="s">
        <v>2016</v>
      </c>
      <c r="W67" s="21"/>
      <c r="X67" s="552" t="b">
        <f t="shared" si="51"/>
        <v>0</v>
      </c>
      <c r="Y67" s="553" t="str">
        <f t="array" ref="Y67">XLOOKUP(AA67,Advancements!$I$2:$I164,Advancements!$C$2:$C164)</f>
        <v/>
      </c>
      <c r="Z67" s="553" t="str">
        <f t="array" ref="Z67">XLOOKUP(AA67,Advancements!$I$2:$I164,Advancements!$H$2:$H164)</f>
        <v/>
      </c>
      <c r="AA67" s="554" t="s">
        <v>2016</v>
      </c>
      <c r="AB67" s="21"/>
      <c r="AC67" s="21"/>
      <c r="AD67" s="21"/>
      <c r="AE67" s="21"/>
      <c r="AF67" s="21"/>
      <c r="AM67" s="445"/>
      <c r="AN67" s="423" t="b">
        <f t="shared" si="2"/>
        <v>0</v>
      </c>
      <c r="AO67" s="446" t="s">
        <v>7226</v>
      </c>
      <c r="AR67" s="447"/>
      <c r="AS67" s="423" t="b">
        <f t="shared" si="3"/>
        <v>0</v>
      </c>
      <c r="AT67" s="448" t="s">
        <v>7245</v>
      </c>
      <c r="AW67" s="447"/>
      <c r="AX67" s="423" t="b">
        <f t="shared" si="4"/>
        <v>0</v>
      </c>
      <c r="AY67" s="448" t="s">
        <v>7245</v>
      </c>
      <c r="BB67" s="447"/>
      <c r="BC67" s="423" t="b">
        <f t="shared" si="5"/>
        <v>0</v>
      </c>
      <c r="BD67" s="448" t="s">
        <v>7272</v>
      </c>
      <c r="BG67" s="447"/>
      <c r="BH67" s="423" t="b">
        <f t="shared" si="6"/>
        <v>0</v>
      </c>
      <c r="BI67" s="448" t="s">
        <v>7236</v>
      </c>
    </row>
    <row r="68">
      <c r="A68" s="21"/>
      <c r="B68" s="439"/>
      <c r="C68" s="21"/>
      <c r="D68" s="552" t="b">
        <f t="shared" si="47"/>
        <v>0</v>
      </c>
      <c r="E68" s="553" t="str">
        <f t="array" ref="E68">XLOOKUP(G68,Advancements!$I$2:$I164,Advancements!$C$2:$C164)</f>
        <v/>
      </c>
      <c r="F68" s="553" t="str">
        <f t="array" ref="F68">XLOOKUP(G68,Advancements!$I$2:$I164,Advancements!$H$2:$H164)</f>
        <v/>
      </c>
      <c r="G68" s="554" t="s">
        <v>36</v>
      </c>
      <c r="H68" s="21"/>
      <c r="I68" s="555" t="b">
        <f t="shared" si="48"/>
        <v>0</v>
      </c>
      <c r="J68" s="556" t="str">
        <f t="array" ref="J68">XLOOKUP(L68,Advancements!$I$2:$I164,Advancements!$C$2:$C164)</f>
        <v/>
      </c>
      <c r="K68" s="556" t="str">
        <f t="array" ref="K68">XLOOKUP(L68,Advancements!$I$2:$I164,Advancements!$H$2:$H164)</f>
        <v/>
      </c>
      <c r="L68" s="557" t="s">
        <v>4846</v>
      </c>
      <c r="M68" s="21"/>
      <c r="N68" s="552" t="b">
        <f t="shared" si="49"/>
        <v>0</v>
      </c>
      <c r="O68" s="553" t="str">
        <f t="array" ref="O68">XLOOKUP(Q68,Advancements!$I$2:$I164,Advancements!$C$2:$C164)</f>
        <v/>
      </c>
      <c r="P68" s="553" t="str">
        <f t="array" ref="P68">XLOOKUP(Q68,Advancements!$I$2:$I164,Advancements!$H$2:$H164)</f>
        <v/>
      </c>
      <c r="Q68" s="554" t="s">
        <v>55</v>
      </c>
      <c r="R68" s="21"/>
      <c r="S68" s="552" t="b">
        <f t="shared" si="50"/>
        <v>0</v>
      </c>
      <c r="T68" s="553" t="str">
        <f t="array" ref="T68">XLOOKUP(V68,Advancements!$I$2:$I164,Advancements!$C$2:$C164)</f>
        <v/>
      </c>
      <c r="U68" s="553" t="str">
        <f t="array" ref="U68">XLOOKUP(V68,Advancements!$I$2:$I164,Advancements!$H$2:$H164)</f>
        <v/>
      </c>
      <c r="V68" s="554" t="s">
        <v>55</v>
      </c>
      <c r="W68" s="21"/>
      <c r="X68" s="552" t="b">
        <f t="shared" si="51"/>
        <v>0</v>
      </c>
      <c r="Y68" s="553" t="str">
        <f t="array" ref="Y68">XLOOKUP(AA68,Advancements!$I$2:$I164,Advancements!$C$2:$C164)</f>
        <v/>
      </c>
      <c r="Z68" s="553" t="str">
        <f t="array" ref="Z68">XLOOKUP(AA68,Advancements!$I$2:$I164,Advancements!$H$2:$H164)</f>
        <v/>
      </c>
      <c r="AA68" s="554" t="s">
        <v>55</v>
      </c>
      <c r="AB68" s="21"/>
      <c r="AC68" s="21"/>
      <c r="AD68" s="21"/>
      <c r="AE68" s="21"/>
      <c r="AF68" s="21"/>
      <c r="AM68" s="445"/>
      <c r="AN68" s="423" t="b">
        <f t="shared" si="2"/>
        <v>0</v>
      </c>
      <c r="AO68" s="446" t="s">
        <v>7236</v>
      </c>
      <c r="AR68" s="447"/>
      <c r="AS68" s="423" t="b">
        <f t="shared" si="3"/>
        <v>0</v>
      </c>
      <c r="AT68" s="448" t="s">
        <v>7247</v>
      </c>
      <c r="AW68" s="447"/>
      <c r="AX68" s="423" t="b">
        <f t="shared" si="4"/>
        <v>0</v>
      </c>
      <c r="AY68" s="448" t="s">
        <v>7247</v>
      </c>
      <c r="BB68" s="447"/>
      <c r="BC68" s="423" t="b">
        <f t="shared" si="5"/>
        <v>0</v>
      </c>
      <c r="BD68" s="448" t="s">
        <v>7245</v>
      </c>
      <c r="BG68" s="447"/>
      <c r="BH68" s="423" t="b">
        <f t="shared" si="6"/>
        <v>0</v>
      </c>
      <c r="BI68" s="448" t="s">
        <v>7272</v>
      </c>
    </row>
    <row r="69">
      <c r="A69" s="21"/>
      <c r="B69" s="439"/>
      <c r="C69" s="21"/>
      <c r="D69" s="558" t="b">
        <f t="shared" si="47"/>
        <v>0</v>
      </c>
      <c r="E69" s="556" t="str">
        <f t="array" ref="E69">XLOOKUP(G69,Advancements!$I$2:$I164,Advancements!$C$2:$C164)</f>
        <v/>
      </c>
      <c r="F69" s="556" t="str">
        <f t="array" ref="F69">XLOOKUP(G69,Advancements!$I$2:$I164,Advancements!$H$2:$H164)</f>
        <v/>
      </c>
      <c r="G69" s="557" t="s">
        <v>4846</v>
      </c>
      <c r="H69" s="21"/>
      <c r="I69" s="21"/>
      <c r="J69" s="21"/>
      <c r="K69" s="21"/>
      <c r="L69" s="21"/>
      <c r="M69" s="21"/>
      <c r="N69" s="552" t="b">
        <f t="shared" si="49"/>
        <v>0</v>
      </c>
      <c r="O69" s="553" t="str">
        <f t="array" ref="O69">XLOOKUP(Q69,Advancements!$I$2:$I164,Advancements!$C$2:$C164)</f>
        <v/>
      </c>
      <c r="P69" s="553" t="str">
        <f t="array" ref="P69">XLOOKUP(Q69,Advancements!$I$2:$I164,Advancements!$H$2:$H164)</f>
        <v/>
      </c>
      <c r="Q69" s="554" t="s">
        <v>67</v>
      </c>
      <c r="R69" s="21"/>
      <c r="S69" s="552" t="b">
        <f t="shared" si="50"/>
        <v>0</v>
      </c>
      <c r="T69" s="553" t="str">
        <f t="array" ref="T69">XLOOKUP(V69,Advancements!$I$2:$I164,Advancements!$C$2:$C164)</f>
        <v/>
      </c>
      <c r="U69" s="553" t="str">
        <f t="array" ref="U69">XLOOKUP(V69,Advancements!$I$2:$I164,Advancements!$H$2:$H164)</f>
        <v/>
      </c>
      <c r="V69" s="554" t="s">
        <v>67</v>
      </c>
      <c r="W69" s="21"/>
      <c r="X69" s="552" t="b">
        <f t="shared" si="51"/>
        <v>0</v>
      </c>
      <c r="Y69" s="553" t="str">
        <f t="array" ref="Y69">XLOOKUP(AA69,Advancements!$I$2:$I164,Advancements!$C$2:$C164)</f>
        <v/>
      </c>
      <c r="Z69" s="553" t="str">
        <f t="array" ref="Z69">XLOOKUP(AA69,Advancements!$I$2:$I164,Advancements!$H$2:$H164)</f>
        <v/>
      </c>
      <c r="AA69" s="554" t="s">
        <v>67</v>
      </c>
      <c r="AB69" s="21"/>
      <c r="AC69" s="21"/>
      <c r="AD69" s="21"/>
      <c r="AE69" s="21"/>
      <c r="AF69" s="21"/>
      <c r="AM69" s="445"/>
      <c r="AN69" s="423" t="b">
        <f t="shared" si="2"/>
        <v>0</v>
      </c>
      <c r="AO69" s="446" t="s">
        <v>7272</v>
      </c>
      <c r="AR69" s="447"/>
      <c r="AS69" s="423" t="b">
        <f t="shared" si="3"/>
        <v>0</v>
      </c>
      <c r="AT69" s="448" t="s">
        <v>7273</v>
      </c>
      <c r="AW69" s="447"/>
      <c r="AX69" s="423" t="b">
        <f t="shared" si="4"/>
        <v>0</v>
      </c>
      <c r="AY69" s="448" t="s">
        <v>7273</v>
      </c>
      <c r="BB69" s="447"/>
      <c r="BC69" s="423" t="b">
        <f t="shared" si="5"/>
        <v>0</v>
      </c>
      <c r="BD69" s="448" t="s">
        <v>7247</v>
      </c>
      <c r="BG69" s="447"/>
      <c r="BH69" s="423" t="b">
        <f t="shared" si="6"/>
        <v>0</v>
      </c>
      <c r="BI69" s="448" t="s">
        <v>7245</v>
      </c>
    </row>
    <row r="70">
      <c r="A70" s="21"/>
      <c r="B70" s="439"/>
      <c r="C70" s="21"/>
      <c r="D70" s="21"/>
      <c r="E70" s="21"/>
      <c r="F70" s="21"/>
      <c r="G70" s="21"/>
      <c r="H70" s="21"/>
      <c r="I70" s="21"/>
      <c r="J70" s="21"/>
      <c r="K70" s="21"/>
      <c r="L70" s="21"/>
      <c r="M70" s="21"/>
      <c r="N70" s="552" t="b">
        <f t="shared" si="49"/>
        <v>0</v>
      </c>
      <c r="O70" s="553" t="str">
        <f t="array" ref="O70">XLOOKUP(Q70,Advancements!$I$2:$I164,Advancements!$C$2:$C164)</f>
        <v/>
      </c>
      <c r="P70" s="553" t="str">
        <f t="array" ref="P70">XLOOKUP(Q70,Advancements!$I$2:$I164,Advancements!$H$2:$H164)</f>
        <v/>
      </c>
      <c r="Q70" s="554" t="s">
        <v>36</v>
      </c>
      <c r="R70" s="21"/>
      <c r="S70" s="555" t="b">
        <f t="shared" si="50"/>
        <v>0</v>
      </c>
      <c r="T70" s="556" t="str">
        <f t="array" ref="T70">XLOOKUP(V70,Advancements!$I$2:$I164,Advancements!$C$2:$C164)</f>
        <v/>
      </c>
      <c r="U70" s="556" t="str">
        <f t="array" ref="U70">XLOOKUP(V70,Advancements!$I$2:$I164,Advancements!$H$2:$H164)</f>
        <v/>
      </c>
      <c r="V70" s="557" t="s">
        <v>4846</v>
      </c>
      <c r="W70" s="21"/>
      <c r="X70" s="552" t="b">
        <f t="shared" si="51"/>
        <v>0</v>
      </c>
      <c r="Y70" s="553" t="str">
        <f t="array" ref="Y70">XLOOKUP(AA70,Advancements!$I$2:$I164,Advancements!$C$2:$C164)</f>
        <v/>
      </c>
      <c r="Z70" s="553" t="str">
        <f t="array" ref="Z70">XLOOKUP(AA70,Advancements!$I$2:$I164,Advancements!$H$2:$H164)</f>
        <v/>
      </c>
      <c r="AA70" s="554" t="s">
        <v>36</v>
      </c>
      <c r="AB70" s="21"/>
      <c r="AC70" s="21"/>
      <c r="AD70" s="21"/>
      <c r="AE70" s="21"/>
      <c r="AF70" s="21"/>
      <c r="AM70" s="445"/>
      <c r="AN70" s="423" t="b">
        <f t="shared" si="2"/>
        <v>0</v>
      </c>
      <c r="AO70" s="446" t="s">
        <v>7245</v>
      </c>
      <c r="AR70" s="447"/>
      <c r="AS70" s="423" t="b">
        <f t="shared" si="3"/>
        <v>0</v>
      </c>
      <c r="AT70" s="448" t="s">
        <v>7296</v>
      </c>
      <c r="AW70" s="447"/>
      <c r="AX70" s="423" t="b">
        <f t="shared" si="4"/>
        <v>0</v>
      </c>
      <c r="AY70" s="448" t="s">
        <v>7296</v>
      </c>
      <c r="BB70" s="447"/>
      <c r="BC70" s="423" t="b">
        <f t="shared" si="5"/>
        <v>0</v>
      </c>
      <c r="BD70" s="448" t="s">
        <v>7273</v>
      </c>
      <c r="BG70" s="447"/>
      <c r="BH70" s="423" t="b">
        <f t="shared" si="6"/>
        <v>0</v>
      </c>
      <c r="BI70" s="448" t="s">
        <v>7247</v>
      </c>
    </row>
    <row r="71">
      <c r="A71" s="21"/>
      <c r="B71" s="468"/>
      <c r="C71" s="21"/>
      <c r="D71" s="21"/>
      <c r="E71" s="21"/>
      <c r="F71" s="21"/>
      <c r="G71" s="21"/>
      <c r="H71" s="21"/>
      <c r="I71" s="21"/>
      <c r="J71" s="21"/>
      <c r="K71" s="21"/>
      <c r="L71" s="21"/>
      <c r="M71" s="21"/>
      <c r="N71" s="555" t="b">
        <f t="shared" si="49"/>
        <v>0</v>
      </c>
      <c r="O71" s="556" t="str">
        <f t="array" ref="O71">XLOOKUP(Q71,Advancements!$I$2:$I164,Advancements!$C$2:$C164)</f>
        <v/>
      </c>
      <c r="P71" s="556" t="str">
        <f t="array" ref="P71">XLOOKUP(Q71,Advancements!$I$2:$I164,Advancements!$H$2:$H164)</f>
        <v/>
      </c>
      <c r="Q71" s="557" t="s">
        <v>4846</v>
      </c>
      <c r="R71" s="21"/>
      <c r="S71" s="21"/>
      <c r="T71" s="21"/>
      <c r="U71" s="21"/>
      <c r="V71" s="21"/>
      <c r="W71" s="21"/>
      <c r="X71" s="555" t="b">
        <f t="shared" si="51"/>
        <v>0</v>
      </c>
      <c r="Y71" s="556" t="str">
        <f t="array" ref="Y71">XLOOKUP(AA71,Advancements!$I$2:$I164,Advancements!$C$2:$C164)</f>
        <v/>
      </c>
      <c r="Z71" s="556" t="str">
        <f t="array" ref="Z71">XLOOKUP(AA71,Advancements!$I$2:$I164,Advancements!$H$2:$H164)</f>
        <v/>
      </c>
      <c r="AA71" s="557" t="s">
        <v>4846</v>
      </c>
      <c r="AB71" s="21"/>
      <c r="AC71" s="21"/>
      <c r="AD71" s="21"/>
      <c r="AE71" s="21"/>
      <c r="AF71" s="21"/>
      <c r="AM71" s="445"/>
      <c r="AN71" s="423" t="b">
        <f t="shared" si="2"/>
        <v>0</v>
      </c>
      <c r="AO71" s="446" t="s">
        <v>7247</v>
      </c>
      <c r="AR71" s="447"/>
      <c r="AS71" s="423" t="b">
        <f t="shared" si="3"/>
        <v>0</v>
      </c>
      <c r="AT71" s="448" t="s">
        <v>7274</v>
      </c>
      <c r="AW71" s="447"/>
      <c r="AX71" s="423" t="b">
        <f t="shared" si="4"/>
        <v>0</v>
      </c>
      <c r="AY71" s="448" t="s">
        <v>7274</v>
      </c>
      <c r="BB71" s="447"/>
      <c r="BC71" s="423" t="b">
        <f t="shared" si="5"/>
        <v>0</v>
      </c>
      <c r="BD71" s="448" t="s">
        <v>7296</v>
      </c>
      <c r="BG71" s="447"/>
      <c r="BH71" s="423" t="b">
        <f t="shared" si="6"/>
        <v>0</v>
      </c>
      <c r="BI71" s="448" t="s">
        <v>7273</v>
      </c>
    </row>
    <row r="72">
      <c r="A72" s="21"/>
      <c r="B72" s="21"/>
      <c r="C72" s="21"/>
      <c r="D72" s="21"/>
      <c r="E72" s="21"/>
      <c r="F72" s="21"/>
      <c r="G72" s="21"/>
      <c r="H72" s="21"/>
      <c r="I72" s="21"/>
      <c r="J72" s="21"/>
      <c r="K72" s="21"/>
      <c r="L72" s="21"/>
      <c r="M72" s="21"/>
      <c r="N72" s="21"/>
      <c r="O72" s="21"/>
      <c r="P72" s="21"/>
      <c r="Q72" s="21"/>
      <c r="R72" s="21"/>
      <c r="S72" s="21"/>
      <c r="T72" s="21"/>
      <c r="U72" s="21"/>
      <c r="V72" s="21"/>
      <c r="W72" s="21"/>
      <c r="X72" s="21"/>
      <c r="Y72" s="21"/>
      <c r="Z72" s="21"/>
      <c r="AA72" s="21"/>
      <c r="AB72" s="21"/>
      <c r="AC72" s="21"/>
      <c r="AD72" s="21"/>
      <c r="AE72" s="21"/>
      <c r="AF72" s="21"/>
      <c r="AM72" s="445"/>
      <c r="AN72" s="423" t="b">
        <f t="shared" si="2"/>
        <v>0</v>
      </c>
      <c r="AO72" s="446" t="s">
        <v>7273</v>
      </c>
      <c r="AR72" s="447"/>
      <c r="AS72" s="423" t="b">
        <f t="shared" si="3"/>
        <v>0</v>
      </c>
      <c r="AT72" s="448" t="s">
        <v>7297</v>
      </c>
      <c r="AW72" s="447"/>
      <c r="AX72" s="423" t="b">
        <f t="shared" si="4"/>
        <v>0</v>
      </c>
      <c r="AY72" s="448" t="s">
        <v>7297</v>
      </c>
      <c r="BB72" s="447"/>
      <c r="BC72" s="423" t="b">
        <f t="shared" si="5"/>
        <v>0</v>
      </c>
      <c r="BD72" s="448" t="s">
        <v>7274</v>
      </c>
      <c r="BG72" s="447"/>
      <c r="BH72" s="423" t="b">
        <f t="shared" si="6"/>
        <v>0</v>
      </c>
      <c r="BI72" s="448" t="s">
        <v>7296</v>
      </c>
    </row>
    <row r="73">
      <c r="A73" s="21"/>
      <c r="B73" s="559" t="s">
        <v>7298</v>
      </c>
      <c r="C73" s="21"/>
      <c r="D73" s="560" t="b">
        <f>IFALLTRUE(D74:D78)</f>
        <v>0</v>
      </c>
      <c r="E73" s="561"/>
      <c r="F73" s="561" t="str">
        <f>GET_MOB_HEAD(G73)</f>
        <v/>
      </c>
      <c r="G73" s="562" t="s">
        <v>7299</v>
      </c>
      <c r="H73" s="21"/>
      <c r="I73" s="560" t="b">
        <f>IFALLTRUE(I74:I78)</f>
        <v>0</v>
      </c>
      <c r="J73" s="561"/>
      <c r="K73" s="561" t="str">
        <f>GET_MOB_HEAD(L73)</f>
        <v/>
      </c>
      <c r="L73" s="562" t="s">
        <v>7300</v>
      </c>
      <c r="M73" s="21"/>
      <c r="N73" s="560" t="b">
        <f>IFALLTRUE(N74:N78)</f>
        <v>0</v>
      </c>
      <c r="O73" s="561"/>
      <c r="P73" s="561" t="str">
        <f>GET_MOB_HEAD(Q73)</f>
        <v/>
      </c>
      <c r="Q73" s="562" t="s">
        <v>7301</v>
      </c>
      <c r="R73" s="21"/>
      <c r="S73" s="560" t="b">
        <f>IFALLTRUE(S74:S78)</f>
        <v>0</v>
      </c>
      <c r="T73" s="561"/>
      <c r="U73" s="561" t="str">
        <f>GET_MOB_HEAD(V73)</f>
        <v/>
      </c>
      <c r="V73" s="562" t="s">
        <v>7302</v>
      </c>
      <c r="W73" s="21"/>
      <c r="X73" s="560" t="b">
        <f>IFALLTRUE(X74:X78)</f>
        <v>0</v>
      </c>
      <c r="Y73" s="561"/>
      <c r="Z73" s="561" t="str">
        <f>GET_MOB_HEAD(AA73)</f>
        <v/>
      </c>
      <c r="AA73" s="562" t="s">
        <v>7303</v>
      </c>
      <c r="AB73" s="21"/>
      <c r="AC73" s="560" t="b">
        <f>IFALLTRUE(AC74:AC78)</f>
        <v>0</v>
      </c>
      <c r="AD73" s="561"/>
      <c r="AE73" s="561" t="str">
        <f>GET_MOB_HEAD(AF73)</f>
        <v/>
      </c>
      <c r="AF73" s="562" t="s">
        <v>7304</v>
      </c>
      <c r="AM73" s="445"/>
      <c r="AN73" s="423" t="b">
        <f t="shared" si="2"/>
        <v>0</v>
      </c>
      <c r="AO73" s="446" t="s">
        <v>7296</v>
      </c>
      <c r="AR73" s="447"/>
      <c r="AS73" s="423" t="b">
        <f t="shared" si="3"/>
        <v>0</v>
      </c>
      <c r="AT73" s="448" t="s">
        <v>2559</v>
      </c>
      <c r="AW73" s="447"/>
      <c r="AX73" s="423" t="b">
        <f t="shared" si="4"/>
        <v>0</v>
      </c>
      <c r="AY73" s="448" t="s">
        <v>2559</v>
      </c>
      <c r="BB73" s="447"/>
      <c r="BC73" s="423" t="b">
        <f t="shared" si="5"/>
        <v>0</v>
      </c>
      <c r="BD73" s="448" t="s">
        <v>7297</v>
      </c>
      <c r="BG73" s="447"/>
      <c r="BH73" s="423" t="b">
        <f t="shared" si="6"/>
        <v>0</v>
      </c>
      <c r="BI73" s="448" t="s">
        <v>7274</v>
      </c>
    </row>
    <row r="74">
      <c r="A74" s="21"/>
      <c r="B74" s="439"/>
      <c r="C74" s="21"/>
      <c r="D74" s="563" t="b">
        <f t="shared" ref="D74:D81" si="52">CHECK_MOB(G74,G$73)</f>
        <v>0</v>
      </c>
      <c r="E74" s="564" t="str">
        <f t="array" ref="E74">XLOOKUP(G74,Advancements!$I$2:$I164,Advancements!$C$2:$C164)</f>
        <v/>
      </c>
      <c r="F74" s="564" t="str">
        <f t="array" ref="F74">XLOOKUP(G74,Advancements!$I$2:$I164,Advancements!$H$2:$H164)</f>
        <v/>
      </c>
      <c r="G74" s="565" t="s">
        <v>63</v>
      </c>
      <c r="H74" s="21"/>
      <c r="I74" s="563" t="b">
        <f t="shared" ref="I74:I81" si="53">CHECK_MOB(L74,L$73)</f>
        <v>0</v>
      </c>
      <c r="J74" s="564" t="str">
        <f t="array" ref="J74">XLOOKUP(L74,Advancements!$I$2:$I164,Advancements!$C$2:$C164)</f>
        <v/>
      </c>
      <c r="K74" s="564" t="str">
        <f t="array" ref="K74">XLOOKUP(L74,Advancements!$I$2:$I164,Advancements!$H$2:$H164)</f>
        <v/>
      </c>
      <c r="L74" s="565" t="s">
        <v>63</v>
      </c>
      <c r="M74" s="21"/>
      <c r="N74" s="563" t="b">
        <f t="shared" ref="N74:N81" si="54">CHECK_MOB(Q74,Q$73)</f>
        <v>0</v>
      </c>
      <c r="O74" s="564" t="str">
        <f t="array" ref="O74">XLOOKUP(Q74,Advancements!$I$2:$I164,Advancements!$C$2:$C164)</f>
        <v/>
      </c>
      <c r="P74" s="564" t="str">
        <f t="array" ref="P74">XLOOKUP(Q74,Advancements!$I$2:$I164,Advancements!$H$2:$H164)</f>
        <v/>
      </c>
      <c r="Q74" s="565" t="s">
        <v>63</v>
      </c>
      <c r="R74" s="21"/>
      <c r="S74" s="563" t="b">
        <f t="shared" ref="S74:S81" si="55">CHECK_MOB(V74,V$73)</f>
        <v>0</v>
      </c>
      <c r="T74" s="564" t="str">
        <f t="array" ref="T74">XLOOKUP(V74,Advancements!$I$2:$I164,Advancements!$C$2:$C164)</f>
        <v/>
      </c>
      <c r="U74" s="564" t="str">
        <f t="array" ref="U74">XLOOKUP(V74,Advancements!$I$2:$I164,Advancements!$H$2:$H164)</f>
        <v/>
      </c>
      <c r="V74" s="565" t="s">
        <v>63</v>
      </c>
      <c r="W74" s="21"/>
      <c r="X74" s="563" t="b">
        <f t="shared" ref="X74:X81" si="56">CHECK_MOB(AA74,AA$73)</f>
        <v>0</v>
      </c>
      <c r="Y74" s="564" t="str">
        <f t="array" ref="Y74">XLOOKUP(AA74,Advancements!$I$2:$I164,Advancements!$C$2:$C164)</f>
        <v/>
      </c>
      <c r="Z74" s="564" t="str">
        <f t="array" ref="Z74">XLOOKUP(AA74,Advancements!$I$2:$I164,Advancements!$H$2:$H164)</f>
        <v/>
      </c>
      <c r="AA74" s="565" t="s">
        <v>63</v>
      </c>
      <c r="AB74" s="21"/>
      <c r="AC74" s="563" t="b">
        <f t="shared" ref="AC74:AC82" si="57">CHECK_MOB(AF74,AF$73)</f>
        <v>0</v>
      </c>
      <c r="AD74" s="564" t="str">
        <f t="array" ref="AD74">XLOOKUP(AF74,Advancements!$I$2:$I164,Advancements!$C$2:$C164)</f>
        <v/>
      </c>
      <c r="AE74" s="564" t="str">
        <f t="array" ref="AE74">XLOOKUP(AF74,Advancements!$I$2:$I164,Advancements!$H$2:$H164)</f>
        <v/>
      </c>
      <c r="AF74" s="565" t="s">
        <v>63</v>
      </c>
      <c r="AM74" s="445"/>
      <c r="AN74" s="423" t="b">
        <f t="shared" si="2"/>
        <v>0</v>
      </c>
      <c r="AO74" s="446" t="s">
        <v>7274</v>
      </c>
      <c r="AR74" s="447"/>
      <c r="AS74" s="423" t="b">
        <f t="shared" si="3"/>
        <v>0</v>
      </c>
      <c r="AT74" s="448" t="s">
        <v>7277</v>
      </c>
      <c r="AW74" s="447"/>
      <c r="AX74" s="423" t="b">
        <f t="shared" si="4"/>
        <v>0</v>
      </c>
      <c r="AY74" s="448" t="s">
        <v>7277</v>
      </c>
      <c r="BB74" s="447"/>
      <c r="BC74" s="423" t="b">
        <f t="shared" si="5"/>
        <v>0</v>
      </c>
      <c r="BD74" s="448" t="s">
        <v>2559</v>
      </c>
      <c r="BG74" s="447"/>
      <c r="BH74" s="423" t="b">
        <f t="shared" si="6"/>
        <v>0</v>
      </c>
      <c r="BI74" s="448" t="s">
        <v>7297</v>
      </c>
    </row>
    <row r="75">
      <c r="A75" s="21"/>
      <c r="B75" s="439"/>
      <c r="C75" s="21"/>
      <c r="D75" s="566" t="b">
        <f t="shared" si="52"/>
        <v>0</v>
      </c>
      <c r="E75" s="567" t="str">
        <f t="array" ref="E75">XLOOKUP(G75,Advancements!$I$2:$I164,Advancements!$C$2:$C164)</f>
        <v/>
      </c>
      <c r="F75" s="567" t="str">
        <f t="array" ref="F75">XLOOKUP(G75,Advancements!$I$2:$I164,Advancements!$H$2:$H164)</f>
        <v/>
      </c>
      <c r="G75" s="568" t="s">
        <v>2618</v>
      </c>
      <c r="H75" s="21"/>
      <c r="I75" s="566" t="b">
        <f t="shared" si="53"/>
        <v>0</v>
      </c>
      <c r="J75" s="567" t="str">
        <f t="array" ref="J75">XLOOKUP(L75,Advancements!$I$2:$I164,Advancements!$C$2:$C164)</f>
        <v/>
      </c>
      <c r="K75" s="567" t="str">
        <f t="array" ref="K75">XLOOKUP(L75,Advancements!$I$2:$I164,Advancements!$H$2:$H164)</f>
        <v/>
      </c>
      <c r="L75" s="568" t="s">
        <v>2618</v>
      </c>
      <c r="M75" s="21"/>
      <c r="N75" s="566" t="b">
        <f t="shared" si="54"/>
        <v>0</v>
      </c>
      <c r="O75" s="567" t="str">
        <f t="array" ref="O75">XLOOKUP(Q75,Advancements!$I$2:$I164,Advancements!$C$2:$C164)</f>
        <v/>
      </c>
      <c r="P75" s="567" t="str">
        <f t="array" ref="P75">XLOOKUP(Q75,Advancements!$I$2:$I164,Advancements!$H$2:$H164)</f>
        <v/>
      </c>
      <c r="Q75" s="568" t="s">
        <v>2618</v>
      </c>
      <c r="R75" s="21"/>
      <c r="S75" s="566" t="b">
        <f t="shared" si="55"/>
        <v>0</v>
      </c>
      <c r="T75" s="567" t="str">
        <f t="array" ref="T75">XLOOKUP(V75,Advancements!$I$2:$I164,Advancements!$C$2:$C164)</f>
        <v/>
      </c>
      <c r="U75" s="567" t="str">
        <f t="array" ref="U75">XLOOKUP(V75,Advancements!$I$2:$I164,Advancements!$H$2:$H164)</f>
        <v/>
      </c>
      <c r="V75" s="568" t="s">
        <v>2618</v>
      </c>
      <c r="W75" s="21"/>
      <c r="X75" s="566" t="b">
        <f t="shared" si="56"/>
        <v>0</v>
      </c>
      <c r="Y75" s="567" t="str">
        <f t="array" ref="Y75">XLOOKUP(AA75,Advancements!$I$2:$I164,Advancements!$C$2:$C164)</f>
        <v/>
      </c>
      <c r="Z75" s="567" t="str">
        <f t="array" ref="Z75">XLOOKUP(AA75,Advancements!$I$2:$I164,Advancements!$H$2:$H164)</f>
        <v/>
      </c>
      <c r="AA75" s="568" t="s">
        <v>2618</v>
      </c>
      <c r="AB75" s="21"/>
      <c r="AC75" s="566" t="b">
        <f t="shared" si="57"/>
        <v>0</v>
      </c>
      <c r="AD75" s="567" t="str">
        <f t="array" ref="AD75">XLOOKUP(AF75,Advancements!$I$2:$I164,Advancements!$C$2:$C164)</f>
        <v/>
      </c>
      <c r="AE75" s="567" t="str">
        <f t="array" ref="AE75">XLOOKUP(AF75,Advancements!$I$2:$I164,Advancements!$H$2:$H164)</f>
        <v/>
      </c>
      <c r="AF75" s="568" t="s">
        <v>2711</v>
      </c>
      <c r="AM75" s="445"/>
      <c r="AN75" s="423" t="b">
        <f t="shared" si="2"/>
        <v>0</v>
      </c>
      <c r="AO75" s="446" t="s">
        <v>7297</v>
      </c>
      <c r="AR75" s="447"/>
      <c r="AS75" s="423" t="b">
        <f t="shared" si="3"/>
        <v>0</v>
      </c>
      <c r="AT75" s="448" t="s">
        <v>5510</v>
      </c>
      <c r="AW75" s="447"/>
      <c r="AX75" s="423" t="b">
        <f t="shared" si="4"/>
        <v>0</v>
      </c>
      <c r="AY75" s="448" t="s">
        <v>5510</v>
      </c>
      <c r="BB75" s="447"/>
      <c r="BC75" s="423" t="b">
        <f t="shared" si="5"/>
        <v>0</v>
      </c>
      <c r="BD75" s="448" t="s">
        <v>7277</v>
      </c>
      <c r="BG75" s="447"/>
      <c r="BH75" s="423" t="b">
        <f t="shared" si="6"/>
        <v>0</v>
      </c>
      <c r="BI75" s="448" t="s">
        <v>2559</v>
      </c>
    </row>
    <row r="76">
      <c r="A76" s="21"/>
      <c r="B76" s="439"/>
      <c r="C76" s="21"/>
      <c r="D76" s="566" t="b">
        <f t="shared" si="52"/>
        <v>0</v>
      </c>
      <c r="E76" s="567" t="str">
        <f t="array" ref="E76">XLOOKUP(G76,Advancements!$I$2:$I164,Advancements!$C$2:$C164)</f>
        <v/>
      </c>
      <c r="F76" s="567" t="str">
        <f t="array" ref="F76">XLOOKUP(G76,Advancements!$I$2:$I164,Advancements!$H$2:$H164)</f>
        <v/>
      </c>
      <c r="G76" s="568" t="s">
        <v>59</v>
      </c>
      <c r="H76" s="21"/>
      <c r="I76" s="566" t="b">
        <f t="shared" si="53"/>
        <v>0</v>
      </c>
      <c r="J76" s="567" t="str">
        <f t="array" ref="J76">XLOOKUP(L76,Advancements!$I$2:$I164,Advancements!$C$2:$C164)</f>
        <v/>
      </c>
      <c r="K76" s="567" t="str">
        <f t="array" ref="K76">XLOOKUP(L76,Advancements!$I$2:$I164,Advancements!$H$2:$H164)</f>
        <v/>
      </c>
      <c r="L76" s="568" t="s">
        <v>59</v>
      </c>
      <c r="M76" s="21"/>
      <c r="N76" s="566" t="b">
        <f t="shared" si="54"/>
        <v>0</v>
      </c>
      <c r="O76" s="567" t="str">
        <f t="array" ref="O76">XLOOKUP(Q76,Advancements!$I$2:$I164,Advancements!$C$2:$C164)</f>
        <v/>
      </c>
      <c r="P76" s="567" t="str">
        <f t="array" ref="P76">XLOOKUP(Q76,Advancements!$I$2:$I164,Advancements!$H$2:$H164)</f>
        <v/>
      </c>
      <c r="Q76" s="568" t="s">
        <v>59</v>
      </c>
      <c r="R76" s="21"/>
      <c r="S76" s="566" t="b">
        <f t="shared" si="55"/>
        <v>0</v>
      </c>
      <c r="T76" s="567" t="str">
        <f t="array" ref="T76">XLOOKUP(V76,Advancements!$I$2:$I164,Advancements!$C$2:$C164)</f>
        <v/>
      </c>
      <c r="U76" s="567" t="str">
        <f t="array" ref="U76">XLOOKUP(V76,Advancements!$I$2:$I164,Advancements!$H$2:$H164)</f>
        <v/>
      </c>
      <c r="V76" s="568" t="s">
        <v>59</v>
      </c>
      <c r="W76" s="21"/>
      <c r="X76" s="566" t="b">
        <f t="shared" si="56"/>
        <v>0</v>
      </c>
      <c r="Y76" s="567" t="str">
        <f t="array" ref="Y76">XLOOKUP(AA76,Advancements!$I$2:$I164,Advancements!$C$2:$C164)</f>
        <v/>
      </c>
      <c r="Z76" s="567" t="str">
        <f t="array" ref="Z76">XLOOKUP(AA76,Advancements!$I$2:$I164,Advancements!$H$2:$H164)</f>
        <v/>
      </c>
      <c r="AA76" s="568" t="s">
        <v>59</v>
      </c>
      <c r="AB76" s="21"/>
      <c r="AC76" s="566" t="b">
        <f t="shared" si="57"/>
        <v>0</v>
      </c>
      <c r="AD76" s="567" t="str">
        <f t="array" ref="AD76">XLOOKUP(AF76,Advancements!$I$2:$I164,Advancements!$C$2:$C164)</f>
        <v/>
      </c>
      <c r="AE76" s="567" t="str">
        <f t="array" ref="AE76">XLOOKUP(AF76,Advancements!$I$2:$I164,Advancements!$H$2:$H164)</f>
        <v/>
      </c>
      <c r="AF76" s="568" t="s">
        <v>2618</v>
      </c>
      <c r="AM76" s="445"/>
      <c r="AN76" s="423" t="b">
        <f t="shared" si="2"/>
        <v>0</v>
      </c>
      <c r="AO76" s="446" t="s">
        <v>2559</v>
      </c>
      <c r="AR76" s="447"/>
      <c r="AS76" s="423" t="b">
        <f t="shared" si="3"/>
        <v>0</v>
      </c>
      <c r="AT76" s="448" t="s">
        <v>7230</v>
      </c>
      <c r="AW76" s="447"/>
      <c r="AX76" s="423" t="b">
        <f t="shared" si="4"/>
        <v>0</v>
      </c>
      <c r="AY76" s="448" t="s">
        <v>7230</v>
      </c>
      <c r="BB76" s="447"/>
      <c r="BC76" s="423" t="b">
        <f t="shared" si="5"/>
        <v>0</v>
      </c>
      <c r="BD76" s="448" t="s">
        <v>5510</v>
      </c>
      <c r="BG76" s="447"/>
      <c r="BH76" s="423" t="b">
        <f t="shared" si="6"/>
        <v>0</v>
      </c>
      <c r="BI76" s="448" t="s">
        <v>7277</v>
      </c>
    </row>
    <row r="77">
      <c r="A77" s="21"/>
      <c r="B77" s="439"/>
      <c r="C77" s="21"/>
      <c r="D77" s="566" t="b">
        <f t="shared" si="52"/>
        <v>0</v>
      </c>
      <c r="E77" s="567" t="str">
        <f t="array" ref="E77">XLOOKUP(G77,Advancements!$I$2:$I164,Advancements!$C$2:$C164)</f>
        <v/>
      </c>
      <c r="F77" s="567" t="str">
        <f t="array" ref="F77">XLOOKUP(G77,Advancements!$I$2:$I164,Advancements!$H$2:$H164)</f>
        <v/>
      </c>
      <c r="G77" s="568" t="s">
        <v>1718</v>
      </c>
      <c r="H77" s="21"/>
      <c r="I77" s="566" t="b">
        <f t="shared" si="53"/>
        <v>0</v>
      </c>
      <c r="J77" s="567" t="str">
        <f t="array" ref="J77">XLOOKUP(L77,Advancements!$I$2:$I164,Advancements!$C$2:$C164)</f>
        <v/>
      </c>
      <c r="K77" s="567" t="str">
        <f t="array" ref="K77">XLOOKUP(L77,Advancements!$I$2:$I164,Advancements!$H$2:$H164)</f>
        <v/>
      </c>
      <c r="L77" s="568" t="s">
        <v>1718</v>
      </c>
      <c r="M77" s="21"/>
      <c r="N77" s="566" t="b">
        <f t="shared" si="54"/>
        <v>0</v>
      </c>
      <c r="O77" s="567" t="str">
        <f t="array" ref="O77">XLOOKUP(Q77,Advancements!$I$2:$I164,Advancements!$C$2:$C164)</f>
        <v/>
      </c>
      <c r="P77" s="567" t="str">
        <f t="array" ref="P77">XLOOKUP(Q77,Advancements!$I$2:$I164,Advancements!$H$2:$H164)</f>
        <v/>
      </c>
      <c r="Q77" s="568" t="s">
        <v>1718</v>
      </c>
      <c r="R77" s="21"/>
      <c r="S77" s="566" t="b">
        <f t="shared" si="55"/>
        <v>0</v>
      </c>
      <c r="T77" s="567" t="str">
        <f t="array" ref="T77">XLOOKUP(V77,Advancements!$I$2:$I164,Advancements!$C$2:$C164)</f>
        <v/>
      </c>
      <c r="U77" s="567" t="str">
        <f t="array" ref="U77">XLOOKUP(V77,Advancements!$I$2:$I164,Advancements!$H$2:$H164)</f>
        <v/>
      </c>
      <c r="V77" s="568" t="s">
        <v>1718</v>
      </c>
      <c r="W77" s="21"/>
      <c r="X77" s="566" t="b">
        <f t="shared" si="56"/>
        <v>0</v>
      </c>
      <c r="Y77" s="567" t="str">
        <f t="array" ref="Y77">XLOOKUP(AA77,Advancements!$I$2:$I164,Advancements!$C$2:$C164)</f>
        <v/>
      </c>
      <c r="Z77" s="567" t="str">
        <f t="array" ref="Z77">XLOOKUP(AA77,Advancements!$I$2:$I164,Advancements!$H$2:$H164)</f>
        <v/>
      </c>
      <c r="AA77" s="568" t="s">
        <v>1718</v>
      </c>
      <c r="AB77" s="21"/>
      <c r="AC77" s="566" t="b">
        <f t="shared" si="57"/>
        <v>0</v>
      </c>
      <c r="AD77" s="567" t="str">
        <f t="array" ref="AD77">XLOOKUP(AF77,Advancements!$I$2:$I164,Advancements!$C$2:$C164)</f>
        <v/>
      </c>
      <c r="AE77" s="567" t="str">
        <f t="array" ref="AE77">XLOOKUP(AF77,Advancements!$I$2:$I164,Advancements!$H$2:$H164)</f>
        <v/>
      </c>
      <c r="AF77" s="568" t="s">
        <v>59</v>
      </c>
      <c r="AM77" s="445"/>
      <c r="AN77" s="423" t="b">
        <f t="shared" si="2"/>
        <v>0</v>
      </c>
      <c r="AO77" s="446" t="s">
        <v>7277</v>
      </c>
      <c r="AR77" s="447"/>
      <c r="AS77" s="423" t="b">
        <f t="shared" si="3"/>
        <v>0</v>
      </c>
      <c r="AT77" s="448" t="s">
        <v>7275</v>
      </c>
      <c r="AW77" s="447"/>
      <c r="AX77" s="423" t="b">
        <f t="shared" si="4"/>
        <v>0</v>
      </c>
      <c r="AY77" s="448" t="s">
        <v>7275</v>
      </c>
      <c r="BB77" s="447"/>
      <c r="BC77" s="423" t="b">
        <f t="shared" si="5"/>
        <v>0</v>
      </c>
      <c r="BD77" s="448" t="s">
        <v>7230</v>
      </c>
      <c r="BG77" s="447"/>
      <c r="BH77" s="423" t="b">
        <f t="shared" si="6"/>
        <v>0</v>
      </c>
      <c r="BI77" s="448" t="s">
        <v>5510</v>
      </c>
    </row>
    <row r="78">
      <c r="A78" s="21"/>
      <c r="B78" s="439"/>
      <c r="C78" s="21"/>
      <c r="D78" s="566" t="b">
        <f t="shared" si="52"/>
        <v>0</v>
      </c>
      <c r="E78" s="567" t="str">
        <f t="array" ref="E78">XLOOKUP(G78,Advancements!$I$2:$I164,Advancements!$C$2:$C164)</f>
        <v/>
      </c>
      <c r="F78" s="567" t="str">
        <f t="array" ref="F78">XLOOKUP(G78,Advancements!$I$2:$I164,Advancements!$H$2:$H164)</f>
        <v/>
      </c>
      <c r="G78" s="568" t="s">
        <v>2016</v>
      </c>
      <c r="H78" s="21"/>
      <c r="I78" s="566" t="b">
        <f t="shared" si="53"/>
        <v>0</v>
      </c>
      <c r="J78" s="567" t="str">
        <f t="array" ref="J78">XLOOKUP(L78,Advancements!$I$2:$I164,Advancements!$C$2:$C164)</f>
        <v/>
      </c>
      <c r="K78" s="567" t="str">
        <f t="array" ref="K78">XLOOKUP(L78,Advancements!$I$2:$I164,Advancements!$H$2:$H164)</f>
        <v/>
      </c>
      <c r="L78" s="568" t="s">
        <v>2016</v>
      </c>
      <c r="M78" s="21"/>
      <c r="N78" s="566" t="b">
        <f t="shared" si="54"/>
        <v>0</v>
      </c>
      <c r="O78" s="567" t="str">
        <f t="array" ref="O78">XLOOKUP(Q78,Advancements!$I$2:$I164,Advancements!$C$2:$C164)</f>
        <v/>
      </c>
      <c r="P78" s="567" t="str">
        <f t="array" ref="P78">XLOOKUP(Q78,Advancements!$I$2:$I164,Advancements!$H$2:$H164)</f>
        <v/>
      </c>
      <c r="Q78" s="568" t="s">
        <v>2016</v>
      </c>
      <c r="R78" s="21"/>
      <c r="S78" s="566" t="b">
        <f t="shared" si="55"/>
        <v>0</v>
      </c>
      <c r="T78" s="567" t="str">
        <f t="array" ref="T78">XLOOKUP(V78,Advancements!$I$2:$I164,Advancements!$C$2:$C164)</f>
        <v/>
      </c>
      <c r="U78" s="567" t="str">
        <f t="array" ref="U78">XLOOKUP(V78,Advancements!$I$2:$I164,Advancements!$H$2:$H164)</f>
        <v/>
      </c>
      <c r="V78" s="568" t="s">
        <v>2016</v>
      </c>
      <c r="W78" s="21"/>
      <c r="X78" s="566" t="b">
        <f t="shared" si="56"/>
        <v>0</v>
      </c>
      <c r="Y78" s="567" t="str">
        <f t="array" ref="Y78">XLOOKUP(AA78,Advancements!$I$2:$I164,Advancements!$C$2:$C164)</f>
        <v/>
      </c>
      <c r="Z78" s="567" t="str">
        <f t="array" ref="Z78">XLOOKUP(AA78,Advancements!$I$2:$I164,Advancements!$H$2:$H164)</f>
        <v/>
      </c>
      <c r="AA78" s="568" t="s">
        <v>2016</v>
      </c>
      <c r="AB78" s="21"/>
      <c r="AC78" s="566" t="b">
        <f t="shared" si="57"/>
        <v>0</v>
      </c>
      <c r="AD78" s="567" t="str">
        <f t="array" ref="AD78">XLOOKUP(AF78,Advancements!$I$2:$I164,Advancements!$C$2:$C164)</f>
        <v/>
      </c>
      <c r="AE78" s="567" t="str">
        <f t="array" ref="AE78">XLOOKUP(AF78,Advancements!$I$2:$I164,Advancements!$H$2:$H164)</f>
        <v/>
      </c>
      <c r="AF78" s="568" t="s">
        <v>1718</v>
      </c>
      <c r="AM78" s="445"/>
      <c r="AN78" s="423" t="b">
        <f t="shared" si="2"/>
        <v>0</v>
      </c>
      <c r="AO78" s="446" t="s">
        <v>5510</v>
      </c>
      <c r="AR78" s="447"/>
      <c r="AS78" s="423" t="b">
        <f t="shared" si="3"/>
        <v>0</v>
      </c>
      <c r="AT78" s="514" t="s">
        <v>7232</v>
      </c>
      <c r="AW78" s="447"/>
      <c r="AX78" s="423" t="b">
        <f t="shared" si="4"/>
        <v>0</v>
      </c>
      <c r="AY78" s="448" t="s">
        <v>7232</v>
      </c>
      <c r="BB78" s="447"/>
      <c r="BC78" s="423" t="b">
        <f t="shared" si="5"/>
        <v>0</v>
      </c>
      <c r="BD78" s="448" t="s">
        <v>7275</v>
      </c>
      <c r="BG78" s="447"/>
      <c r="BH78" s="423" t="b">
        <f t="shared" si="6"/>
        <v>0</v>
      </c>
      <c r="BI78" s="448" t="s">
        <v>7230</v>
      </c>
    </row>
    <row r="79">
      <c r="A79" s="21"/>
      <c r="B79" s="439"/>
      <c r="C79" s="21"/>
      <c r="D79" s="566" t="b">
        <f t="shared" si="52"/>
        <v>0</v>
      </c>
      <c r="E79" s="567" t="str">
        <f t="array" ref="E79">XLOOKUP(G79,Advancements!$I$2:$I164,Advancements!$C$2:$C164)</f>
        <v/>
      </c>
      <c r="F79" s="567" t="str">
        <f t="array" ref="F79">XLOOKUP(G79,Advancements!$I$2:$I164,Advancements!$H$2:$H164)</f>
        <v/>
      </c>
      <c r="G79" s="568" t="s">
        <v>55</v>
      </c>
      <c r="H79" s="21"/>
      <c r="I79" s="566" t="b">
        <f t="shared" si="53"/>
        <v>0</v>
      </c>
      <c r="J79" s="567" t="str">
        <f t="array" ref="J79">XLOOKUP(L79,Advancements!$I$2:$I164,Advancements!$C$2:$C164)</f>
        <v/>
      </c>
      <c r="K79" s="567" t="str">
        <f t="array" ref="K79">XLOOKUP(L79,Advancements!$I$2:$I164,Advancements!$H$2:$H164)</f>
        <v/>
      </c>
      <c r="L79" s="568" t="s">
        <v>55</v>
      </c>
      <c r="M79" s="21"/>
      <c r="N79" s="566" t="b">
        <f t="shared" si="54"/>
        <v>0</v>
      </c>
      <c r="O79" s="567" t="str">
        <f t="array" ref="O79">XLOOKUP(Q79,Advancements!$I$2:$I164,Advancements!$C$2:$C164)</f>
        <v/>
      </c>
      <c r="P79" s="567" t="str">
        <f t="array" ref="P79">XLOOKUP(Q79,Advancements!$I$2:$I164,Advancements!$H$2:$H164)</f>
        <v/>
      </c>
      <c r="Q79" s="568" t="s">
        <v>55</v>
      </c>
      <c r="R79" s="21"/>
      <c r="S79" s="566" t="b">
        <f t="shared" si="55"/>
        <v>0</v>
      </c>
      <c r="T79" s="567" t="str">
        <f t="array" ref="T79">XLOOKUP(V79,Advancements!$I$2:$I164,Advancements!$C$2:$C164)</f>
        <v/>
      </c>
      <c r="U79" s="567" t="str">
        <f t="array" ref="U79">XLOOKUP(V79,Advancements!$I$2:$I164,Advancements!$H$2:$H164)</f>
        <v/>
      </c>
      <c r="V79" s="568" t="s">
        <v>55</v>
      </c>
      <c r="W79" s="21"/>
      <c r="X79" s="566" t="b">
        <f t="shared" si="56"/>
        <v>0</v>
      </c>
      <c r="Y79" s="567" t="str">
        <f t="array" ref="Y79">XLOOKUP(AA79,Advancements!$I$2:$I164,Advancements!$C$2:$C164)</f>
        <v/>
      </c>
      <c r="Z79" s="567" t="str">
        <f t="array" ref="Z79">XLOOKUP(AA79,Advancements!$I$2:$I164,Advancements!$H$2:$H164)</f>
        <v/>
      </c>
      <c r="AA79" s="568" t="s">
        <v>55</v>
      </c>
      <c r="AB79" s="21"/>
      <c r="AC79" s="566" t="b">
        <f t="shared" si="57"/>
        <v>0</v>
      </c>
      <c r="AD79" s="567" t="str">
        <f t="array" ref="AD79">XLOOKUP(AF79,Advancements!$I$2:$I164,Advancements!$C$2:$C164)</f>
        <v/>
      </c>
      <c r="AE79" s="567" t="str">
        <f t="array" ref="AE79">XLOOKUP(AF79,Advancements!$I$2:$I164,Advancements!$H$2:$H164)</f>
        <v/>
      </c>
      <c r="AF79" s="568" t="s">
        <v>2016</v>
      </c>
      <c r="AM79" s="445"/>
      <c r="AN79" s="423" t="b">
        <f t="shared" si="2"/>
        <v>0</v>
      </c>
      <c r="AO79" s="446" t="s">
        <v>7230</v>
      </c>
      <c r="AR79" s="447"/>
      <c r="AS79" s="423" t="b">
        <f t="shared" si="3"/>
        <v>0</v>
      </c>
      <c r="AT79" s="448" t="s">
        <v>7279</v>
      </c>
      <c r="AW79" s="447"/>
      <c r="AX79" s="423" t="b">
        <f t="shared" si="4"/>
        <v>0</v>
      </c>
      <c r="AY79" s="448" t="s">
        <v>7279</v>
      </c>
      <c r="BB79" s="447"/>
      <c r="BC79" s="423" t="b">
        <f t="shared" si="5"/>
        <v>0</v>
      </c>
      <c r="BD79" s="448" t="s">
        <v>7232</v>
      </c>
      <c r="BG79" s="447"/>
      <c r="BH79" s="423" t="b">
        <f t="shared" si="6"/>
        <v>0</v>
      </c>
      <c r="BI79" s="448" t="s">
        <v>7275</v>
      </c>
    </row>
    <row r="80">
      <c r="A80" s="21"/>
      <c r="B80" s="439"/>
      <c r="C80" s="21"/>
      <c r="D80" s="566" t="b">
        <f t="shared" si="52"/>
        <v>0</v>
      </c>
      <c r="E80" s="567" t="str">
        <f t="array" ref="E80">XLOOKUP(G80,Advancements!$I$2:$I164,Advancements!$C$2:$C164)</f>
        <v/>
      </c>
      <c r="F80" s="567" t="str">
        <f t="array" ref="F80">XLOOKUP(G80,Advancements!$I$2:$I164,Advancements!$H$2:$H164)</f>
        <v/>
      </c>
      <c r="G80" s="568" t="s">
        <v>67</v>
      </c>
      <c r="H80" s="21"/>
      <c r="I80" s="566" t="b">
        <f t="shared" si="53"/>
        <v>0</v>
      </c>
      <c r="J80" s="567" t="str">
        <f t="array" ref="J80">XLOOKUP(L80,Advancements!$I$2:$I164,Advancements!$C$2:$C164)</f>
        <v/>
      </c>
      <c r="K80" s="567" t="str">
        <f t="array" ref="K80">XLOOKUP(L80,Advancements!$I$2:$I164,Advancements!$H$2:$H164)</f>
        <v/>
      </c>
      <c r="L80" s="568" t="s">
        <v>67</v>
      </c>
      <c r="M80" s="21"/>
      <c r="N80" s="566" t="b">
        <f t="shared" si="54"/>
        <v>0</v>
      </c>
      <c r="O80" s="567" t="str">
        <f t="array" ref="O80">XLOOKUP(Q80,Advancements!$I$2:$I164,Advancements!$C$2:$C164)</f>
        <v/>
      </c>
      <c r="P80" s="567" t="str">
        <f t="array" ref="P80">XLOOKUP(Q80,Advancements!$I$2:$I164,Advancements!$H$2:$H164)</f>
        <v/>
      </c>
      <c r="Q80" s="568" t="s">
        <v>67</v>
      </c>
      <c r="R80" s="21"/>
      <c r="S80" s="566" t="b">
        <f t="shared" si="55"/>
        <v>0</v>
      </c>
      <c r="T80" s="567" t="str">
        <f t="array" ref="T80">XLOOKUP(V80,Advancements!$I$2:$I164,Advancements!$C$2:$C164)</f>
        <v/>
      </c>
      <c r="U80" s="567" t="str">
        <f t="array" ref="U80">XLOOKUP(V80,Advancements!$I$2:$I164,Advancements!$H$2:$H164)</f>
        <v/>
      </c>
      <c r="V80" s="568" t="s">
        <v>67</v>
      </c>
      <c r="W80" s="21"/>
      <c r="X80" s="566" t="b">
        <f t="shared" si="56"/>
        <v>0</v>
      </c>
      <c r="Y80" s="567" t="str">
        <f t="array" ref="Y80">XLOOKUP(AA80,Advancements!$I$2:$I164,Advancements!$C$2:$C164)</f>
        <v/>
      </c>
      <c r="Z80" s="567" t="str">
        <f t="array" ref="Z80">XLOOKUP(AA80,Advancements!$I$2:$I164,Advancements!$H$2:$H164)</f>
        <v/>
      </c>
      <c r="AA80" s="568" t="s">
        <v>67</v>
      </c>
      <c r="AB80" s="21"/>
      <c r="AC80" s="566" t="b">
        <f t="shared" si="57"/>
        <v>0</v>
      </c>
      <c r="AD80" s="567" t="str">
        <f t="array" ref="AD80">XLOOKUP(AF80,Advancements!$I$2:$I164,Advancements!$C$2:$C164)</f>
        <v/>
      </c>
      <c r="AE80" s="567" t="str">
        <f t="array" ref="AE80">XLOOKUP(AF80,Advancements!$I$2:$I164,Advancements!$H$2:$H164)</f>
        <v/>
      </c>
      <c r="AF80" s="568" t="s">
        <v>55</v>
      </c>
      <c r="AM80" s="445"/>
      <c r="AN80" s="423" t="b">
        <f t="shared" si="2"/>
        <v>0</v>
      </c>
      <c r="AO80" s="446" t="s">
        <v>7275</v>
      </c>
      <c r="AR80" s="447"/>
      <c r="AS80" s="423" t="b">
        <f t="shared" si="3"/>
        <v>0</v>
      </c>
      <c r="AT80" s="448" t="s">
        <v>7280</v>
      </c>
      <c r="AW80" s="447"/>
      <c r="AX80" s="423" t="b">
        <f t="shared" si="4"/>
        <v>0</v>
      </c>
      <c r="AY80" s="448" t="s">
        <v>7280</v>
      </c>
      <c r="BB80" s="447"/>
      <c r="BC80" s="423" t="b">
        <f t="shared" si="5"/>
        <v>0</v>
      </c>
      <c r="BD80" s="448" t="s">
        <v>7279</v>
      </c>
      <c r="BG80" s="447"/>
      <c r="BH80" s="423" t="b">
        <f t="shared" si="6"/>
        <v>0</v>
      </c>
      <c r="BI80" s="448" t="s">
        <v>7232</v>
      </c>
    </row>
    <row r="81">
      <c r="A81" s="21"/>
      <c r="B81" s="439"/>
      <c r="C81" s="21"/>
      <c r="D81" s="569" t="b">
        <f t="shared" si="52"/>
        <v>0</v>
      </c>
      <c r="E81" s="570" t="str">
        <f t="array" ref="E81">XLOOKUP(G81,Advancements!$I$2:$I164,Advancements!$C$2:$C164)</f>
        <v/>
      </c>
      <c r="F81" s="570" t="str">
        <f t="array" ref="F81">XLOOKUP(G81,Advancements!$I$2:$I164,Advancements!$H$2:$H164)</f>
        <v/>
      </c>
      <c r="G81" s="571" t="s">
        <v>4846</v>
      </c>
      <c r="H81" s="21"/>
      <c r="I81" s="569" t="b">
        <f t="shared" si="53"/>
        <v>0</v>
      </c>
      <c r="J81" s="570" t="str">
        <f t="array" ref="J81">XLOOKUP(L81,Advancements!$I$2:$I164,Advancements!$C$2:$C164)</f>
        <v/>
      </c>
      <c r="K81" s="570" t="str">
        <f t="array" ref="K81">XLOOKUP(L81,Advancements!$I$2:$I164,Advancements!$H$2:$H164)</f>
        <v/>
      </c>
      <c r="L81" s="571" t="s">
        <v>4846</v>
      </c>
      <c r="M81" s="21"/>
      <c r="N81" s="569" t="b">
        <f t="shared" si="54"/>
        <v>0</v>
      </c>
      <c r="O81" s="570" t="str">
        <f t="array" ref="O81">XLOOKUP(Q81,Advancements!$I$2:$I164,Advancements!$C$2:$C164)</f>
        <v/>
      </c>
      <c r="P81" s="570" t="str">
        <f t="array" ref="P81">XLOOKUP(Q81,Advancements!$I$2:$I164,Advancements!$H$2:$H164)</f>
        <v/>
      </c>
      <c r="Q81" s="571" t="s">
        <v>4846</v>
      </c>
      <c r="R81" s="21"/>
      <c r="S81" s="569" t="b">
        <f t="shared" si="55"/>
        <v>0</v>
      </c>
      <c r="T81" s="570" t="str">
        <f t="array" ref="T81">XLOOKUP(V81,Advancements!$I$2:$I164,Advancements!$C$2:$C164)</f>
        <v/>
      </c>
      <c r="U81" s="570" t="str">
        <f t="array" ref="U81">XLOOKUP(V81,Advancements!$I$2:$I164,Advancements!$H$2:$H164)</f>
        <v/>
      </c>
      <c r="V81" s="571" t="s">
        <v>4846</v>
      </c>
      <c r="W81" s="21"/>
      <c r="X81" s="569" t="b">
        <f t="shared" si="56"/>
        <v>0</v>
      </c>
      <c r="Y81" s="570" t="str">
        <f t="array" ref="Y81">XLOOKUP(AA81,Advancements!$I$2:$I164,Advancements!$C$2:$C164)</f>
        <v/>
      </c>
      <c r="Z81" s="570" t="str">
        <f t="array" ref="Z81">XLOOKUP(AA81,Advancements!$I$2:$I164,Advancements!$H$2:$H164)</f>
        <v/>
      </c>
      <c r="AA81" s="571" t="s">
        <v>4846</v>
      </c>
      <c r="AB81" s="21"/>
      <c r="AC81" s="566" t="b">
        <f t="shared" si="57"/>
        <v>0</v>
      </c>
      <c r="AD81" s="567" t="str">
        <f t="array" ref="AD81">XLOOKUP(AF81,Advancements!$I$2:$I164,Advancements!$C$2:$C164)</f>
        <v/>
      </c>
      <c r="AE81" s="567" t="str">
        <f t="array" ref="AE81">XLOOKUP(AF81,Advancements!$I$2:$I164,Advancements!$H$2:$H164)</f>
        <v/>
      </c>
      <c r="AF81" s="568" t="s">
        <v>67</v>
      </c>
      <c r="AM81" s="445"/>
      <c r="AN81" s="423" t="b">
        <f t="shared" si="2"/>
        <v>0</v>
      </c>
      <c r="AO81" s="446" t="s">
        <v>7232</v>
      </c>
      <c r="AR81" s="532"/>
      <c r="AS81" s="533" t="b">
        <f t="shared" si="3"/>
        <v>0</v>
      </c>
      <c r="AT81" s="534" t="s">
        <v>7235</v>
      </c>
      <c r="AW81" s="532"/>
      <c r="AX81" s="533" t="b">
        <f t="shared" si="4"/>
        <v>0</v>
      </c>
      <c r="AY81" s="534" t="s">
        <v>7235</v>
      </c>
      <c r="BB81" s="447"/>
      <c r="BC81" s="423" t="b">
        <f t="shared" si="5"/>
        <v>0</v>
      </c>
      <c r="BD81" s="448" t="s">
        <v>7280</v>
      </c>
      <c r="BG81" s="447"/>
      <c r="BH81" s="423" t="b">
        <f t="shared" si="6"/>
        <v>0</v>
      </c>
      <c r="BI81" s="448" t="s">
        <v>7279</v>
      </c>
    </row>
    <row r="82">
      <c r="A82" s="21"/>
      <c r="B82" s="468"/>
      <c r="C82" s="21"/>
      <c r="D82" s="21"/>
      <c r="E82" s="21"/>
      <c r="F82" s="21"/>
      <c r="G82" s="21"/>
      <c r="H82" s="21"/>
      <c r="I82" s="21"/>
      <c r="J82" s="21"/>
      <c r="K82" s="21"/>
      <c r="L82" s="21"/>
      <c r="M82" s="21"/>
      <c r="N82" s="21"/>
      <c r="O82" s="21"/>
      <c r="P82" s="21"/>
      <c r="Q82" s="21"/>
      <c r="R82" s="21"/>
      <c r="S82" s="21"/>
      <c r="T82" s="21"/>
      <c r="U82" s="21"/>
      <c r="V82" s="21"/>
      <c r="W82" s="21"/>
      <c r="X82" s="21"/>
      <c r="Y82" s="21"/>
      <c r="Z82" s="21"/>
      <c r="AA82" s="21"/>
      <c r="AB82" s="21"/>
      <c r="AC82" s="569" t="b">
        <f t="shared" si="57"/>
        <v>0</v>
      </c>
      <c r="AD82" s="570" t="str">
        <f t="array" ref="AD82">XLOOKUP(AF82,Advancements!$I$2:$I164,Advancements!$C$2:$C164)</f>
        <v/>
      </c>
      <c r="AE82" s="570" t="str">
        <f t="array" ref="AE82">XLOOKUP(AF82,Advancements!$I$2:$I164,Advancements!$H$2:$H164)</f>
        <v/>
      </c>
      <c r="AF82" s="571" t="s">
        <v>4846</v>
      </c>
      <c r="AM82" s="445"/>
      <c r="AN82" s="423" t="b">
        <f t="shared" si="2"/>
        <v>0</v>
      </c>
      <c r="AO82" s="446" t="s">
        <v>7279</v>
      </c>
      <c r="BB82" s="532"/>
      <c r="BC82" s="533" t="b">
        <f t="shared" si="5"/>
        <v>0</v>
      </c>
      <c r="BD82" s="534" t="s">
        <v>7235</v>
      </c>
      <c r="BG82" s="447"/>
      <c r="BH82" s="423" t="b">
        <f t="shared" si="6"/>
        <v>0</v>
      </c>
      <c r="BI82" s="448" t="s">
        <v>7280</v>
      </c>
    </row>
    <row r="83">
      <c r="A83" s="21"/>
      <c r="B83" s="21"/>
      <c r="C83" s="21"/>
      <c r="D83" s="21"/>
      <c r="E83" s="21"/>
      <c r="F83" s="21"/>
      <c r="G83" s="21"/>
      <c r="H83" s="21"/>
      <c r="I83" s="21"/>
      <c r="J83" s="21"/>
      <c r="K83" s="21"/>
      <c r="L83" s="21"/>
      <c r="M83" s="21"/>
      <c r="N83" s="21"/>
      <c r="O83" s="21"/>
      <c r="P83" s="21"/>
      <c r="Q83" s="21"/>
      <c r="R83" s="21"/>
      <c r="S83" s="21"/>
      <c r="T83" s="21"/>
      <c r="U83" s="21"/>
      <c r="V83" s="21"/>
      <c r="W83" s="21"/>
      <c r="X83" s="21"/>
      <c r="Y83" s="21"/>
      <c r="Z83" s="21"/>
      <c r="AA83" s="21"/>
      <c r="AB83" s="21"/>
      <c r="AC83" s="21"/>
      <c r="AD83" s="21"/>
      <c r="AE83" s="21"/>
      <c r="AF83" s="21"/>
      <c r="AM83" s="445"/>
      <c r="AN83" s="423" t="b">
        <f t="shared" si="2"/>
        <v>0</v>
      </c>
      <c r="AO83" s="446" t="s">
        <v>7280</v>
      </c>
      <c r="BG83" s="532"/>
      <c r="BH83" s="533" t="b">
        <f t="shared" si="6"/>
        <v>0</v>
      </c>
      <c r="BI83" s="534" t="s">
        <v>7235</v>
      </c>
    </row>
    <row r="84">
      <c r="A84" s="21"/>
      <c r="B84" s="572" t="s">
        <v>7305</v>
      </c>
      <c r="C84" s="21"/>
      <c r="D84" s="573" t="b">
        <f>IFALLTRUE(D85:D89)</f>
        <v>0</v>
      </c>
      <c r="E84" s="574"/>
      <c r="F84" s="574" t="str">
        <f>GET_MOB_HEAD(G84)</f>
        <v/>
      </c>
      <c r="G84" s="575" t="s">
        <v>7306</v>
      </c>
      <c r="H84" s="21"/>
      <c r="I84" s="573" t="b">
        <f>IFALLTRUE(I85:I89)</f>
        <v>0</v>
      </c>
      <c r="J84" s="574"/>
      <c r="K84" s="574" t="str">
        <f>GET_MOB_HEAD(L84)</f>
        <v/>
      </c>
      <c r="L84" s="575" t="s">
        <v>7307</v>
      </c>
      <c r="M84" s="21"/>
      <c r="N84" s="573" t="b">
        <f>IFALLTRUE(N85:N89)</f>
        <v>0</v>
      </c>
      <c r="O84" s="574"/>
      <c r="P84" s="574" t="str">
        <f>GET_MOB_HEAD(Q84)</f>
        <v/>
      </c>
      <c r="Q84" s="575" t="s">
        <v>7308</v>
      </c>
      <c r="R84" s="21"/>
      <c r="S84" s="573" t="b">
        <f>IFALLTRUE(S85:S89)</f>
        <v>0</v>
      </c>
      <c r="T84" s="574"/>
      <c r="U84" s="574" t="str">
        <f>GET_MOB_HEAD(V84)</f>
        <v/>
      </c>
      <c r="V84" s="575" t="s">
        <v>7309</v>
      </c>
      <c r="W84" s="21"/>
      <c r="X84" s="573" t="b">
        <f>IFALLTRUE(X85:X89)</f>
        <v>0</v>
      </c>
      <c r="Y84" s="574"/>
      <c r="Z84" s="574" t="str">
        <f>GET_MOB_HEAD(AA84)</f>
        <v/>
      </c>
      <c r="AA84" s="575" t="s">
        <v>916</v>
      </c>
      <c r="AB84" s="21"/>
      <c r="AC84" s="573" t="b">
        <f>IFALLTRUE(AC85:AC89)</f>
        <v>0</v>
      </c>
      <c r="AD84" s="574"/>
      <c r="AE84" s="574" t="str">
        <f>GET_MOB_HEAD(AF84)</f>
        <v/>
      </c>
      <c r="AF84" s="575" t="s">
        <v>7310</v>
      </c>
      <c r="AM84" s="576"/>
      <c r="AN84" s="533" t="b">
        <f t="shared" si="2"/>
        <v>0</v>
      </c>
      <c r="AO84" s="577" t="s">
        <v>7235</v>
      </c>
    </row>
    <row r="85">
      <c r="A85" s="21"/>
      <c r="B85" s="439"/>
      <c r="C85" s="21"/>
      <c r="D85" s="578" t="b">
        <f t="shared" ref="D85:D92" si="58">CHECK_MOB(G85,G$84)</f>
        <v>0</v>
      </c>
      <c r="E85" s="579" t="str">
        <f t="array" ref="E85">XLOOKUP(G85,Advancements!$I$2:$I164,Advancements!$C$2:$C164)</f>
        <v/>
      </c>
      <c r="F85" s="579" t="str">
        <f t="array" ref="F85">XLOOKUP(G85,Advancements!$I$2:$I164,Advancements!$H$2:$H164)</f>
        <v/>
      </c>
      <c r="G85" s="580" t="s">
        <v>63</v>
      </c>
      <c r="H85" s="21"/>
      <c r="I85" s="578" t="b">
        <f t="shared" ref="I85:I92" si="59">CHECK_MOB(L85,L$84)</f>
        <v>0</v>
      </c>
      <c r="J85" s="579" t="str">
        <f t="array" ref="J85">XLOOKUP(L85,Advancements!$I$2:$I164,Advancements!$C$2:$C164)</f>
        <v/>
      </c>
      <c r="K85" s="579" t="str">
        <f t="array" ref="K85">XLOOKUP(L85,Advancements!$I$2:$I164,Advancements!$H$2:$H164)</f>
        <v/>
      </c>
      <c r="L85" s="580" t="s">
        <v>63</v>
      </c>
      <c r="M85" s="21"/>
      <c r="N85" s="578" t="b">
        <f t="shared" ref="N85:N92" si="60">CHECK_MOB(Q85,Q$84)</f>
        <v>0</v>
      </c>
      <c r="O85" s="579" t="str">
        <f t="array" ref="O85">XLOOKUP(Q85,Advancements!$I$2:$I164,Advancements!$C$2:$C164)</f>
        <v/>
      </c>
      <c r="P85" s="579" t="str">
        <f t="array" ref="P85">XLOOKUP(Q85,Advancements!$I$2:$I164,Advancements!$H$2:$H164)</f>
        <v/>
      </c>
      <c r="Q85" s="580" t="s">
        <v>63</v>
      </c>
      <c r="R85" s="21"/>
      <c r="S85" s="578" t="b">
        <f t="shared" ref="S85:S92" si="61">CHECK_MOB(V85,V$84)</f>
        <v>0</v>
      </c>
      <c r="T85" s="579" t="str">
        <f t="array" ref="T85">XLOOKUP(V85,Advancements!$I$2:$I164,Advancements!$C$2:$C164)</f>
        <v/>
      </c>
      <c r="U85" s="579" t="str">
        <f t="array" ref="U85">XLOOKUP(V85,Advancements!$I$2:$I164,Advancements!$H$2:$H164)</f>
        <v/>
      </c>
      <c r="V85" s="580" t="s">
        <v>63</v>
      </c>
      <c r="W85" s="21"/>
      <c r="X85" s="578" t="b">
        <f t="shared" ref="X85:X92" si="62">CHECK_MOB(AA85,AA$84)</f>
        <v>0</v>
      </c>
      <c r="Y85" s="579" t="str">
        <f t="array" ref="Y85">XLOOKUP(AA85,Advancements!$I$2:$I164,Advancements!$C$2:$C164)</f>
        <v/>
      </c>
      <c r="Z85" s="579" t="str">
        <f t="array" ref="Z85">XLOOKUP(AA85,Advancements!$I$2:$I164,Advancements!$H$2:$H164)</f>
        <v/>
      </c>
      <c r="AA85" s="580" t="s">
        <v>63</v>
      </c>
      <c r="AB85" s="21"/>
      <c r="AC85" s="578" t="b">
        <f t="shared" ref="AC85:AC93" si="63">CHECK_MOB(AF85,AF$84)</f>
        <v>0</v>
      </c>
      <c r="AD85" s="579" t="str">
        <f t="array" ref="AD85">XLOOKUP(AF85,Advancements!$I$2:$I164,Advancements!$C$2:$C164)</f>
        <v/>
      </c>
      <c r="AE85" s="579" t="str">
        <f t="array" ref="AE85">XLOOKUP(AF85,Advancements!$I$2:$I164,Advancements!$H$2:$H164)</f>
        <v/>
      </c>
      <c r="AF85" s="580" t="s">
        <v>63</v>
      </c>
      <c r="AM85" s="221"/>
      <c r="AO85" s="370"/>
      <c r="AR85" s="374"/>
      <c r="AS85" s="21"/>
      <c r="AT85" s="21"/>
    </row>
    <row r="86">
      <c r="A86" s="21"/>
      <c r="B86" s="439"/>
      <c r="C86" s="21"/>
      <c r="D86" s="581" t="b">
        <f t="shared" si="58"/>
        <v>0</v>
      </c>
      <c r="E86" s="27" t="str">
        <f t="array" ref="E86">XLOOKUP(G86,Advancements!$I$2:$I164,Advancements!$C$2:$C164)</f>
        <v/>
      </c>
      <c r="F86" s="27" t="str">
        <f t="array" ref="F86">XLOOKUP(G86,Advancements!$I$2:$I164,Advancements!$H$2:$H164)</f>
        <v/>
      </c>
      <c r="G86" s="582" t="s">
        <v>2618</v>
      </c>
      <c r="H86" s="21"/>
      <c r="I86" s="581" t="b">
        <f t="shared" si="59"/>
        <v>0</v>
      </c>
      <c r="J86" s="27" t="str">
        <f t="array" ref="J86">XLOOKUP(L86,Advancements!$I$2:$I164,Advancements!$C$2:$C164)</f>
        <v/>
      </c>
      <c r="K86" s="27" t="str">
        <f t="array" ref="K86">XLOOKUP(L86,Advancements!$I$2:$I164,Advancements!$H$2:$H164)</f>
        <v/>
      </c>
      <c r="L86" s="582" t="s">
        <v>2618</v>
      </c>
      <c r="M86" s="21"/>
      <c r="N86" s="581" t="b">
        <f t="shared" si="60"/>
        <v>0</v>
      </c>
      <c r="O86" s="27" t="str">
        <f t="array" ref="O86">XLOOKUP(Q86,Advancements!$I$2:$I164,Advancements!$C$2:$C164)</f>
        <v/>
      </c>
      <c r="P86" s="27" t="str">
        <f t="array" ref="P86">XLOOKUP(Q86,Advancements!$I$2:$I164,Advancements!$H$2:$H164)</f>
        <v/>
      </c>
      <c r="Q86" s="582" t="s">
        <v>2618</v>
      </c>
      <c r="R86" s="21"/>
      <c r="S86" s="581" t="b">
        <f t="shared" si="61"/>
        <v>0</v>
      </c>
      <c r="T86" s="27" t="str">
        <f t="array" ref="T86">XLOOKUP(V86,Advancements!$I$2:$I164,Advancements!$C$2:$C164)</f>
        <v/>
      </c>
      <c r="U86" s="27" t="str">
        <f t="array" ref="U86">XLOOKUP(V86,Advancements!$I$2:$I164,Advancements!$H$2:$H164)</f>
        <v/>
      </c>
      <c r="V86" s="582" t="s">
        <v>2618</v>
      </c>
      <c r="W86" s="21"/>
      <c r="X86" s="581" t="b">
        <f t="shared" si="62"/>
        <v>0</v>
      </c>
      <c r="Y86" s="27" t="str">
        <f t="array" ref="Y86">XLOOKUP(AA86,Advancements!$I$2:$I164,Advancements!$C$2:$C164)</f>
        <v/>
      </c>
      <c r="Z86" s="27" t="str">
        <f t="array" ref="Z86">XLOOKUP(AA86,Advancements!$I$2:$I164,Advancements!$H$2:$H164)</f>
        <v/>
      </c>
      <c r="AA86" s="582" t="s">
        <v>2618</v>
      </c>
      <c r="AB86" s="21"/>
      <c r="AC86" s="581" t="b">
        <f t="shared" si="63"/>
        <v>0</v>
      </c>
      <c r="AD86" s="27" t="str">
        <f t="array" ref="AD86">XLOOKUP(AF86,Advancements!$I$2:$I164,Advancements!$C$2:$C164)</f>
        <v/>
      </c>
      <c r="AE86" s="27" t="str">
        <f t="array" ref="AE86">XLOOKUP(AF86,Advancements!$I$2:$I164,Advancements!$H$2:$H164)</f>
        <v/>
      </c>
      <c r="AF86" s="582" t="s">
        <v>2618</v>
      </c>
      <c r="AG86" s="21"/>
      <c r="AH86" s="21"/>
      <c r="AI86" s="21"/>
      <c r="AJ86" s="21"/>
      <c r="AK86" s="21"/>
      <c r="AL86" s="21"/>
      <c r="AM86" s="21"/>
      <c r="AN86" s="21"/>
      <c r="AO86" s="21"/>
      <c r="AP86" s="21"/>
      <c r="AQ86" s="21"/>
      <c r="AR86" s="21"/>
      <c r="AS86" s="21"/>
      <c r="AT86" s="21"/>
      <c r="AU86" s="21"/>
      <c r="AV86" s="21"/>
      <c r="AW86" s="21"/>
      <c r="AX86" s="21"/>
      <c r="AY86" s="21"/>
      <c r="AZ86" s="21"/>
      <c r="BA86" s="21"/>
      <c r="BB86" s="21"/>
      <c r="BC86" s="21"/>
      <c r="BD86" s="21"/>
      <c r="BE86" s="21"/>
      <c r="BF86" s="21"/>
      <c r="BG86" s="21"/>
      <c r="BH86" s="21"/>
      <c r="BI86" s="21"/>
      <c r="BJ86" s="21"/>
      <c r="BK86" s="21"/>
      <c r="BL86" s="21"/>
      <c r="BM86" s="21"/>
      <c r="BN86" s="21"/>
      <c r="BO86" s="21"/>
      <c r="BP86" s="21"/>
      <c r="BQ86" s="21"/>
      <c r="BR86" s="21"/>
      <c r="BS86" s="21"/>
      <c r="BT86" s="21"/>
      <c r="BU86" s="21"/>
      <c r="BV86" s="21"/>
      <c r="BW86" s="21"/>
      <c r="BX86" s="21"/>
      <c r="BY86" s="21"/>
      <c r="BZ86" s="21"/>
      <c r="CA86" s="21"/>
      <c r="CB86" s="21"/>
      <c r="CC86" s="21"/>
      <c r="CD86" s="21"/>
      <c r="CE86" s="21"/>
      <c r="CF86" s="21"/>
      <c r="CG86" s="21"/>
      <c r="CH86" s="21"/>
      <c r="CI86" s="21"/>
      <c r="CJ86" s="21"/>
      <c r="CK86" s="21"/>
      <c r="CL86" s="21"/>
      <c r="CM86" s="21"/>
      <c r="CN86" s="21"/>
      <c r="CO86" s="21"/>
      <c r="CP86" s="21"/>
      <c r="CQ86" s="21"/>
      <c r="CR86" s="21"/>
      <c r="CS86" s="21"/>
      <c r="CT86" s="21"/>
      <c r="CU86" s="21"/>
      <c r="CV86" s="21"/>
      <c r="CW86" s="21"/>
      <c r="CX86" s="21"/>
      <c r="CY86" s="21"/>
      <c r="CZ86" s="21"/>
      <c r="DA86" s="21"/>
      <c r="DB86" s="21"/>
      <c r="DC86" s="21"/>
    </row>
    <row r="87">
      <c r="A87" s="21"/>
      <c r="B87" s="439"/>
      <c r="C87" s="21"/>
      <c r="D87" s="581" t="b">
        <f t="shared" si="58"/>
        <v>0</v>
      </c>
      <c r="E87" s="27" t="str">
        <f t="array" ref="E87">XLOOKUP(G87,Advancements!$I$2:$I164,Advancements!$C$2:$C164)</f>
        <v/>
      </c>
      <c r="F87" s="27" t="str">
        <f t="array" ref="F87">XLOOKUP(G87,Advancements!$I$2:$I164,Advancements!$H$2:$H164)</f>
        <v/>
      </c>
      <c r="G87" s="582" t="s">
        <v>59</v>
      </c>
      <c r="H87" s="21"/>
      <c r="I87" s="581" t="b">
        <f t="shared" si="59"/>
        <v>0</v>
      </c>
      <c r="J87" s="27" t="str">
        <f t="array" ref="J87">XLOOKUP(L87,Advancements!$I$2:$I164,Advancements!$C$2:$C164)</f>
        <v/>
      </c>
      <c r="K87" s="27" t="str">
        <f t="array" ref="K87">XLOOKUP(L87,Advancements!$I$2:$I164,Advancements!$H$2:$H164)</f>
        <v/>
      </c>
      <c r="L87" s="582" t="s">
        <v>59</v>
      </c>
      <c r="M87" s="21"/>
      <c r="N87" s="581" t="b">
        <f t="shared" si="60"/>
        <v>0</v>
      </c>
      <c r="O87" s="27" t="str">
        <f t="array" ref="O87">XLOOKUP(Q87,Advancements!$I$2:$I164,Advancements!$C$2:$C164)</f>
        <v/>
      </c>
      <c r="P87" s="27" t="str">
        <f t="array" ref="P87">XLOOKUP(Q87,Advancements!$I$2:$I164,Advancements!$H$2:$H164)</f>
        <v/>
      </c>
      <c r="Q87" s="582" t="s">
        <v>59</v>
      </c>
      <c r="R87" s="21"/>
      <c r="S87" s="581" t="b">
        <f t="shared" si="61"/>
        <v>0</v>
      </c>
      <c r="T87" s="27" t="str">
        <f t="array" ref="T87">XLOOKUP(V87,Advancements!$I$2:$I164,Advancements!$C$2:$C164)</f>
        <v/>
      </c>
      <c r="U87" s="27" t="str">
        <f t="array" ref="U87">XLOOKUP(V87,Advancements!$I$2:$I164,Advancements!$H$2:$H164)</f>
        <v/>
      </c>
      <c r="V87" s="582" t="s">
        <v>59</v>
      </c>
      <c r="W87" s="21"/>
      <c r="X87" s="581" t="b">
        <f t="shared" si="62"/>
        <v>0</v>
      </c>
      <c r="Y87" s="27" t="str">
        <f t="array" ref="Y87">XLOOKUP(AA87,Advancements!$I$2:$I164,Advancements!$C$2:$C164)</f>
        <v/>
      </c>
      <c r="Z87" s="27" t="str">
        <f t="array" ref="Z87">XLOOKUP(AA87,Advancements!$I$2:$I164,Advancements!$H$2:$H164)</f>
        <v/>
      </c>
      <c r="AA87" s="582" t="s">
        <v>59</v>
      </c>
      <c r="AB87" s="21"/>
      <c r="AC87" s="581" t="b">
        <f t="shared" si="63"/>
        <v>0</v>
      </c>
      <c r="AD87" s="27" t="str">
        <f t="array" ref="AD87">XLOOKUP(AF87,Advancements!$I$2:$I164,Advancements!$C$2:$C164)</f>
        <v/>
      </c>
      <c r="AE87" s="27" t="str">
        <f t="array" ref="AE87">XLOOKUP(AF87,Advancements!$I$2:$I164,Advancements!$H$2:$H164)</f>
        <v/>
      </c>
      <c r="AF87" s="582" t="s">
        <v>59</v>
      </c>
      <c r="AG87" s="21"/>
      <c r="AH87" s="21"/>
      <c r="AI87" s="21"/>
      <c r="AJ87" s="21"/>
      <c r="AK87" s="21"/>
      <c r="AL87" s="21"/>
      <c r="AM87" s="21"/>
      <c r="AN87" s="21"/>
      <c r="AO87" s="21"/>
      <c r="AP87" s="21"/>
      <c r="AQ87" s="21"/>
      <c r="AR87" s="21"/>
      <c r="AS87" s="21"/>
      <c r="AT87" s="21"/>
      <c r="AU87" s="21"/>
      <c r="AV87" s="21"/>
      <c r="AW87" s="21"/>
      <c r="AX87" s="21"/>
      <c r="AY87" s="21"/>
      <c r="AZ87" s="21"/>
      <c r="BA87" s="21"/>
      <c r="BB87" s="21"/>
      <c r="BC87" s="21"/>
      <c r="BD87" s="21"/>
      <c r="BE87" s="21"/>
      <c r="BF87" s="21"/>
      <c r="BG87" s="21"/>
      <c r="BH87" s="21"/>
      <c r="BI87" s="21"/>
      <c r="BJ87" s="21"/>
      <c r="BK87" s="21"/>
      <c r="BL87" s="21"/>
      <c r="BM87" s="21"/>
      <c r="BN87" s="21"/>
      <c r="BO87" s="21"/>
      <c r="BP87" s="21"/>
      <c r="BQ87" s="21"/>
      <c r="BR87" s="21"/>
      <c r="BS87" s="21"/>
      <c r="BT87" s="21"/>
      <c r="BU87" s="21"/>
      <c r="BV87" s="21"/>
      <c r="BW87" s="21"/>
      <c r="BX87" s="21"/>
      <c r="BY87" s="21"/>
      <c r="BZ87" s="21"/>
      <c r="CA87" s="21"/>
      <c r="CB87" s="21"/>
      <c r="CC87" s="21"/>
      <c r="CD87" s="21"/>
      <c r="CE87" s="21"/>
      <c r="CF87" s="21"/>
      <c r="CG87" s="21"/>
      <c r="CH87" s="21"/>
      <c r="CI87" s="21"/>
      <c r="CJ87" s="21"/>
      <c r="CK87" s="21"/>
      <c r="CL87" s="21"/>
      <c r="CM87" s="21"/>
      <c r="CN87" s="21"/>
      <c r="CO87" s="21"/>
      <c r="CP87" s="21"/>
      <c r="CQ87" s="21"/>
      <c r="CR87" s="21"/>
      <c r="CS87" s="21"/>
      <c r="CT87" s="21"/>
      <c r="CU87" s="21"/>
      <c r="CV87" s="21"/>
      <c r="CW87" s="21"/>
      <c r="CX87" s="21"/>
      <c r="CY87" s="21"/>
      <c r="CZ87" s="21"/>
      <c r="DA87" s="21"/>
      <c r="DB87" s="21"/>
      <c r="DC87" s="21"/>
    </row>
    <row r="88">
      <c r="A88" s="21"/>
      <c r="B88" s="439"/>
      <c r="C88" s="21"/>
      <c r="D88" s="581" t="b">
        <f t="shared" si="58"/>
        <v>0</v>
      </c>
      <c r="E88" s="27" t="str">
        <f t="array" ref="E88">XLOOKUP(G88,Advancements!$I$2:$I164,Advancements!$C$2:$C164)</f>
        <v/>
      </c>
      <c r="F88" s="27" t="str">
        <f t="array" ref="F88">XLOOKUP(G88,Advancements!$I$2:$I164,Advancements!$H$2:$H164)</f>
        <v/>
      </c>
      <c r="G88" s="582" t="s">
        <v>1718</v>
      </c>
      <c r="H88" s="21"/>
      <c r="I88" s="581" t="b">
        <f t="shared" si="59"/>
        <v>0</v>
      </c>
      <c r="J88" s="27" t="str">
        <f t="array" ref="J88">XLOOKUP(L88,Advancements!$I$2:$I164,Advancements!$C$2:$C164)</f>
        <v/>
      </c>
      <c r="K88" s="27" t="str">
        <f t="array" ref="K88">XLOOKUP(L88,Advancements!$I$2:$I164,Advancements!$H$2:$H164)</f>
        <v/>
      </c>
      <c r="L88" s="582" t="s">
        <v>1718</v>
      </c>
      <c r="M88" s="21"/>
      <c r="N88" s="581" t="b">
        <f t="shared" si="60"/>
        <v>0</v>
      </c>
      <c r="O88" s="27" t="str">
        <f t="array" ref="O88">XLOOKUP(Q88,Advancements!$I$2:$I164,Advancements!$C$2:$C164)</f>
        <v/>
      </c>
      <c r="P88" s="27" t="str">
        <f t="array" ref="P88">XLOOKUP(Q88,Advancements!$I$2:$I164,Advancements!$H$2:$H164)</f>
        <v/>
      </c>
      <c r="Q88" s="582" t="s">
        <v>1718</v>
      </c>
      <c r="R88" s="21"/>
      <c r="S88" s="581" t="b">
        <f t="shared" si="61"/>
        <v>0</v>
      </c>
      <c r="T88" s="27" t="str">
        <f t="array" ref="T88">XLOOKUP(V88,Advancements!$I$2:$I164,Advancements!$C$2:$C164)</f>
        <v/>
      </c>
      <c r="U88" s="27" t="str">
        <f t="array" ref="U88">XLOOKUP(V88,Advancements!$I$2:$I164,Advancements!$H$2:$H164)</f>
        <v/>
      </c>
      <c r="V88" s="582" t="s">
        <v>1718</v>
      </c>
      <c r="W88" s="21"/>
      <c r="X88" s="581" t="b">
        <f t="shared" si="62"/>
        <v>0</v>
      </c>
      <c r="Y88" s="27" t="str">
        <f t="array" ref="Y88">XLOOKUP(AA88,Advancements!$I$2:$I164,Advancements!$C$2:$C164)</f>
        <v/>
      </c>
      <c r="Z88" s="27" t="str">
        <f t="array" ref="Z88">XLOOKUP(AA88,Advancements!$I$2:$I164,Advancements!$H$2:$H164)</f>
        <v/>
      </c>
      <c r="AA88" s="582" t="s">
        <v>1718</v>
      </c>
      <c r="AB88" s="21"/>
      <c r="AC88" s="581" t="b">
        <f t="shared" si="63"/>
        <v>0</v>
      </c>
      <c r="AD88" s="27" t="str">
        <f t="array" ref="AD88">XLOOKUP(AF88,Advancements!$I$2:$I164,Advancements!$C$2:$C164)</f>
        <v/>
      </c>
      <c r="AE88" s="27" t="str">
        <f t="array" ref="AE88">XLOOKUP(AF88,Advancements!$I$2:$I164,Advancements!$H$2:$H164)</f>
        <v/>
      </c>
      <c r="AF88" s="582" t="s">
        <v>1718</v>
      </c>
      <c r="AG88" s="21"/>
      <c r="AH88" s="21"/>
      <c r="AI88" s="21"/>
      <c r="AJ88" s="21"/>
      <c r="AK88" s="21"/>
      <c r="AL88" s="21"/>
      <c r="AM88" s="21"/>
      <c r="AN88" s="21"/>
      <c r="AO88" s="21"/>
      <c r="AP88" s="21"/>
      <c r="AQ88" s="21"/>
      <c r="AR88" s="21"/>
      <c r="AS88" s="21"/>
      <c r="AT88" s="21"/>
      <c r="AU88" s="21"/>
      <c r="AV88" s="21"/>
      <c r="AW88" s="21"/>
      <c r="AX88" s="21"/>
      <c r="AY88" s="21"/>
      <c r="AZ88" s="21"/>
      <c r="BA88" s="21"/>
      <c r="BB88" s="21"/>
      <c r="BC88" s="21"/>
      <c r="BD88" s="21"/>
      <c r="BE88" s="21"/>
      <c r="BF88" s="21"/>
      <c r="BG88" s="21"/>
      <c r="BH88" s="21"/>
      <c r="BI88" s="21"/>
      <c r="BJ88" s="21"/>
      <c r="BK88" s="21"/>
      <c r="BL88" s="21"/>
      <c r="BM88" s="21"/>
      <c r="BN88" s="21"/>
      <c r="BO88" s="21"/>
      <c r="BP88" s="21"/>
      <c r="BQ88" s="21"/>
      <c r="BR88" s="21"/>
      <c r="BS88" s="21"/>
      <c r="BT88" s="21"/>
      <c r="BU88" s="21"/>
      <c r="BV88" s="21"/>
      <c r="BW88" s="21"/>
      <c r="BX88" s="21"/>
      <c r="BY88" s="21"/>
      <c r="BZ88" s="21"/>
      <c r="CA88" s="21"/>
      <c r="CB88" s="21"/>
      <c r="CC88" s="21"/>
      <c r="CD88" s="21"/>
      <c r="CE88" s="21"/>
      <c r="CF88" s="21"/>
      <c r="CG88" s="21"/>
      <c r="CH88" s="21"/>
      <c r="CI88" s="21"/>
      <c r="CJ88" s="21"/>
      <c r="CK88" s="21"/>
      <c r="CL88" s="21"/>
      <c r="CM88" s="21"/>
      <c r="CN88" s="21"/>
      <c r="CO88" s="21"/>
      <c r="CP88" s="21"/>
      <c r="CQ88" s="21"/>
      <c r="CR88" s="21"/>
      <c r="CS88" s="21"/>
      <c r="CT88" s="21"/>
      <c r="CU88" s="21"/>
      <c r="CV88" s="21"/>
      <c r="CW88" s="21"/>
      <c r="CX88" s="21"/>
      <c r="CY88" s="21"/>
      <c r="CZ88" s="21"/>
      <c r="DA88" s="21"/>
      <c r="DB88" s="21"/>
      <c r="DC88" s="21"/>
    </row>
    <row r="89">
      <c r="A89" s="21"/>
      <c r="B89" s="439"/>
      <c r="C89" s="21"/>
      <c r="D89" s="581" t="b">
        <f t="shared" si="58"/>
        <v>0</v>
      </c>
      <c r="E89" s="27" t="str">
        <f t="array" ref="E89">XLOOKUP(G89,Advancements!$I$2:$I164,Advancements!$C$2:$C164)</f>
        <v/>
      </c>
      <c r="F89" s="27" t="str">
        <f t="array" ref="F89">XLOOKUP(G89,Advancements!$I$2:$I164,Advancements!$H$2:$H164)</f>
        <v/>
      </c>
      <c r="G89" s="582" t="s">
        <v>2016</v>
      </c>
      <c r="H89" s="21"/>
      <c r="I89" s="581" t="b">
        <f t="shared" si="59"/>
        <v>0</v>
      </c>
      <c r="J89" s="27" t="str">
        <f t="array" ref="J89">XLOOKUP(L89,Advancements!$I$2:$I164,Advancements!$C$2:$C164)</f>
        <v/>
      </c>
      <c r="K89" s="27" t="str">
        <f t="array" ref="K89">XLOOKUP(L89,Advancements!$I$2:$I164,Advancements!$H$2:$H164)</f>
        <v/>
      </c>
      <c r="L89" s="582" t="s">
        <v>2016</v>
      </c>
      <c r="M89" s="21"/>
      <c r="N89" s="581" t="b">
        <f t="shared" si="60"/>
        <v>0</v>
      </c>
      <c r="O89" s="27" t="str">
        <f t="array" ref="O89">XLOOKUP(Q89,Advancements!$I$2:$I164,Advancements!$C$2:$C164)</f>
        <v/>
      </c>
      <c r="P89" s="27" t="str">
        <f t="array" ref="P89">XLOOKUP(Q89,Advancements!$I$2:$I164,Advancements!$H$2:$H164)</f>
        <v/>
      </c>
      <c r="Q89" s="582" t="s">
        <v>2016</v>
      </c>
      <c r="R89" s="21"/>
      <c r="S89" s="581" t="b">
        <f t="shared" si="61"/>
        <v>0</v>
      </c>
      <c r="T89" s="27" t="str">
        <f t="array" ref="T89">XLOOKUP(V89,Advancements!$I$2:$I164,Advancements!$C$2:$C164)</f>
        <v/>
      </c>
      <c r="U89" s="27" t="str">
        <f t="array" ref="U89">XLOOKUP(V89,Advancements!$I$2:$I164,Advancements!$H$2:$H164)</f>
        <v/>
      </c>
      <c r="V89" s="582" t="s">
        <v>2016</v>
      </c>
      <c r="W89" s="21"/>
      <c r="X89" s="581" t="b">
        <f t="shared" si="62"/>
        <v>0</v>
      </c>
      <c r="Y89" s="27" t="str">
        <f t="array" ref="Y89">XLOOKUP(AA89,Advancements!$I$2:$I164,Advancements!$C$2:$C164)</f>
        <v/>
      </c>
      <c r="Z89" s="27" t="str">
        <f t="array" ref="Z89">XLOOKUP(AA89,Advancements!$I$2:$I164,Advancements!$H$2:$H164)</f>
        <v/>
      </c>
      <c r="AA89" s="582" t="s">
        <v>2016</v>
      </c>
      <c r="AB89" s="21"/>
      <c r="AC89" s="581" t="b">
        <f t="shared" si="63"/>
        <v>0</v>
      </c>
      <c r="AD89" s="27" t="str">
        <f t="array" ref="AD89">XLOOKUP(AF89,Advancements!$I$2:$I164,Advancements!$C$2:$C164)</f>
        <v/>
      </c>
      <c r="AE89" s="27" t="str">
        <f t="array" ref="AE89">XLOOKUP(AF89,Advancements!$I$2:$I164,Advancements!$H$2:$H164)</f>
        <v/>
      </c>
      <c r="AF89" s="582" t="s">
        <v>2016</v>
      </c>
      <c r="AG89" s="21"/>
      <c r="AH89" s="21"/>
      <c r="AI89" s="21"/>
      <c r="AJ89" s="21"/>
      <c r="AK89" s="21"/>
      <c r="AL89" s="21"/>
      <c r="AM89" s="21"/>
      <c r="AN89" s="21"/>
      <c r="AO89" s="21"/>
      <c r="AP89" s="21"/>
      <c r="AQ89" s="21"/>
      <c r="AR89" s="21"/>
      <c r="AS89" s="21"/>
      <c r="AT89" s="21"/>
      <c r="AU89" s="21"/>
      <c r="AV89" s="21"/>
      <c r="AW89" s="21"/>
      <c r="AX89" s="21"/>
      <c r="AY89" s="21"/>
      <c r="AZ89" s="21"/>
      <c r="BA89" s="21"/>
      <c r="BB89" s="21"/>
      <c r="BC89" s="21"/>
      <c r="BD89" s="21"/>
      <c r="BE89" s="21"/>
      <c r="BF89" s="21"/>
      <c r="BG89" s="21"/>
      <c r="BH89" s="21"/>
      <c r="BI89" s="21"/>
      <c r="BJ89" s="21"/>
      <c r="BK89" s="21"/>
      <c r="BL89" s="21"/>
      <c r="BM89" s="21"/>
      <c r="BN89" s="21"/>
      <c r="BO89" s="21"/>
      <c r="BP89" s="21"/>
      <c r="BQ89" s="21"/>
      <c r="BR89" s="21"/>
      <c r="BS89" s="21"/>
      <c r="BT89" s="21"/>
      <c r="BU89" s="21"/>
      <c r="BV89" s="21"/>
      <c r="BW89" s="21"/>
      <c r="BX89" s="21"/>
      <c r="BY89" s="21"/>
      <c r="BZ89" s="21"/>
      <c r="CA89" s="21"/>
      <c r="CB89" s="21"/>
      <c r="CC89" s="21"/>
      <c r="CD89" s="21"/>
      <c r="CE89" s="21"/>
      <c r="CF89" s="21"/>
      <c r="CG89" s="21"/>
      <c r="CH89" s="21"/>
      <c r="CI89" s="21"/>
      <c r="CJ89" s="21"/>
      <c r="CK89" s="21"/>
      <c r="CL89" s="21"/>
      <c r="CM89" s="21"/>
      <c r="CN89" s="21"/>
      <c r="CO89" s="21"/>
      <c r="CP89" s="21"/>
      <c r="CQ89" s="21"/>
      <c r="CR89" s="21"/>
      <c r="CS89" s="21"/>
      <c r="CT89" s="21"/>
      <c r="CU89" s="21"/>
      <c r="CV89" s="21"/>
      <c r="CW89" s="21"/>
      <c r="CX89" s="21"/>
      <c r="CY89" s="21"/>
      <c r="CZ89" s="21"/>
      <c r="DA89" s="21"/>
      <c r="DB89" s="21"/>
      <c r="DC89" s="21"/>
    </row>
    <row r="90">
      <c r="A90" s="21"/>
      <c r="B90" s="439"/>
      <c r="C90" s="21"/>
      <c r="D90" s="581" t="b">
        <f t="shared" si="58"/>
        <v>0</v>
      </c>
      <c r="E90" s="27" t="str">
        <f t="array" ref="E90">XLOOKUP(G90,Advancements!$I$2:$I164,Advancements!$C$2:$C164)</f>
        <v/>
      </c>
      <c r="F90" s="27" t="str">
        <f t="array" ref="F90">XLOOKUP(G90,Advancements!$I$2:$I164,Advancements!$H$2:$H164)</f>
        <v/>
      </c>
      <c r="G90" s="582" t="s">
        <v>55</v>
      </c>
      <c r="H90" s="21"/>
      <c r="I90" s="581" t="b">
        <f t="shared" si="59"/>
        <v>0</v>
      </c>
      <c r="J90" s="27" t="str">
        <f t="array" ref="J90">XLOOKUP(L90,Advancements!$I$2:$I164,Advancements!$C$2:$C164)</f>
        <v/>
      </c>
      <c r="K90" s="27" t="str">
        <f t="array" ref="K90">XLOOKUP(L90,Advancements!$I$2:$I164,Advancements!$H$2:$H164)</f>
        <v/>
      </c>
      <c r="L90" s="582" t="s">
        <v>55</v>
      </c>
      <c r="M90" s="21"/>
      <c r="N90" s="581" t="b">
        <f t="shared" si="60"/>
        <v>0</v>
      </c>
      <c r="O90" s="27" t="str">
        <f t="array" ref="O90">XLOOKUP(Q90,Advancements!$I$2:$I164,Advancements!$C$2:$C164)</f>
        <v/>
      </c>
      <c r="P90" s="27" t="str">
        <f t="array" ref="P90">XLOOKUP(Q90,Advancements!$I$2:$I164,Advancements!$H$2:$H164)</f>
        <v/>
      </c>
      <c r="Q90" s="582" t="s">
        <v>55</v>
      </c>
      <c r="R90" s="21"/>
      <c r="S90" s="581" t="b">
        <f t="shared" si="61"/>
        <v>0</v>
      </c>
      <c r="T90" s="27" t="str">
        <f t="array" ref="T90">XLOOKUP(V90,Advancements!$I$2:$I164,Advancements!$C$2:$C164)</f>
        <v/>
      </c>
      <c r="U90" s="27" t="str">
        <f t="array" ref="U90">XLOOKUP(V90,Advancements!$I$2:$I164,Advancements!$H$2:$H164)</f>
        <v/>
      </c>
      <c r="V90" s="582" t="s">
        <v>55</v>
      </c>
      <c r="W90" s="21"/>
      <c r="X90" s="581" t="b">
        <f t="shared" si="62"/>
        <v>0</v>
      </c>
      <c r="Y90" s="27" t="str">
        <f t="array" ref="Y90">XLOOKUP(AA90,Advancements!$I$2:$I164,Advancements!$C$2:$C164)</f>
        <v/>
      </c>
      <c r="Z90" s="27" t="str">
        <f t="array" ref="Z90">XLOOKUP(AA90,Advancements!$I$2:$I164,Advancements!$H$2:$H164)</f>
        <v/>
      </c>
      <c r="AA90" s="582" t="s">
        <v>55</v>
      </c>
      <c r="AB90" s="21"/>
      <c r="AC90" s="581" t="b">
        <f t="shared" si="63"/>
        <v>0</v>
      </c>
      <c r="AD90" s="27" t="str">
        <f t="array" ref="AD90">XLOOKUP(AF90,Advancements!$I$2:$I164,Advancements!$C$2:$C164)</f>
        <v/>
      </c>
      <c r="AE90" s="27" t="str">
        <f t="array" ref="AE90">XLOOKUP(AF90,Advancements!$I$2:$I164,Advancements!$H$2:$H164)</f>
        <v/>
      </c>
      <c r="AF90" s="582" t="s">
        <v>55</v>
      </c>
      <c r="AG90" s="21"/>
      <c r="AH90" s="21"/>
      <c r="AI90" s="21"/>
      <c r="AJ90" s="21"/>
      <c r="AK90" s="21"/>
      <c r="AL90" s="21"/>
      <c r="AM90" s="21"/>
      <c r="AN90" s="21"/>
      <c r="AO90" s="21"/>
      <c r="AP90" s="21"/>
      <c r="AQ90" s="21"/>
      <c r="AR90" s="21"/>
      <c r="AS90" s="21"/>
      <c r="AT90" s="21"/>
      <c r="AU90" s="21"/>
      <c r="AV90" s="21"/>
      <c r="AW90" s="21"/>
      <c r="AX90" s="21"/>
      <c r="AY90" s="21"/>
      <c r="AZ90" s="21"/>
      <c r="BA90" s="21"/>
      <c r="BB90" s="21"/>
      <c r="BC90" s="21"/>
      <c r="BD90" s="21"/>
      <c r="BE90" s="21"/>
      <c r="BF90" s="21"/>
      <c r="BG90" s="21"/>
      <c r="BH90" s="21"/>
      <c r="BI90" s="21"/>
      <c r="BJ90" s="21"/>
      <c r="BK90" s="21"/>
      <c r="BL90" s="21"/>
      <c r="BM90" s="21"/>
      <c r="BN90" s="21"/>
      <c r="BO90" s="21"/>
      <c r="BP90" s="21"/>
      <c r="BQ90" s="21"/>
      <c r="BR90" s="21"/>
      <c r="BS90" s="21"/>
      <c r="BT90" s="21"/>
      <c r="BU90" s="21"/>
      <c r="BV90" s="21"/>
      <c r="BW90" s="21"/>
      <c r="BX90" s="21"/>
      <c r="BY90" s="21"/>
      <c r="BZ90" s="21"/>
      <c r="CA90" s="21"/>
      <c r="CB90" s="21"/>
      <c r="CC90" s="21"/>
      <c r="CD90" s="21"/>
      <c r="CE90" s="21"/>
      <c r="CF90" s="21"/>
      <c r="CG90" s="21"/>
      <c r="CH90" s="21"/>
      <c r="CI90" s="21"/>
      <c r="CJ90" s="21"/>
      <c r="CK90" s="21"/>
      <c r="CL90" s="21"/>
      <c r="CM90" s="21"/>
      <c r="CN90" s="21"/>
      <c r="CO90" s="21"/>
      <c r="CP90" s="21"/>
      <c r="CQ90" s="21"/>
      <c r="CR90" s="21"/>
      <c r="CS90" s="21"/>
      <c r="CT90" s="21"/>
      <c r="CU90" s="21"/>
      <c r="CV90" s="21"/>
      <c r="CW90" s="21"/>
      <c r="CX90" s="21"/>
      <c r="CY90" s="21"/>
      <c r="CZ90" s="21"/>
      <c r="DA90" s="21"/>
      <c r="DB90" s="21"/>
      <c r="DC90" s="21"/>
    </row>
    <row r="91">
      <c r="A91" s="21"/>
      <c r="B91" s="439"/>
      <c r="C91" s="21"/>
      <c r="D91" s="581" t="b">
        <f t="shared" si="58"/>
        <v>0</v>
      </c>
      <c r="E91" s="27" t="str">
        <f t="array" ref="E91">XLOOKUP(G91,Advancements!$I$2:$I164,Advancements!$C$2:$C164)</f>
        <v/>
      </c>
      <c r="F91" s="27" t="str">
        <f t="array" ref="F91">XLOOKUP(G91,Advancements!$I$2:$I164,Advancements!$H$2:$H164)</f>
        <v/>
      </c>
      <c r="G91" s="582" t="s">
        <v>67</v>
      </c>
      <c r="H91" s="21"/>
      <c r="I91" s="581" t="b">
        <f t="shared" si="59"/>
        <v>0</v>
      </c>
      <c r="J91" s="27" t="str">
        <f t="array" ref="J91">XLOOKUP(L91,Advancements!$I$2:$I164,Advancements!$C$2:$C164)</f>
        <v/>
      </c>
      <c r="K91" s="27" t="str">
        <f t="array" ref="K91">XLOOKUP(L91,Advancements!$I$2:$I164,Advancements!$H$2:$H164)</f>
        <v/>
      </c>
      <c r="L91" s="582" t="s">
        <v>67</v>
      </c>
      <c r="M91" s="21"/>
      <c r="N91" s="581" t="b">
        <f t="shared" si="60"/>
        <v>0</v>
      </c>
      <c r="O91" s="27" t="str">
        <f t="array" ref="O91">XLOOKUP(Q91,Advancements!$I$2:$I164,Advancements!$C$2:$C164)</f>
        <v/>
      </c>
      <c r="P91" s="27" t="str">
        <f t="array" ref="P91">XLOOKUP(Q91,Advancements!$I$2:$I164,Advancements!$H$2:$H164)</f>
        <v/>
      </c>
      <c r="Q91" s="582" t="s">
        <v>67</v>
      </c>
      <c r="R91" s="21"/>
      <c r="S91" s="581" t="b">
        <f t="shared" si="61"/>
        <v>0</v>
      </c>
      <c r="T91" s="27" t="str">
        <f t="array" ref="T91">XLOOKUP(V91,Advancements!$I$2:$I164,Advancements!$C$2:$C164)</f>
        <v/>
      </c>
      <c r="U91" s="27" t="str">
        <f t="array" ref="U91">XLOOKUP(V91,Advancements!$I$2:$I164,Advancements!$H$2:$H164)</f>
        <v/>
      </c>
      <c r="V91" s="582" t="s">
        <v>67</v>
      </c>
      <c r="W91" s="21"/>
      <c r="X91" s="581" t="b">
        <f t="shared" si="62"/>
        <v>0</v>
      </c>
      <c r="Y91" s="27" t="str">
        <f t="array" ref="Y91">XLOOKUP(AA91,Advancements!$I$2:$I164,Advancements!$C$2:$C164)</f>
        <v/>
      </c>
      <c r="Z91" s="27" t="str">
        <f t="array" ref="Z91">XLOOKUP(AA91,Advancements!$I$2:$I164,Advancements!$H$2:$H164)</f>
        <v/>
      </c>
      <c r="AA91" s="582" t="s">
        <v>67</v>
      </c>
      <c r="AB91" s="21"/>
      <c r="AC91" s="581" t="b">
        <f t="shared" si="63"/>
        <v>0</v>
      </c>
      <c r="AD91" s="27" t="str">
        <f t="array" ref="AD91">XLOOKUP(AF91,Advancements!$I$2:$I164,Advancements!$C$2:$C164)</f>
        <v/>
      </c>
      <c r="AE91" s="27" t="str">
        <f t="array" ref="AE91">XLOOKUP(AF91,Advancements!$I$2:$I164,Advancements!$H$2:$H164)</f>
        <v/>
      </c>
      <c r="AF91" s="582" t="s">
        <v>67</v>
      </c>
      <c r="AG91" s="21"/>
      <c r="AH91" s="21"/>
      <c r="AI91" s="21"/>
      <c r="AJ91" s="21"/>
      <c r="AK91" s="21"/>
      <c r="AL91" s="21"/>
      <c r="AM91" s="21"/>
      <c r="AN91" s="21"/>
      <c r="AO91" s="21"/>
      <c r="AP91" s="21"/>
      <c r="AQ91" s="21"/>
      <c r="AR91" s="21"/>
      <c r="AS91" s="21"/>
      <c r="AT91" s="21"/>
      <c r="AU91" s="21"/>
      <c r="AV91" s="21"/>
      <c r="AW91" s="21"/>
      <c r="AX91" s="21"/>
      <c r="AY91" s="21"/>
      <c r="AZ91" s="21"/>
      <c r="BA91" s="21"/>
      <c r="BB91" s="21"/>
      <c r="BC91" s="21"/>
      <c r="BD91" s="21"/>
      <c r="BE91" s="21"/>
      <c r="BF91" s="21"/>
      <c r="BG91" s="21"/>
      <c r="BH91" s="21"/>
      <c r="BI91" s="21"/>
      <c r="BJ91" s="21"/>
      <c r="BK91" s="21"/>
      <c r="BL91" s="21"/>
      <c r="BM91" s="21"/>
      <c r="BN91" s="21"/>
      <c r="BO91" s="21"/>
      <c r="BP91" s="21"/>
      <c r="BQ91" s="21"/>
      <c r="BR91" s="21"/>
      <c r="BS91" s="21"/>
      <c r="BT91" s="21"/>
      <c r="BU91" s="21"/>
      <c r="BV91" s="21"/>
      <c r="BW91" s="21"/>
      <c r="BX91" s="21"/>
      <c r="BY91" s="21"/>
      <c r="BZ91" s="21"/>
      <c r="CA91" s="21"/>
      <c r="CB91" s="21"/>
      <c r="CC91" s="21"/>
      <c r="CD91" s="21"/>
      <c r="CE91" s="21"/>
      <c r="CF91" s="21"/>
      <c r="CG91" s="21"/>
      <c r="CH91" s="21"/>
      <c r="CI91" s="21"/>
      <c r="CJ91" s="21"/>
      <c r="CK91" s="21"/>
      <c r="CL91" s="21"/>
      <c r="CM91" s="21"/>
      <c r="CN91" s="21"/>
      <c r="CO91" s="21"/>
      <c r="CP91" s="21"/>
      <c r="CQ91" s="21"/>
      <c r="CR91" s="21"/>
      <c r="CS91" s="21"/>
      <c r="CT91" s="21"/>
      <c r="CU91" s="21"/>
      <c r="CV91" s="21"/>
      <c r="CW91" s="21"/>
      <c r="CX91" s="21"/>
      <c r="CY91" s="21"/>
      <c r="CZ91" s="21"/>
      <c r="DA91" s="21"/>
      <c r="DB91" s="21"/>
      <c r="DC91" s="21"/>
    </row>
    <row r="92">
      <c r="A92" s="21"/>
      <c r="B92" s="439"/>
      <c r="C92" s="21"/>
      <c r="D92" s="583" t="b">
        <f t="shared" si="58"/>
        <v>0</v>
      </c>
      <c r="E92" s="584" t="str">
        <f t="array" ref="E92">XLOOKUP(G92,Advancements!$I$2:$I164,Advancements!$C$2:$C164)</f>
        <v/>
      </c>
      <c r="F92" s="584" t="str">
        <f t="array" ref="F92">XLOOKUP(G92,Advancements!$I$2:$I164,Advancements!$H$2:$H164)</f>
        <v/>
      </c>
      <c r="G92" s="585" t="s">
        <v>4846</v>
      </c>
      <c r="H92" s="21"/>
      <c r="I92" s="583" t="b">
        <f t="shared" si="59"/>
        <v>0</v>
      </c>
      <c r="J92" s="584" t="str">
        <f t="array" ref="J92">XLOOKUP(L92,Advancements!$I$2:$I164,Advancements!$C$2:$C164)</f>
        <v/>
      </c>
      <c r="K92" s="584" t="str">
        <f t="array" ref="K92">XLOOKUP(L92,Advancements!$I$2:$I164,Advancements!$H$2:$H164)</f>
        <v/>
      </c>
      <c r="L92" s="585" t="s">
        <v>4846</v>
      </c>
      <c r="M92" s="21"/>
      <c r="N92" s="583" t="b">
        <f t="shared" si="60"/>
        <v>0</v>
      </c>
      <c r="O92" s="584" t="str">
        <f t="array" ref="O92">XLOOKUP(Q92,Advancements!$I$2:$I164,Advancements!$C$2:$C164)</f>
        <v/>
      </c>
      <c r="P92" s="584" t="str">
        <f t="array" ref="P92">XLOOKUP(Q92,Advancements!$I$2:$I164,Advancements!$H$2:$H164)</f>
        <v/>
      </c>
      <c r="Q92" s="585" t="s">
        <v>4846</v>
      </c>
      <c r="R92" s="21"/>
      <c r="S92" s="583" t="b">
        <f t="shared" si="61"/>
        <v>0</v>
      </c>
      <c r="T92" s="584" t="str">
        <f t="array" ref="T92">XLOOKUP(V92,Advancements!$I$2:$I164,Advancements!$C$2:$C164)</f>
        <v/>
      </c>
      <c r="U92" s="584" t="str">
        <f t="array" ref="U92">XLOOKUP(V92,Advancements!$I$2:$I164,Advancements!$H$2:$H164)</f>
        <v/>
      </c>
      <c r="V92" s="585" t="s">
        <v>4846</v>
      </c>
      <c r="W92" s="21"/>
      <c r="X92" s="583" t="b">
        <f t="shared" si="62"/>
        <v>0</v>
      </c>
      <c r="Y92" s="584" t="str">
        <f t="array" ref="Y92">XLOOKUP(AA92,Advancements!$I$2:$I164,Advancements!$C$2:$C164)</f>
        <v/>
      </c>
      <c r="Z92" s="584" t="str">
        <f t="array" ref="Z92">XLOOKUP(AA92,Advancements!$I$2:$I164,Advancements!$H$2:$H164)</f>
        <v/>
      </c>
      <c r="AA92" s="585" t="s">
        <v>4846</v>
      </c>
      <c r="AB92" s="21"/>
      <c r="AC92" s="581" t="b">
        <f t="shared" si="63"/>
        <v>0</v>
      </c>
      <c r="AD92" s="27" t="str">
        <f t="array" ref="AD92">XLOOKUP(AF92,Advancements!$I$2:$I164,Advancements!$C$2:$C164)</f>
        <v/>
      </c>
      <c r="AE92" s="27" t="str">
        <f t="array" ref="AE92">XLOOKUP(AF92,Advancements!$I$2:$I164,Advancements!$H$2:$H164)</f>
        <v/>
      </c>
      <c r="AF92" s="582" t="s">
        <v>36</v>
      </c>
      <c r="AG92" s="21"/>
      <c r="AH92" s="21"/>
      <c r="AI92" s="21"/>
      <c r="AJ92" s="21"/>
      <c r="AK92" s="21"/>
      <c r="AL92" s="21"/>
      <c r="AM92" s="21"/>
      <c r="AN92" s="21"/>
      <c r="AO92" s="21"/>
      <c r="AP92" s="21"/>
      <c r="AQ92" s="21"/>
      <c r="AR92" s="21"/>
      <c r="AS92" s="21"/>
      <c r="AT92" s="21"/>
      <c r="AU92" s="21"/>
      <c r="AV92" s="21"/>
      <c r="AW92" s="21"/>
      <c r="AX92" s="21"/>
      <c r="AY92" s="21"/>
      <c r="AZ92" s="21"/>
      <c r="BA92" s="21"/>
      <c r="BB92" s="21"/>
      <c r="BC92" s="21"/>
      <c r="BD92" s="21"/>
      <c r="BE92" s="21"/>
      <c r="BF92" s="21"/>
      <c r="BG92" s="21"/>
      <c r="BH92" s="21"/>
      <c r="BI92" s="21"/>
      <c r="BJ92" s="21"/>
      <c r="BK92" s="21"/>
      <c r="BL92" s="21"/>
      <c r="BM92" s="21"/>
      <c r="BN92" s="21"/>
      <c r="BO92" s="21"/>
      <c r="BP92" s="21"/>
      <c r="BQ92" s="21"/>
      <c r="BR92" s="21"/>
      <c r="BS92" s="21"/>
      <c r="BT92" s="21"/>
      <c r="BU92" s="21"/>
      <c r="BV92" s="21"/>
      <c r="BW92" s="21"/>
      <c r="BX92" s="21"/>
      <c r="BY92" s="21"/>
      <c r="BZ92" s="21"/>
      <c r="CA92" s="21"/>
      <c r="CB92" s="21"/>
      <c r="CC92" s="21"/>
      <c r="CD92" s="21"/>
      <c r="CE92" s="21"/>
      <c r="CF92" s="21"/>
      <c r="CG92" s="21"/>
      <c r="CH92" s="21"/>
      <c r="CI92" s="21"/>
      <c r="CJ92" s="21"/>
      <c r="CK92" s="21"/>
      <c r="CL92" s="21"/>
      <c r="CM92" s="21"/>
      <c r="CN92" s="21"/>
      <c r="CO92" s="21"/>
      <c r="CP92" s="21"/>
      <c r="CQ92" s="21"/>
      <c r="CR92" s="21"/>
      <c r="CS92" s="21"/>
      <c r="CT92" s="21"/>
      <c r="CU92" s="21"/>
      <c r="CV92" s="21"/>
      <c r="CW92" s="21"/>
      <c r="CX92" s="21"/>
      <c r="CY92" s="21"/>
      <c r="CZ92" s="21"/>
      <c r="DA92" s="21"/>
      <c r="DB92" s="21"/>
      <c r="DC92" s="21"/>
    </row>
    <row r="93">
      <c r="A93" s="21"/>
      <c r="B93" s="468"/>
      <c r="C93" s="21"/>
      <c r="D93" s="586"/>
      <c r="E93" s="21"/>
      <c r="F93" s="21"/>
      <c r="G93" s="466"/>
      <c r="H93" s="21"/>
      <c r="I93" s="21"/>
      <c r="J93" s="21"/>
      <c r="K93" s="21"/>
      <c r="L93" s="21"/>
      <c r="M93" s="21"/>
      <c r="N93" s="21"/>
      <c r="O93" s="21"/>
      <c r="P93" s="21"/>
      <c r="Q93" s="21"/>
      <c r="R93" s="21"/>
      <c r="S93" s="21"/>
      <c r="T93" s="21"/>
      <c r="U93" s="21"/>
      <c r="V93" s="21"/>
      <c r="W93" s="21"/>
      <c r="X93" s="21"/>
      <c r="Y93" s="21"/>
      <c r="Z93" s="21"/>
      <c r="AA93" s="21"/>
      <c r="AB93" s="21"/>
      <c r="AC93" s="583" t="b">
        <f t="shared" si="63"/>
        <v>0</v>
      </c>
      <c r="AD93" s="584" t="str">
        <f t="array" ref="AD93">XLOOKUP(AF93,Advancements!$I$2:$I164,Advancements!$C$2:$C164)</f>
        <v/>
      </c>
      <c r="AE93" s="584" t="str">
        <f t="array" ref="AE93">XLOOKUP(AF93,Advancements!$I$2:$I164,Advancements!$H$2:$H164)</f>
        <v/>
      </c>
      <c r="AF93" s="585" t="s">
        <v>4846</v>
      </c>
      <c r="AG93" s="21"/>
      <c r="AH93" s="21"/>
      <c r="AI93" s="21"/>
      <c r="AJ93" s="21"/>
      <c r="AK93" s="21"/>
      <c r="AL93" s="21"/>
      <c r="AM93" s="21"/>
      <c r="AN93" s="21"/>
      <c r="AO93" s="21"/>
      <c r="AP93" s="21"/>
      <c r="AQ93" s="21"/>
      <c r="AR93" s="21"/>
      <c r="AS93" s="21"/>
      <c r="AT93" s="21"/>
      <c r="AU93" s="21"/>
      <c r="AV93" s="21"/>
      <c r="AW93" s="21"/>
      <c r="AX93" s="21"/>
      <c r="AY93" s="21"/>
      <c r="AZ93" s="21"/>
      <c r="BA93" s="21"/>
      <c r="BB93" s="21"/>
      <c r="BC93" s="21"/>
      <c r="BD93" s="21"/>
      <c r="BE93" s="21"/>
      <c r="BF93" s="21"/>
      <c r="BG93" s="21"/>
      <c r="BH93" s="21"/>
      <c r="BI93" s="21"/>
      <c r="BJ93" s="21"/>
      <c r="BK93" s="21"/>
      <c r="BL93" s="21"/>
      <c r="BM93" s="21"/>
      <c r="BN93" s="21"/>
      <c r="BO93" s="21"/>
      <c r="BP93" s="21"/>
      <c r="BQ93" s="21"/>
      <c r="BR93" s="21"/>
      <c r="BS93" s="21"/>
      <c r="BT93" s="21"/>
      <c r="BU93" s="21"/>
      <c r="BV93" s="21"/>
      <c r="BW93" s="21"/>
      <c r="BX93" s="21"/>
      <c r="BY93" s="21"/>
      <c r="BZ93" s="21"/>
      <c r="CA93" s="21"/>
      <c r="CB93" s="21"/>
      <c r="CC93" s="21"/>
      <c r="CD93" s="21"/>
      <c r="CE93" s="21"/>
      <c r="CF93" s="21"/>
      <c r="CG93" s="21"/>
      <c r="CH93" s="21"/>
      <c r="CI93" s="21"/>
      <c r="CJ93" s="21"/>
      <c r="CK93" s="21"/>
      <c r="CL93" s="21"/>
      <c r="CM93" s="21"/>
      <c r="CN93" s="21"/>
      <c r="CO93" s="21"/>
      <c r="CP93" s="21"/>
      <c r="CQ93" s="21"/>
      <c r="CR93" s="21"/>
      <c r="CS93" s="21"/>
      <c r="CT93" s="21"/>
      <c r="CU93" s="21"/>
      <c r="CV93" s="21"/>
      <c r="CW93" s="21"/>
      <c r="CX93" s="21"/>
      <c r="CY93" s="21"/>
      <c r="CZ93" s="21"/>
      <c r="DA93" s="21"/>
      <c r="DB93" s="21"/>
      <c r="DC93" s="21"/>
    </row>
    <row r="94">
      <c r="A94" s="21"/>
      <c r="B94" s="21"/>
      <c r="C94" s="21"/>
      <c r="D94" s="21"/>
      <c r="E94" s="21"/>
      <c r="F94" s="21"/>
      <c r="G94" s="21"/>
      <c r="H94" s="21"/>
      <c r="I94" s="21"/>
      <c r="J94" s="21"/>
      <c r="K94" s="21"/>
      <c r="L94" s="21"/>
      <c r="M94" s="21"/>
      <c r="N94" s="21"/>
      <c r="O94" s="21"/>
      <c r="P94" s="21"/>
      <c r="Q94" s="21"/>
      <c r="R94" s="21"/>
      <c r="S94" s="21"/>
      <c r="T94" s="21"/>
      <c r="U94" s="21"/>
      <c r="V94" s="21"/>
      <c r="W94" s="21"/>
      <c r="X94" s="21"/>
      <c r="Y94" s="21"/>
      <c r="Z94" s="21"/>
      <c r="AA94" s="21"/>
      <c r="AB94" s="21"/>
      <c r="AC94" s="21"/>
      <c r="AD94" s="21"/>
      <c r="AE94" s="21"/>
      <c r="AF94" s="21"/>
      <c r="AG94" s="21"/>
      <c r="AH94" s="21"/>
      <c r="AI94" s="21"/>
      <c r="AJ94" s="21"/>
      <c r="AK94" s="21"/>
      <c r="AL94" s="21"/>
      <c r="AM94" s="21"/>
      <c r="AN94" s="21"/>
      <c r="AO94" s="21"/>
      <c r="AP94" s="21"/>
      <c r="AQ94" s="21"/>
      <c r="AR94" s="21"/>
      <c r="AS94" s="21"/>
      <c r="AT94" s="21"/>
      <c r="AU94" s="21"/>
      <c r="AV94" s="21"/>
      <c r="AW94" s="21"/>
      <c r="AX94" s="21"/>
      <c r="AY94" s="21"/>
      <c r="AZ94" s="21"/>
      <c r="BA94" s="21"/>
      <c r="BB94" s="21"/>
      <c r="BC94" s="21"/>
      <c r="BD94" s="21"/>
      <c r="BE94" s="21"/>
      <c r="BF94" s="21"/>
      <c r="BG94" s="21"/>
      <c r="BH94" s="21"/>
      <c r="BI94" s="21"/>
      <c r="BJ94" s="21"/>
      <c r="BK94" s="21"/>
      <c r="BL94" s="21"/>
      <c r="BM94" s="21"/>
      <c r="BN94" s="21"/>
      <c r="BO94" s="21"/>
      <c r="BP94" s="21"/>
      <c r="BQ94" s="21"/>
      <c r="BR94" s="21"/>
      <c r="BS94" s="21"/>
      <c r="BT94" s="21"/>
      <c r="BU94" s="21"/>
      <c r="BV94" s="21"/>
      <c r="BW94" s="21"/>
      <c r="BX94" s="21"/>
      <c r="BY94" s="21"/>
      <c r="BZ94" s="21"/>
      <c r="CA94" s="21"/>
      <c r="CB94" s="21"/>
      <c r="CC94" s="21"/>
      <c r="CD94" s="21"/>
      <c r="CE94" s="21"/>
      <c r="CF94" s="21"/>
      <c r="CG94" s="21"/>
      <c r="CH94" s="21"/>
      <c r="CI94" s="21"/>
      <c r="CJ94" s="21"/>
      <c r="CK94" s="21"/>
      <c r="CL94" s="21"/>
      <c r="CM94" s="21"/>
      <c r="CN94" s="21"/>
      <c r="CO94" s="21"/>
      <c r="CP94" s="21"/>
      <c r="CQ94" s="21"/>
      <c r="CR94" s="21"/>
      <c r="CS94" s="21"/>
      <c r="CT94" s="21"/>
      <c r="CU94" s="21"/>
      <c r="CV94" s="21"/>
      <c r="CW94" s="21"/>
      <c r="CX94" s="21"/>
      <c r="CY94" s="21"/>
      <c r="CZ94" s="21"/>
      <c r="DA94" s="21"/>
      <c r="DB94" s="21"/>
      <c r="DC94" s="21"/>
    </row>
    <row r="95">
      <c r="A95" s="21"/>
      <c r="B95" s="415" t="s">
        <v>7311</v>
      </c>
      <c r="C95" s="21"/>
      <c r="D95" s="416" t="b">
        <f>IFALLTRUE(D96:D100)</f>
        <v>0</v>
      </c>
      <c r="E95" s="417"/>
      <c r="F95" s="417" t="str">
        <f>GET_MOB_HEAD(G95)</f>
        <v/>
      </c>
      <c r="G95" s="418" t="s">
        <v>7312</v>
      </c>
      <c r="H95" s="21"/>
      <c r="I95" s="416" t="b">
        <f>IFALLTRUE(I96:I100)</f>
        <v>0</v>
      </c>
      <c r="J95" s="417"/>
      <c r="K95" s="417" t="str">
        <f>GET_MOB_HEAD(L95)</f>
        <v/>
      </c>
      <c r="L95" s="418" t="s">
        <v>7313</v>
      </c>
      <c r="M95" s="21"/>
      <c r="N95" s="416" t="b">
        <f>IFALLTRUE(N96:N100)</f>
        <v>0</v>
      </c>
      <c r="O95" s="417"/>
      <c r="P95" s="417" t="str">
        <f>GET_MOB_HEAD(Q95)</f>
        <v/>
      </c>
      <c r="Q95" s="418" t="s">
        <v>7314</v>
      </c>
      <c r="R95" s="21"/>
      <c r="S95" s="416" t="b">
        <f>IFALLTRUE(S96:S100)</f>
        <v>0</v>
      </c>
      <c r="T95" s="417"/>
      <c r="U95" s="417" t="str">
        <f>GET_MOB_HEAD(V95)</f>
        <v/>
      </c>
      <c r="V95" s="418" t="s">
        <v>7315</v>
      </c>
      <c r="W95" s="21"/>
      <c r="X95" s="416" t="b">
        <f>IFALLTRUE(X96:X100)</f>
        <v>0</v>
      </c>
      <c r="Y95" s="417"/>
      <c r="Z95" s="417" t="str">
        <f>GET_MOB_HEAD(AA95)</f>
        <v/>
      </c>
      <c r="AA95" s="418" t="s">
        <v>7316</v>
      </c>
      <c r="AB95" s="21"/>
      <c r="AC95" s="416" t="b">
        <f>IFALLTRUE(AC96:AC100)</f>
        <v>0</v>
      </c>
      <c r="AD95" s="417"/>
      <c r="AE95" s="417" t="str">
        <f>GET_MOB_HEAD(AF95)</f>
        <v/>
      </c>
      <c r="AF95" s="418" t="s">
        <v>7317</v>
      </c>
      <c r="AG95" s="21"/>
      <c r="AH95" s="21"/>
      <c r="AI95" s="21"/>
      <c r="AJ95" s="21"/>
      <c r="AK95" s="21"/>
      <c r="AL95" s="21"/>
      <c r="AM95" s="21"/>
      <c r="AN95" s="21"/>
      <c r="AO95" s="21"/>
      <c r="AP95" s="21"/>
      <c r="AQ95" s="21"/>
      <c r="AR95" s="21"/>
      <c r="AS95" s="21"/>
      <c r="AT95" s="21"/>
      <c r="AU95" s="21"/>
      <c r="AV95" s="21"/>
      <c r="AW95" s="21"/>
      <c r="AX95" s="21"/>
      <c r="AY95" s="21"/>
      <c r="AZ95" s="21"/>
      <c r="BA95" s="21"/>
      <c r="BB95" s="21"/>
      <c r="BC95" s="21"/>
      <c r="BD95" s="21"/>
      <c r="BE95" s="21"/>
      <c r="BF95" s="21"/>
      <c r="BG95" s="21"/>
      <c r="BH95" s="21"/>
      <c r="BI95" s="21"/>
      <c r="BJ95" s="21"/>
      <c r="BK95" s="21"/>
      <c r="BL95" s="21"/>
      <c r="BM95" s="21"/>
      <c r="BN95" s="21"/>
      <c r="BO95" s="21"/>
      <c r="BP95" s="21"/>
      <c r="BQ95" s="21"/>
      <c r="BR95" s="21"/>
      <c r="BS95" s="21"/>
      <c r="BT95" s="21"/>
      <c r="BU95" s="21"/>
      <c r="BV95" s="21"/>
      <c r="BW95" s="21"/>
      <c r="BX95" s="21"/>
      <c r="BY95" s="21"/>
      <c r="BZ95" s="21"/>
      <c r="CA95" s="21"/>
      <c r="CB95" s="21"/>
      <c r="CC95" s="21"/>
      <c r="CD95" s="21"/>
      <c r="CE95" s="21"/>
      <c r="CF95" s="21"/>
      <c r="CG95" s="21"/>
      <c r="CH95" s="21"/>
      <c r="CI95" s="21"/>
      <c r="CJ95" s="21"/>
      <c r="CK95" s="21"/>
      <c r="CL95" s="21"/>
      <c r="CM95" s="21"/>
      <c r="CN95" s="21"/>
      <c r="CO95" s="21"/>
      <c r="CP95" s="21"/>
      <c r="CQ95" s="21"/>
      <c r="CR95" s="21"/>
      <c r="CS95" s="21"/>
      <c r="CT95" s="21"/>
      <c r="CU95" s="21"/>
      <c r="CV95" s="21"/>
      <c r="CW95" s="21"/>
      <c r="CX95" s="21"/>
      <c r="CY95" s="21"/>
      <c r="CZ95" s="21"/>
      <c r="DA95" s="21"/>
      <c r="DB95" s="21"/>
      <c r="DC95" s="21"/>
    </row>
    <row r="96">
      <c r="A96" s="21"/>
      <c r="B96" s="439"/>
      <c r="C96" s="21"/>
      <c r="D96" s="440" t="b">
        <f t="shared" ref="D96:D104" si="64">CHECK_MOB(G96,G$95)</f>
        <v>0</v>
      </c>
      <c r="E96" s="441" t="str">
        <f t="array" ref="E96">XLOOKUP(G96,Advancements!$I$2:$I164,Advancements!$C$2:$C164)</f>
        <v/>
      </c>
      <c r="F96" s="441" t="str">
        <f t="array" ref="F96">XLOOKUP(G96,Advancements!$I$2:$I164,Advancements!$H$2:$H164)</f>
        <v/>
      </c>
      <c r="G96" s="442" t="s">
        <v>2679</v>
      </c>
      <c r="H96" s="21"/>
      <c r="I96" s="440" t="b">
        <f t="shared" ref="I96:I104" si="65">CHECK_MOB(L96,L$95)</f>
        <v>0</v>
      </c>
      <c r="J96" s="441" t="str">
        <f t="array" ref="J96">XLOOKUP(L96,Advancements!$I$2:$I164,Advancements!$C$2:$C164)</f>
        <v/>
      </c>
      <c r="K96" s="441" t="str">
        <f t="array" ref="K96">XLOOKUP(L96,Advancements!$I$2:$I164,Advancements!$H$2:$H164)</f>
        <v/>
      </c>
      <c r="L96" s="442" t="s">
        <v>2679</v>
      </c>
      <c r="M96" s="21"/>
      <c r="N96" s="440" t="b">
        <f t="shared" ref="N96:N104" si="66">CHECK_MOB(Q96,Q$95)</f>
        <v>0</v>
      </c>
      <c r="O96" s="441" t="str">
        <f t="array" ref="O96">XLOOKUP(Q96,Advancements!$I$2:$I164,Advancements!$C$2:$C164)</f>
        <v/>
      </c>
      <c r="P96" s="441" t="str">
        <f t="array" ref="P96">XLOOKUP(Q96,Advancements!$I$2:$I164,Advancements!$H$2:$H164)</f>
        <v/>
      </c>
      <c r="Q96" s="442" t="s">
        <v>2679</v>
      </c>
      <c r="R96" s="21"/>
      <c r="S96" s="440" t="b">
        <f t="shared" ref="S96:S103" si="67">CHECK_MOB(V96,V$95)</f>
        <v>0</v>
      </c>
      <c r="T96" s="441" t="str">
        <f t="array" ref="T96">XLOOKUP(V96,Advancements!$I$2:$I164,Advancements!$C$2:$C164)</f>
        <v/>
      </c>
      <c r="U96" s="441" t="str">
        <f t="array" ref="U96">XLOOKUP(V96,Advancements!$I$2:$I164,Advancements!$H$2:$H164)</f>
        <v/>
      </c>
      <c r="V96" s="442" t="s">
        <v>3616</v>
      </c>
      <c r="W96" s="21"/>
      <c r="X96" s="440" t="b">
        <f t="shared" ref="X96:X104" si="68">CHECK_MOB(AA96,AA$95)</f>
        <v>0</v>
      </c>
      <c r="Y96" s="441" t="str">
        <f t="array" ref="Y96">XLOOKUP(AA96,Advancements!$I$2:$I164,Advancements!$C$2:$C164)</f>
        <v/>
      </c>
      <c r="Z96" s="441" t="str">
        <f t="array" ref="Z96">XLOOKUP(AA96,Advancements!$I$2:$I164,Advancements!$H$2:$H164)</f>
        <v/>
      </c>
      <c r="AA96" s="442" t="s">
        <v>2679</v>
      </c>
      <c r="AB96" s="21"/>
      <c r="AC96" s="440" t="b">
        <f t="shared" ref="AC96:AC103" si="69">CHECK_MOB(AF96,AF$95)</f>
        <v>0</v>
      </c>
      <c r="AD96" s="441" t="str">
        <f t="array" ref="AD96">XLOOKUP(AF96,Advancements!$I$2:$I164,Advancements!$C$2:$C164)</f>
        <v/>
      </c>
      <c r="AE96" s="441" t="str">
        <f t="array" ref="AE96">XLOOKUP(AF96,Advancements!$I$2:$I164,Advancements!$H$2:$H164)</f>
        <v/>
      </c>
      <c r="AF96" s="442" t="s">
        <v>3616</v>
      </c>
      <c r="AG96" s="21"/>
      <c r="AH96" s="21"/>
      <c r="AI96" s="21"/>
      <c r="AJ96" s="21"/>
      <c r="AK96" s="21"/>
      <c r="AL96" s="21"/>
      <c r="AM96" s="21"/>
      <c r="AN96" s="21"/>
      <c r="AO96" s="21"/>
      <c r="AP96" s="21"/>
      <c r="AQ96" s="21"/>
      <c r="AR96" s="21"/>
      <c r="AS96" s="21"/>
      <c r="AT96" s="21"/>
      <c r="AU96" s="21"/>
      <c r="AV96" s="21"/>
      <c r="AW96" s="21"/>
      <c r="AX96" s="21"/>
      <c r="AY96" s="21"/>
      <c r="AZ96" s="21"/>
      <c r="BA96" s="21"/>
      <c r="BB96" s="21"/>
      <c r="BC96" s="21"/>
      <c r="BD96" s="21"/>
      <c r="BE96" s="21"/>
      <c r="BF96" s="21"/>
      <c r="BG96" s="21"/>
      <c r="BH96" s="21"/>
      <c r="BI96" s="21"/>
      <c r="BJ96" s="21"/>
      <c r="BK96" s="21"/>
      <c r="BL96" s="21"/>
      <c r="BM96" s="21"/>
      <c r="BN96" s="21"/>
      <c r="BO96" s="21"/>
      <c r="BP96" s="21"/>
      <c r="BQ96" s="21"/>
      <c r="BR96" s="21"/>
      <c r="BS96" s="21"/>
      <c r="BT96" s="21"/>
      <c r="BU96" s="21"/>
      <c r="BV96" s="21"/>
      <c r="BW96" s="21"/>
      <c r="BX96" s="21"/>
      <c r="BY96" s="21"/>
      <c r="BZ96" s="21"/>
      <c r="CA96" s="21"/>
      <c r="CB96" s="21"/>
      <c r="CC96" s="21"/>
      <c r="CD96" s="21"/>
      <c r="CE96" s="21"/>
      <c r="CF96" s="21"/>
      <c r="CG96" s="21"/>
      <c r="CH96" s="21"/>
      <c r="CI96" s="21"/>
      <c r="CJ96" s="21"/>
      <c r="CK96" s="21"/>
      <c r="CL96" s="21"/>
      <c r="CM96" s="21"/>
      <c r="CN96" s="21"/>
      <c r="CO96" s="21"/>
      <c r="CP96" s="21"/>
      <c r="CQ96" s="21"/>
      <c r="CR96" s="21"/>
      <c r="CS96" s="21"/>
      <c r="CT96" s="21"/>
      <c r="CU96" s="21"/>
      <c r="CV96" s="21"/>
      <c r="CW96" s="21"/>
      <c r="CX96" s="21"/>
      <c r="CY96" s="21"/>
      <c r="CZ96" s="21"/>
      <c r="DA96" s="21"/>
      <c r="DB96" s="21"/>
      <c r="DC96" s="21"/>
    </row>
    <row r="97">
      <c r="A97" s="21"/>
      <c r="B97" s="439"/>
      <c r="C97" s="21"/>
      <c r="D97" s="460" t="b">
        <f t="shared" si="64"/>
        <v>0</v>
      </c>
      <c r="E97" s="461" t="str">
        <f t="array" ref="E97">XLOOKUP(G97,Advancements!$I$2:$I164,Advancements!$C$2:$C164)</f>
        <v/>
      </c>
      <c r="F97" s="461" t="str">
        <f t="array" ref="F97">XLOOKUP(G97,Advancements!$I$2:$I164,Advancements!$H$2:$H164)</f>
        <v/>
      </c>
      <c r="G97" s="462" t="s">
        <v>3616</v>
      </c>
      <c r="H97" s="21"/>
      <c r="I97" s="460" t="b">
        <f t="shared" si="65"/>
        <v>0</v>
      </c>
      <c r="J97" s="461" t="str">
        <f t="array" ref="J97">XLOOKUP(L97,Advancements!$I$2:$I164,Advancements!$C$2:$C164)</f>
        <v/>
      </c>
      <c r="K97" s="461" t="str">
        <f t="array" ref="K97">XLOOKUP(L97,Advancements!$I$2:$I164,Advancements!$H$2:$H164)</f>
        <v/>
      </c>
      <c r="L97" s="462" t="s">
        <v>3616</v>
      </c>
      <c r="M97" s="21"/>
      <c r="N97" s="460" t="b">
        <f t="shared" si="66"/>
        <v>0</v>
      </c>
      <c r="O97" s="461" t="str">
        <f t="array" ref="O97">XLOOKUP(Q97,Advancements!$I$2:$I164,Advancements!$C$2:$C164)</f>
        <v/>
      </c>
      <c r="P97" s="461" t="str">
        <f t="array" ref="P97">XLOOKUP(Q97,Advancements!$I$2:$I164,Advancements!$H$2:$H164)</f>
        <v/>
      </c>
      <c r="Q97" s="462" t="s">
        <v>3616</v>
      </c>
      <c r="R97" s="21"/>
      <c r="S97" s="460" t="b">
        <f t="shared" si="67"/>
        <v>0</v>
      </c>
      <c r="T97" s="461" t="str">
        <f t="array" ref="T97">XLOOKUP(V97,Advancements!$I$2:$I164,Advancements!$C$2:$C164)</f>
        <v/>
      </c>
      <c r="U97" s="461" t="str">
        <f t="array" ref="U97">XLOOKUP(V97,Advancements!$I$2:$I164,Advancements!$H$2:$H164)</f>
        <v/>
      </c>
      <c r="V97" s="462" t="s">
        <v>63</v>
      </c>
      <c r="W97" s="21"/>
      <c r="X97" s="460" t="b">
        <f t="shared" si="68"/>
        <v>0</v>
      </c>
      <c r="Y97" s="461" t="str">
        <f t="array" ref="Y97">XLOOKUP(AA97,Advancements!$I$2:$I164,Advancements!$C$2:$C164)</f>
        <v/>
      </c>
      <c r="Z97" s="461" t="str">
        <f t="array" ref="Z97">XLOOKUP(AA97,Advancements!$I$2:$I164,Advancements!$H$2:$H164)</f>
        <v/>
      </c>
      <c r="AA97" s="462" t="s">
        <v>3616</v>
      </c>
      <c r="AB97" s="21"/>
      <c r="AC97" s="460" t="b">
        <f t="shared" si="69"/>
        <v>0</v>
      </c>
      <c r="AD97" s="461" t="str">
        <f t="array" ref="AD97">XLOOKUP(AF97,Advancements!$I$2:$I164,Advancements!$C$2:$C164)</f>
        <v/>
      </c>
      <c r="AE97" s="461" t="str">
        <f t="array" ref="AE97">XLOOKUP(AF97,Advancements!$I$2:$I164,Advancements!$H$2:$H164)</f>
        <v/>
      </c>
      <c r="AF97" s="462" t="s">
        <v>63</v>
      </c>
      <c r="AG97" s="21"/>
      <c r="AH97" s="21"/>
      <c r="AI97" s="21"/>
      <c r="AJ97" s="21"/>
      <c r="AK97" s="21"/>
      <c r="AL97" s="21"/>
      <c r="AM97" s="21"/>
      <c r="AN97" s="21"/>
      <c r="AO97" s="21"/>
      <c r="AP97" s="21"/>
      <c r="AQ97" s="21"/>
      <c r="AR97" s="21"/>
      <c r="AS97" s="21"/>
      <c r="AT97" s="21"/>
      <c r="AU97" s="21"/>
      <c r="AV97" s="21"/>
      <c r="AW97" s="21"/>
      <c r="AX97" s="21"/>
      <c r="AY97" s="21"/>
      <c r="AZ97" s="21"/>
      <c r="BA97" s="21"/>
      <c r="BB97" s="21"/>
      <c r="BC97" s="21"/>
      <c r="BD97" s="21"/>
      <c r="BE97" s="21"/>
      <c r="BF97" s="21"/>
      <c r="BG97" s="21"/>
      <c r="BH97" s="21"/>
      <c r="BI97" s="21"/>
      <c r="BJ97" s="21"/>
      <c r="BK97" s="21"/>
      <c r="BL97" s="21"/>
      <c r="BM97" s="21"/>
      <c r="BN97" s="21"/>
      <c r="BO97" s="21"/>
      <c r="BP97" s="21"/>
      <c r="BQ97" s="21"/>
      <c r="BR97" s="21"/>
      <c r="BS97" s="21"/>
      <c r="BT97" s="21"/>
      <c r="BU97" s="21"/>
      <c r="BV97" s="21"/>
      <c r="BW97" s="21"/>
      <c r="BX97" s="21"/>
      <c r="BY97" s="21"/>
      <c r="BZ97" s="21"/>
      <c r="CA97" s="21"/>
      <c r="CB97" s="21"/>
      <c r="CC97" s="21"/>
      <c r="CD97" s="21"/>
      <c r="CE97" s="21"/>
      <c r="CF97" s="21"/>
      <c r="CG97" s="21"/>
      <c r="CH97" s="21"/>
      <c r="CI97" s="21"/>
      <c r="CJ97" s="21"/>
      <c r="CK97" s="21"/>
      <c r="CL97" s="21"/>
      <c r="CM97" s="21"/>
      <c r="CN97" s="21"/>
      <c r="CO97" s="21"/>
      <c r="CP97" s="21"/>
      <c r="CQ97" s="21"/>
      <c r="CR97" s="21"/>
      <c r="CS97" s="21"/>
      <c r="CT97" s="21"/>
      <c r="CU97" s="21"/>
      <c r="CV97" s="21"/>
      <c r="CW97" s="21"/>
      <c r="CX97" s="21"/>
      <c r="CY97" s="21"/>
      <c r="CZ97" s="21"/>
      <c r="DA97" s="21"/>
      <c r="DB97" s="21"/>
      <c r="DC97" s="21"/>
    </row>
    <row r="98">
      <c r="A98" s="21"/>
      <c r="B98" s="439"/>
      <c r="C98" s="21"/>
      <c r="D98" s="460" t="b">
        <f t="shared" si="64"/>
        <v>0</v>
      </c>
      <c r="E98" s="461" t="str">
        <f t="array" ref="E98">XLOOKUP(G98,Advancements!$I$2:$I164,Advancements!$C$2:$C164)</f>
        <v/>
      </c>
      <c r="F98" s="461" t="str">
        <f t="array" ref="F98">XLOOKUP(G98,Advancements!$I$2:$I164,Advancements!$H$2:$H164)</f>
        <v/>
      </c>
      <c r="G98" s="462" t="s">
        <v>63</v>
      </c>
      <c r="H98" s="21"/>
      <c r="I98" s="460" t="b">
        <f t="shared" si="65"/>
        <v>0</v>
      </c>
      <c r="J98" s="461" t="str">
        <f t="array" ref="J98">XLOOKUP(L98,Advancements!$I$2:$I164,Advancements!$C$2:$C164)</f>
        <v/>
      </c>
      <c r="K98" s="461" t="str">
        <f t="array" ref="K98">XLOOKUP(L98,Advancements!$I$2:$I164,Advancements!$H$2:$H164)</f>
        <v/>
      </c>
      <c r="L98" s="462" t="s">
        <v>63</v>
      </c>
      <c r="M98" s="21"/>
      <c r="N98" s="460" t="b">
        <f t="shared" si="66"/>
        <v>0</v>
      </c>
      <c r="O98" s="461" t="str">
        <f t="array" ref="O98">XLOOKUP(Q98,Advancements!$I$2:$I164,Advancements!$C$2:$C164)</f>
        <v/>
      </c>
      <c r="P98" s="461" t="str">
        <f t="array" ref="P98">XLOOKUP(Q98,Advancements!$I$2:$I164,Advancements!$H$2:$H164)</f>
        <v/>
      </c>
      <c r="Q98" s="462" t="s">
        <v>63</v>
      </c>
      <c r="R98" s="21"/>
      <c r="S98" s="460" t="b">
        <f t="shared" si="67"/>
        <v>0</v>
      </c>
      <c r="T98" s="461" t="str">
        <f t="array" ref="T98">XLOOKUP(V98,Advancements!$I$2:$I164,Advancements!$C$2:$C164)</f>
        <v/>
      </c>
      <c r="U98" s="461" t="str">
        <f t="array" ref="U98">XLOOKUP(V98,Advancements!$I$2:$I164,Advancements!$H$2:$H164)</f>
        <v/>
      </c>
      <c r="V98" s="462" t="s">
        <v>2738</v>
      </c>
      <c r="W98" s="21"/>
      <c r="X98" s="460" t="b">
        <f t="shared" si="68"/>
        <v>0</v>
      </c>
      <c r="Y98" s="461" t="str">
        <f t="array" ref="Y98">XLOOKUP(AA98,Advancements!$I$2:$I164,Advancements!$C$2:$C164)</f>
        <v/>
      </c>
      <c r="Z98" s="461" t="str">
        <f t="array" ref="Z98">XLOOKUP(AA98,Advancements!$I$2:$I164,Advancements!$H$2:$H164)</f>
        <v/>
      </c>
      <c r="AA98" s="462" t="s">
        <v>63</v>
      </c>
      <c r="AB98" s="21"/>
      <c r="AC98" s="460" t="b">
        <f t="shared" si="69"/>
        <v>0</v>
      </c>
      <c r="AD98" s="461" t="str">
        <f t="array" ref="AD98">XLOOKUP(AF98,Advancements!$I$2:$I164,Advancements!$C$2:$C164)</f>
        <v/>
      </c>
      <c r="AE98" s="461" t="str">
        <f t="array" ref="AE98">XLOOKUP(AF98,Advancements!$I$2:$I164,Advancements!$H$2:$H164)</f>
        <v/>
      </c>
      <c r="AF98" s="462" t="s">
        <v>2738</v>
      </c>
      <c r="AG98" s="21"/>
      <c r="AH98" s="21"/>
      <c r="AI98" s="21"/>
      <c r="AJ98" s="21"/>
      <c r="AK98" s="21"/>
      <c r="AL98" s="21"/>
      <c r="AM98" s="21"/>
      <c r="AN98" s="21"/>
      <c r="AO98" s="21"/>
      <c r="AP98" s="21"/>
      <c r="AQ98" s="21"/>
      <c r="AR98" s="21"/>
      <c r="AS98" s="21"/>
      <c r="AT98" s="21"/>
      <c r="AU98" s="21"/>
      <c r="AV98" s="21"/>
      <c r="AW98" s="21"/>
      <c r="AX98" s="21"/>
      <c r="AY98" s="21"/>
      <c r="AZ98" s="21"/>
      <c r="BA98" s="21"/>
      <c r="BB98" s="21"/>
      <c r="BC98" s="21"/>
      <c r="BD98" s="21"/>
      <c r="BE98" s="21"/>
      <c r="BF98" s="21"/>
      <c r="BG98" s="21"/>
      <c r="BH98" s="21"/>
      <c r="BI98" s="21"/>
      <c r="BJ98" s="21"/>
      <c r="BK98" s="21"/>
      <c r="BL98" s="21"/>
      <c r="BM98" s="21"/>
      <c r="BN98" s="21"/>
      <c r="BO98" s="21"/>
      <c r="BP98" s="21"/>
      <c r="BQ98" s="21"/>
      <c r="BR98" s="21"/>
      <c r="BS98" s="21"/>
      <c r="BT98" s="21"/>
      <c r="BU98" s="21"/>
      <c r="BV98" s="21"/>
      <c r="BW98" s="21"/>
      <c r="BX98" s="21"/>
      <c r="BY98" s="21"/>
      <c r="BZ98" s="21"/>
      <c r="CA98" s="21"/>
      <c r="CB98" s="21"/>
      <c r="CC98" s="21"/>
      <c r="CD98" s="21"/>
      <c r="CE98" s="21"/>
      <c r="CF98" s="21"/>
      <c r="CG98" s="21"/>
      <c r="CH98" s="21"/>
      <c r="CI98" s="21"/>
      <c r="CJ98" s="21"/>
      <c r="CK98" s="21"/>
      <c r="CL98" s="21"/>
      <c r="CM98" s="21"/>
      <c r="CN98" s="21"/>
      <c r="CO98" s="21"/>
      <c r="CP98" s="21"/>
      <c r="CQ98" s="21"/>
      <c r="CR98" s="21"/>
      <c r="CS98" s="21"/>
      <c r="CT98" s="21"/>
      <c r="CU98" s="21"/>
      <c r="CV98" s="21"/>
      <c r="CW98" s="21"/>
      <c r="CX98" s="21"/>
      <c r="CY98" s="21"/>
      <c r="CZ98" s="21"/>
      <c r="DA98" s="21"/>
      <c r="DB98" s="21"/>
      <c r="DC98" s="21"/>
    </row>
    <row r="99">
      <c r="A99" s="21"/>
      <c r="B99" s="439"/>
      <c r="C99" s="21"/>
      <c r="D99" s="460" t="b">
        <f t="shared" si="64"/>
        <v>0</v>
      </c>
      <c r="E99" s="461" t="str">
        <f t="array" ref="E99">XLOOKUP(G99,Advancements!$I$2:$I164,Advancements!$C$2:$C164)</f>
        <v/>
      </c>
      <c r="F99" s="461" t="str">
        <f t="array" ref="F99">XLOOKUP(G99,Advancements!$I$2:$I164,Advancements!$H$2:$H164)</f>
        <v/>
      </c>
      <c r="G99" s="462" t="s">
        <v>2738</v>
      </c>
      <c r="H99" s="21"/>
      <c r="I99" s="460" t="b">
        <f t="shared" si="65"/>
        <v>0</v>
      </c>
      <c r="J99" s="461" t="str">
        <f t="array" ref="J99">XLOOKUP(L99,Advancements!$I$2:$I164,Advancements!$C$2:$C164)</f>
        <v/>
      </c>
      <c r="K99" s="461" t="str">
        <f t="array" ref="K99">XLOOKUP(L99,Advancements!$I$2:$I164,Advancements!$H$2:$H164)</f>
        <v/>
      </c>
      <c r="L99" s="462" t="s">
        <v>2738</v>
      </c>
      <c r="M99" s="21"/>
      <c r="N99" s="460" t="b">
        <f t="shared" si="66"/>
        <v>0</v>
      </c>
      <c r="O99" s="461" t="str">
        <f t="array" ref="O99">XLOOKUP(Q99,Advancements!$I$2:$I164,Advancements!$C$2:$C164)</f>
        <v/>
      </c>
      <c r="P99" s="461" t="str">
        <f t="array" ref="P99">XLOOKUP(Q99,Advancements!$I$2:$I164,Advancements!$H$2:$H164)</f>
        <v/>
      </c>
      <c r="Q99" s="462" t="s">
        <v>2738</v>
      </c>
      <c r="R99" s="21"/>
      <c r="S99" s="460" t="b">
        <f t="shared" si="67"/>
        <v>0</v>
      </c>
      <c r="T99" s="461" t="str">
        <f t="array" ref="T99">XLOOKUP(V99,Advancements!$I$2:$I164,Advancements!$C$2:$C164)</f>
        <v/>
      </c>
      <c r="U99" s="461" t="str">
        <f t="array" ref="U99">XLOOKUP(V99,Advancements!$I$2:$I164,Advancements!$H$2:$H164)</f>
        <v/>
      </c>
      <c r="V99" s="462" t="s">
        <v>59</v>
      </c>
      <c r="W99" s="21"/>
      <c r="X99" s="460" t="b">
        <f t="shared" si="68"/>
        <v>0</v>
      </c>
      <c r="Y99" s="461" t="str">
        <f t="array" ref="Y99">XLOOKUP(AA99,Advancements!$I$2:$I164,Advancements!$C$2:$C164)</f>
        <v/>
      </c>
      <c r="Z99" s="461" t="str">
        <f t="array" ref="Z99">XLOOKUP(AA99,Advancements!$I$2:$I164,Advancements!$H$2:$H164)</f>
        <v/>
      </c>
      <c r="AA99" s="462" t="s">
        <v>2738</v>
      </c>
      <c r="AB99" s="21"/>
      <c r="AC99" s="460" t="b">
        <f t="shared" si="69"/>
        <v>0</v>
      </c>
      <c r="AD99" s="461" t="str">
        <f t="array" ref="AD99">XLOOKUP(AF99,Advancements!$I$2:$I164,Advancements!$C$2:$C164)</f>
        <v/>
      </c>
      <c r="AE99" s="461" t="str">
        <f t="array" ref="AE99">XLOOKUP(AF99,Advancements!$I$2:$I164,Advancements!$H$2:$H164)</f>
        <v/>
      </c>
      <c r="AF99" s="462" t="s">
        <v>59</v>
      </c>
      <c r="AG99" s="21"/>
      <c r="AH99" s="21"/>
      <c r="AI99" s="21"/>
      <c r="AJ99" s="21"/>
      <c r="AK99" s="21"/>
      <c r="AL99" s="21"/>
      <c r="AM99" s="21"/>
      <c r="AN99" s="21"/>
      <c r="AO99" s="21"/>
      <c r="AP99" s="21"/>
      <c r="AQ99" s="21"/>
      <c r="AR99" s="21"/>
      <c r="AS99" s="21"/>
      <c r="AT99" s="21"/>
      <c r="AU99" s="21"/>
      <c r="AV99" s="21"/>
      <c r="AW99" s="21"/>
      <c r="AX99" s="21"/>
      <c r="AY99" s="21"/>
      <c r="AZ99" s="21"/>
      <c r="BA99" s="21"/>
      <c r="BB99" s="21"/>
      <c r="BC99" s="21"/>
      <c r="BD99" s="21"/>
      <c r="BE99" s="21"/>
      <c r="BF99" s="21"/>
      <c r="BG99" s="21"/>
      <c r="BH99" s="21"/>
      <c r="BI99" s="21"/>
      <c r="BJ99" s="21"/>
      <c r="BK99" s="21"/>
      <c r="BL99" s="21"/>
      <c r="BM99" s="21"/>
      <c r="BN99" s="21"/>
      <c r="BO99" s="21"/>
      <c r="BP99" s="21"/>
      <c r="BQ99" s="21"/>
      <c r="BR99" s="21"/>
      <c r="BS99" s="21"/>
      <c r="BT99" s="21"/>
      <c r="BU99" s="21"/>
      <c r="BV99" s="21"/>
      <c r="BW99" s="21"/>
      <c r="BX99" s="21"/>
      <c r="BY99" s="21"/>
      <c r="BZ99" s="21"/>
      <c r="CA99" s="21"/>
      <c r="CB99" s="21"/>
      <c r="CC99" s="21"/>
      <c r="CD99" s="21"/>
      <c r="CE99" s="21"/>
      <c r="CF99" s="21"/>
      <c r="CG99" s="21"/>
      <c r="CH99" s="21"/>
      <c r="CI99" s="21"/>
      <c r="CJ99" s="21"/>
      <c r="CK99" s="21"/>
      <c r="CL99" s="21"/>
      <c r="CM99" s="21"/>
      <c r="CN99" s="21"/>
      <c r="CO99" s="21"/>
      <c r="CP99" s="21"/>
      <c r="CQ99" s="21"/>
      <c r="CR99" s="21"/>
      <c r="CS99" s="21"/>
      <c r="CT99" s="21"/>
      <c r="CU99" s="21"/>
      <c r="CV99" s="21"/>
      <c r="CW99" s="21"/>
      <c r="CX99" s="21"/>
      <c r="CY99" s="21"/>
      <c r="CZ99" s="21"/>
      <c r="DA99" s="21"/>
      <c r="DB99" s="21"/>
      <c r="DC99" s="21"/>
    </row>
    <row r="100">
      <c r="A100" s="21"/>
      <c r="B100" s="439"/>
      <c r="C100" s="21"/>
      <c r="D100" s="460" t="b">
        <f t="shared" si="64"/>
        <v>0</v>
      </c>
      <c r="E100" s="461" t="str">
        <f t="array" ref="E100">XLOOKUP(G100,Advancements!$I$2:$I164,Advancements!$C$2:$C164)</f>
        <v/>
      </c>
      <c r="F100" s="461" t="str">
        <f t="array" ref="F100">XLOOKUP(G100,Advancements!$I$2:$I164,Advancements!$H$2:$H164)</f>
        <v/>
      </c>
      <c r="G100" s="462" t="s">
        <v>59</v>
      </c>
      <c r="H100" s="21"/>
      <c r="I100" s="460" t="b">
        <f t="shared" si="65"/>
        <v>0</v>
      </c>
      <c r="J100" s="461" t="str">
        <f t="array" ref="J100">XLOOKUP(L100,Advancements!$I$2:$I164,Advancements!$C$2:$C164)</f>
        <v/>
      </c>
      <c r="K100" s="461" t="str">
        <f t="array" ref="K100">XLOOKUP(L100,Advancements!$I$2:$I164,Advancements!$H$2:$H164)</f>
        <v/>
      </c>
      <c r="L100" s="462" t="s">
        <v>59</v>
      </c>
      <c r="M100" s="21"/>
      <c r="N100" s="460" t="b">
        <f t="shared" si="66"/>
        <v>0</v>
      </c>
      <c r="O100" s="461" t="str">
        <f t="array" ref="O100">XLOOKUP(Q100,Advancements!$I$2:$I164,Advancements!$C$2:$C164)</f>
        <v/>
      </c>
      <c r="P100" s="461" t="str">
        <f t="array" ref="P100">XLOOKUP(Q100,Advancements!$I$2:$I164,Advancements!$H$2:$H164)</f>
        <v/>
      </c>
      <c r="Q100" s="462" t="s">
        <v>59</v>
      </c>
      <c r="R100" s="21"/>
      <c r="S100" s="460" t="b">
        <f t="shared" si="67"/>
        <v>0</v>
      </c>
      <c r="T100" s="461" t="str">
        <f t="array" ref="T100">XLOOKUP(V100,Advancements!$I$2:$I164,Advancements!$C$2:$C164)</f>
        <v/>
      </c>
      <c r="U100" s="461" t="str">
        <f t="array" ref="U100">XLOOKUP(V100,Advancements!$I$2:$I164,Advancements!$H$2:$H164)</f>
        <v/>
      </c>
      <c r="V100" s="462" t="s">
        <v>55</v>
      </c>
      <c r="W100" s="21"/>
      <c r="X100" s="460" t="b">
        <f t="shared" si="68"/>
        <v>0</v>
      </c>
      <c r="Y100" s="461" t="str">
        <f t="array" ref="Y100">XLOOKUP(AA100,Advancements!$I$2:$I164,Advancements!$C$2:$C164)</f>
        <v/>
      </c>
      <c r="Z100" s="461" t="str">
        <f t="array" ref="Z100">XLOOKUP(AA100,Advancements!$I$2:$I164,Advancements!$H$2:$H164)</f>
        <v/>
      </c>
      <c r="AA100" s="462" t="s">
        <v>59</v>
      </c>
      <c r="AB100" s="21"/>
      <c r="AC100" s="460" t="b">
        <f t="shared" si="69"/>
        <v>0</v>
      </c>
      <c r="AD100" s="461" t="str">
        <f t="array" ref="AD100">XLOOKUP(AF100,Advancements!$I$2:$I164,Advancements!$C$2:$C164)</f>
        <v/>
      </c>
      <c r="AE100" s="461" t="str">
        <f t="array" ref="AE100">XLOOKUP(AF100,Advancements!$I$2:$I164,Advancements!$H$2:$H164)</f>
        <v/>
      </c>
      <c r="AF100" s="462" t="s">
        <v>55</v>
      </c>
      <c r="AG100" s="21"/>
      <c r="AH100" s="21"/>
      <c r="AI100" s="21"/>
      <c r="AJ100" s="21"/>
      <c r="AK100" s="21"/>
      <c r="AL100" s="21"/>
      <c r="AM100" s="21"/>
      <c r="AN100" s="21"/>
      <c r="AO100" s="21"/>
      <c r="AP100" s="21"/>
      <c r="AQ100" s="21"/>
      <c r="AR100" s="21"/>
      <c r="AS100" s="21"/>
      <c r="AT100" s="21"/>
      <c r="AU100" s="21"/>
      <c r="AV100" s="21"/>
      <c r="AW100" s="21"/>
      <c r="AX100" s="21"/>
      <c r="AY100" s="21"/>
      <c r="AZ100" s="21"/>
      <c r="BA100" s="21"/>
      <c r="BB100" s="21"/>
      <c r="BC100" s="21"/>
      <c r="BD100" s="21"/>
      <c r="BE100" s="21"/>
      <c r="BF100" s="21"/>
      <c r="BG100" s="21"/>
      <c r="BH100" s="21"/>
      <c r="BI100" s="21"/>
      <c r="BJ100" s="21"/>
      <c r="BK100" s="21"/>
      <c r="BL100" s="21"/>
      <c r="BM100" s="21"/>
      <c r="BN100" s="21"/>
      <c r="BO100" s="21"/>
      <c r="BP100" s="21"/>
      <c r="BQ100" s="21"/>
      <c r="BR100" s="21"/>
      <c r="BS100" s="21"/>
      <c r="BT100" s="21"/>
      <c r="BU100" s="21"/>
      <c r="BV100" s="21"/>
      <c r="BW100" s="21"/>
      <c r="BX100" s="21"/>
      <c r="BY100" s="21"/>
      <c r="BZ100" s="21"/>
      <c r="CA100" s="21"/>
      <c r="CB100" s="21"/>
      <c r="CC100" s="21"/>
      <c r="CD100" s="21"/>
      <c r="CE100" s="21"/>
      <c r="CF100" s="21"/>
      <c r="CG100" s="21"/>
      <c r="CH100" s="21"/>
      <c r="CI100" s="21"/>
      <c r="CJ100" s="21"/>
      <c r="CK100" s="21"/>
      <c r="CL100" s="21"/>
      <c r="CM100" s="21"/>
      <c r="CN100" s="21"/>
      <c r="CO100" s="21"/>
      <c r="CP100" s="21"/>
      <c r="CQ100" s="21"/>
      <c r="CR100" s="21"/>
      <c r="CS100" s="21"/>
      <c r="CT100" s="21"/>
      <c r="CU100" s="21"/>
      <c r="CV100" s="21"/>
      <c r="CW100" s="21"/>
      <c r="CX100" s="21"/>
      <c r="CY100" s="21"/>
      <c r="CZ100" s="21"/>
      <c r="DA100" s="21"/>
      <c r="DB100" s="21"/>
      <c r="DC100" s="21"/>
    </row>
    <row r="101">
      <c r="A101" s="21"/>
      <c r="B101" s="439"/>
      <c r="C101" s="21"/>
      <c r="D101" s="460" t="b">
        <f t="shared" si="64"/>
        <v>0</v>
      </c>
      <c r="E101" s="461" t="str">
        <f t="array" ref="E101">XLOOKUP(G101,Advancements!$I$2:$I164,Advancements!$C$2:$C164)</f>
        <v/>
      </c>
      <c r="F101" s="461" t="str">
        <f t="array" ref="F101">XLOOKUP(G101,Advancements!$I$2:$I164,Advancements!$H$2:$H164)</f>
        <v/>
      </c>
      <c r="G101" s="462" t="s">
        <v>55</v>
      </c>
      <c r="H101" s="21"/>
      <c r="I101" s="460" t="b">
        <f t="shared" si="65"/>
        <v>0</v>
      </c>
      <c r="J101" s="461" t="str">
        <f t="array" ref="J101">XLOOKUP(L101,Advancements!$I$2:$I164,Advancements!$C$2:$C164)</f>
        <v/>
      </c>
      <c r="K101" s="461" t="str">
        <f t="array" ref="K101">XLOOKUP(L101,Advancements!$I$2:$I164,Advancements!$H$2:$H164)</f>
        <v/>
      </c>
      <c r="L101" s="462" t="s">
        <v>55</v>
      </c>
      <c r="M101" s="21"/>
      <c r="N101" s="460" t="b">
        <f t="shared" si="66"/>
        <v>0</v>
      </c>
      <c r="O101" s="461" t="str">
        <f t="array" ref="O101">XLOOKUP(Q101,Advancements!$I$2:$I164,Advancements!$C$2:$C164)</f>
        <v/>
      </c>
      <c r="P101" s="461" t="str">
        <f t="array" ref="P101">XLOOKUP(Q101,Advancements!$I$2:$I164,Advancements!$H$2:$H164)</f>
        <v/>
      </c>
      <c r="Q101" s="462" t="s">
        <v>55</v>
      </c>
      <c r="R101" s="21"/>
      <c r="S101" s="460" t="b">
        <f t="shared" si="67"/>
        <v>0</v>
      </c>
      <c r="T101" s="461" t="str">
        <f t="array" ref="T101">XLOOKUP(V101,Advancements!$I$2:$I164,Advancements!$C$2:$C164)</f>
        <v/>
      </c>
      <c r="U101" s="461" t="str">
        <f t="array" ref="U101">XLOOKUP(V101,Advancements!$I$2:$I164,Advancements!$H$2:$H164)</f>
        <v/>
      </c>
      <c r="V101" s="462" t="s">
        <v>67</v>
      </c>
      <c r="W101" s="21"/>
      <c r="X101" s="460" t="b">
        <f t="shared" si="68"/>
        <v>0</v>
      </c>
      <c r="Y101" s="461" t="str">
        <f t="array" ref="Y101">XLOOKUP(AA101,Advancements!$I$2:$I164,Advancements!$C$2:$C164)</f>
        <v/>
      </c>
      <c r="Z101" s="461" t="str">
        <f t="array" ref="Z101">XLOOKUP(AA101,Advancements!$I$2:$I164,Advancements!$H$2:$H164)</f>
        <v/>
      </c>
      <c r="AA101" s="462" t="s">
        <v>55</v>
      </c>
      <c r="AB101" s="21"/>
      <c r="AC101" s="460" t="b">
        <f t="shared" si="69"/>
        <v>0</v>
      </c>
      <c r="AD101" s="461" t="str">
        <f t="array" ref="AD101">XLOOKUP(AF101,Advancements!$I$2:$I164,Advancements!$C$2:$C164)</f>
        <v/>
      </c>
      <c r="AE101" s="461" t="str">
        <f t="array" ref="AE101">XLOOKUP(AF101,Advancements!$I$2:$I164,Advancements!$H$2:$H164)</f>
        <v/>
      </c>
      <c r="AF101" s="462" t="s">
        <v>67</v>
      </c>
      <c r="AG101" s="21"/>
      <c r="AH101" s="21"/>
      <c r="AI101" s="21"/>
      <c r="AJ101" s="21"/>
      <c r="AK101" s="21"/>
      <c r="AL101" s="21"/>
      <c r="AM101" s="21"/>
      <c r="AN101" s="21"/>
      <c r="AO101" s="21"/>
      <c r="AP101" s="21"/>
      <c r="AQ101" s="21"/>
      <c r="AR101" s="21"/>
      <c r="AS101" s="21"/>
      <c r="AT101" s="21"/>
      <c r="AU101" s="21"/>
      <c r="AV101" s="21"/>
      <c r="AW101" s="21"/>
      <c r="AX101" s="21"/>
      <c r="AY101" s="21"/>
      <c r="AZ101" s="21"/>
      <c r="BA101" s="21"/>
      <c r="BB101" s="21"/>
      <c r="BC101" s="21"/>
      <c r="BD101" s="21"/>
      <c r="BE101" s="21"/>
      <c r="BF101" s="21"/>
      <c r="BG101" s="21"/>
      <c r="BH101" s="21"/>
      <c r="BI101" s="21"/>
      <c r="BJ101" s="21"/>
      <c r="BK101" s="21"/>
      <c r="BL101" s="21"/>
      <c r="BM101" s="21"/>
      <c r="BN101" s="21"/>
      <c r="BO101" s="21"/>
      <c r="BP101" s="21"/>
      <c r="BQ101" s="21"/>
      <c r="BR101" s="21"/>
      <c r="BS101" s="21"/>
      <c r="BT101" s="21"/>
      <c r="BU101" s="21"/>
      <c r="BV101" s="21"/>
      <c r="BW101" s="21"/>
      <c r="BX101" s="21"/>
      <c r="BY101" s="21"/>
      <c r="BZ101" s="21"/>
      <c r="CA101" s="21"/>
      <c r="CB101" s="21"/>
      <c r="CC101" s="21"/>
      <c r="CD101" s="21"/>
      <c r="CE101" s="21"/>
      <c r="CF101" s="21"/>
      <c r="CG101" s="21"/>
      <c r="CH101" s="21"/>
      <c r="CI101" s="21"/>
      <c r="CJ101" s="21"/>
      <c r="CK101" s="21"/>
      <c r="CL101" s="21"/>
      <c r="CM101" s="21"/>
      <c r="CN101" s="21"/>
      <c r="CO101" s="21"/>
      <c r="CP101" s="21"/>
      <c r="CQ101" s="21"/>
      <c r="CR101" s="21"/>
      <c r="CS101" s="21"/>
      <c r="CT101" s="21"/>
      <c r="CU101" s="21"/>
      <c r="CV101" s="21"/>
      <c r="CW101" s="21"/>
      <c r="CX101" s="21"/>
      <c r="CY101" s="21"/>
      <c r="CZ101" s="21"/>
      <c r="DA101" s="21"/>
      <c r="DB101" s="21"/>
      <c r="DC101" s="21"/>
    </row>
    <row r="102">
      <c r="A102" s="21"/>
      <c r="B102" s="439"/>
      <c r="C102" s="21"/>
      <c r="D102" s="460" t="b">
        <f t="shared" si="64"/>
        <v>0</v>
      </c>
      <c r="E102" s="461" t="str">
        <f t="array" ref="E102">XLOOKUP(G102,Advancements!$I$2:$I164,Advancements!$C$2:$C164)</f>
        <v/>
      </c>
      <c r="F102" s="461" t="str">
        <f t="array" ref="F102">XLOOKUP(G102,Advancements!$I$2:$I164,Advancements!$H$2:$H164)</f>
        <v/>
      </c>
      <c r="G102" s="462" t="s">
        <v>67</v>
      </c>
      <c r="H102" s="21"/>
      <c r="I102" s="460" t="b">
        <f t="shared" si="65"/>
        <v>0</v>
      </c>
      <c r="J102" s="461" t="str">
        <f t="array" ref="J102">XLOOKUP(L102,Advancements!$I$2:$I164,Advancements!$C$2:$C164)</f>
        <v/>
      </c>
      <c r="K102" s="461" t="str">
        <f t="array" ref="K102">XLOOKUP(L102,Advancements!$I$2:$I164,Advancements!$H$2:$H164)</f>
        <v/>
      </c>
      <c r="L102" s="462" t="s">
        <v>67</v>
      </c>
      <c r="M102" s="21"/>
      <c r="N102" s="460" t="b">
        <f t="shared" si="66"/>
        <v>0</v>
      </c>
      <c r="O102" s="461" t="str">
        <f t="array" ref="O102">XLOOKUP(Q102,Advancements!$I$2:$I164,Advancements!$C$2:$C164)</f>
        <v/>
      </c>
      <c r="P102" s="461" t="str">
        <f t="array" ref="P102">XLOOKUP(Q102,Advancements!$I$2:$I164,Advancements!$H$2:$H164)</f>
        <v/>
      </c>
      <c r="Q102" s="462" t="s">
        <v>67</v>
      </c>
      <c r="R102" s="21"/>
      <c r="S102" s="460" t="b">
        <f t="shared" si="67"/>
        <v>0</v>
      </c>
      <c r="T102" s="461" t="str">
        <f t="array" ref="T102">XLOOKUP(V102,Advancements!$I$2:$I164,Advancements!$C$2:$C164)</f>
        <v/>
      </c>
      <c r="U102" s="461" t="str">
        <f t="array" ref="U102">XLOOKUP(V102,Advancements!$I$2:$I164,Advancements!$H$2:$H164)</f>
        <v/>
      </c>
      <c r="V102" s="462" t="s">
        <v>36</v>
      </c>
      <c r="W102" s="21"/>
      <c r="X102" s="460" t="b">
        <f t="shared" si="68"/>
        <v>0</v>
      </c>
      <c r="Y102" s="461" t="str">
        <f t="array" ref="Y102">XLOOKUP(AA102,Advancements!$I$2:$I164,Advancements!$C$2:$C164)</f>
        <v/>
      </c>
      <c r="Z102" s="461" t="str">
        <f t="array" ref="Z102">XLOOKUP(AA102,Advancements!$I$2:$I164,Advancements!$H$2:$H164)</f>
        <v/>
      </c>
      <c r="AA102" s="462" t="s">
        <v>67</v>
      </c>
      <c r="AB102" s="21"/>
      <c r="AC102" s="460" t="b">
        <f t="shared" si="69"/>
        <v>0</v>
      </c>
      <c r="AD102" s="461" t="str">
        <f t="array" ref="AD102">XLOOKUP(AF102,Advancements!$I$2:$I164,Advancements!$C$2:$C164)</f>
        <v/>
      </c>
      <c r="AE102" s="461" t="str">
        <f t="array" ref="AE102">XLOOKUP(AF102,Advancements!$I$2:$I164,Advancements!$H$2:$H164)</f>
        <v/>
      </c>
      <c r="AF102" s="462" t="s">
        <v>36</v>
      </c>
      <c r="AG102" s="21"/>
      <c r="AH102" s="21"/>
      <c r="AI102" s="21"/>
      <c r="AJ102" s="21"/>
      <c r="AK102" s="21"/>
      <c r="AL102" s="21"/>
      <c r="AM102" s="21"/>
      <c r="AN102" s="21"/>
      <c r="AO102" s="21"/>
      <c r="AP102" s="21"/>
      <c r="AQ102" s="21"/>
      <c r="AR102" s="21"/>
      <c r="AS102" s="21"/>
      <c r="AT102" s="21"/>
      <c r="AU102" s="21"/>
      <c r="AV102" s="21"/>
      <c r="AW102" s="21"/>
      <c r="AX102" s="21"/>
      <c r="AY102" s="21"/>
      <c r="AZ102" s="21"/>
      <c r="BA102" s="21"/>
      <c r="BB102" s="21"/>
      <c r="BC102" s="21"/>
      <c r="BD102" s="21"/>
      <c r="BE102" s="21"/>
      <c r="BF102" s="21"/>
      <c r="BG102" s="21"/>
      <c r="BH102" s="21"/>
      <c r="BI102" s="21"/>
      <c r="BJ102" s="21"/>
      <c r="BK102" s="21"/>
      <c r="BL102" s="21"/>
      <c r="BM102" s="21"/>
      <c r="BN102" s="21"/>
      <c r="BO102" s="21"/>
      <c r="BP102" s="21"/>
      <c r="BQ102" s="21"/>
      <c r="BR102" s="21"/>
      <c r="BS102" s="21"/>
      <c r="BT102" s="21"/>
      <c r="BU102" s="21"/>
      <c r="BV102" s="21"/>
      <c r="BW102" s="21"/>
      <c r="BX102" s="21"/>
      <c r="BY102" s="21"/>
      <c r="BZ102" s="21"/>
      <c r="CA102" s="21"/>
      <c r="CB102" s="21"/>
      <c r="CC102" s="21"/>
      <c r="CD102" s="21"/>
      <c r="CE102" s="21"/>
      <c r="CF102" s="21"/>
      <c r="CG102" s="21"/>
      <c r="CH102" s="21"/>
      <c r="CI102" s="21"/>
      <c r="CJ102" s="21"/>
      <c r="CK102" s="21"/>
      <c r="CL102" s="21"/>
      <c r="CM102" s="21"/>
      <c r="CN102" s="21"/>
      <c r="CO102" s="21"/>
      <c r="CP102" s="21"/>
      <c r="CQ102" s="21"/>
      <c r="CR102" s="21"/>
      <c r="CS102" s="21"/>
      <c r="CT102" s="21"/>
      <c r="CU102" s="21"/>
      <c r="CV102" s="21"/>
      <c r="CW102" s="21"/>
      <c r="CX102" s="21"/>
      <c r="CY102" s="21"/>
      <c r="CZ102" s="21"/>
      <c r="DA102" s="21"/>
      <c r="DB102" s="21"/>
      <c r="DC102" s="21"/>
    </row>
    <row r="103">
      <c r="A103" s="21"/>
      <c r="B103" s="439"/>
      <c r="C103" s="21"/>
      <c r="D103" s="460" t="b">
        <f t="shared" si="64"/>
        <v>0</v>
      </c>
      <c r="E103" s="461" t="str">
        <f t="array" ref="E103">XLOOKUP(G103,Advancements!$I$2:$I164,Advancements!$C$2:$C164)</f>
        <v/>
      </c>
      <c r="F103" s="461" t="str">
        <f t="array" ref="F103">XLOOKUP(G103,Advancements!$I$2:$I164,Advancements!$H$2:$H164)</f>
        <v/>
      </c>
      <c r="G103" s="462" t="s">
        <v>36</v>
      </c>
      <c r="H103" s="21"/>
      <c r="I103" s="460" t="b">
        <f t="shared" si="65"/>
        <v>0</v>
      </c>
      <c r="J103" s="461" t="str">
        <f t="array" ref="J103">XLOOKUP(L103,Advancements!$I$2:$I164,Advancements!$C$2:$C164)</f>
        <v/>
      </c>
      <c r="K103" s="461" t="str">
        <f t="array" ref="K103">XLOOKUP(L103,Advancements!$I$2:$I164,Advancements!$H$2:$H164)</f>
        <v/>
      </c>
      <c r="L103" s="462" t="s">
        <v>36</v>
      </c>
      <c r="M103" s="21"/>
      <c r="N103" s="460" t="b">
        <f t="shared" si="66"/>
        <v>0</v>
      </c>
      <c r="O103" s="461" t="str">
        <f t="array" ref="O103">XLOOKUP(Q103,Advancements!$I$2:$I164,Advancements!$C$2:$C164)</f>
        <v/>
      </c>
      <c r="P103" s="461" t="str">
        <f t="array" ref="P103">XLOOKUP(Q103,Advancements!$I$2:$I164,Advancements!$H$2:$H164)</f>
        <v/>
      </c>
      <c r="Q103" s="462" t="s">
        <v>36</v>
      </c>
      <c r="R103" s="21"/>
      <c r="S103" s="469" t="b">
        <f t="shared" si="67"/>
        <v>0</v>
      </c>
      <c r="T103" s="464" t="str">
        <f t="array" ref="T103">XLOOKUP(V103,Advancements!$I$2:$I164,Advancements!$C$2:$C164)</f>
        <v/>
      </c>
      <c r="U103" s="464" t="str">
        <f t="array" ref="U103">XLOOKUP(V103,Advancements!$I$2:$I164,Advancements!$H$2:$H164)</f>
        <v/>
      </c>
      <c r="V103" s="465" t="s">
        <v>4846</v>
      </c>
      <c r="W103" s="21"/>
      <c r="X103" s="460" t="b">
        <f t="shared" si="68"/>
        <v>0</v>
      </c>
      <c r="Y103" s="461" t="str">
        <f t="array" ref="Y103">XLOOKUP(AA103,Advancements!$I$2:$I164,Advancements!$C$2:$C164)</f>
        <v/>
      </c>
      <c r="Z103" s="461" t="str">
        <f t="array" ref="Z103">XLOOKUP(AA103,Advancements!$I$2:$I164,Advancements!$H$2:$H164)</f>
        <v/>
      </c>
      <c r="AA103" s="462" t="s">
        <v>36</v>
      </c>
      <c r="AB103" s="21"/>
      <c r="AC103" s="469" t="b">
        <f t="shared" si="69"/>
        <v>0</v>
      </c>
      <c r="AD103" s="464" t="str">
        <f t="array" ref="AD103">XLOOKUP(AF103,Advancements!$I$2:$I164,Advancements!$C$2:$C164)</f>
        <v/>
      </c>
      <c r="AE103" s="464" t="str">
        <f t="array" ref="AE103">XLOOKUP(AF103,Advancements!$I$2:$I164,Advancements!$H$2:$H164)</f>
        <v/>
      </c>
      <c r="AF103" s="465" t="s">
        <v>4846</v>
      </c>
      <c r="AG103" s="21"/>
      <c r="AH103" s="21"/>
      <c r="AI103" s="21"/>
      <c r="AJ103" s="21"/>
      <c r="AK103" s="21"/>
      <c r="AL103" s="21"/>
      <c r="AM103" s="21"/>
      <c r="AN103" s="21"/>
      <c r="AO103" s="21"/>
      <c r="AP103" s="21"/>
      <c r="AQ103" s="21"/>
      <c r="AR103" s="21"/>
      <c r="AS103" s="21"/>
      <c r="AT103" s="21"/>
      <c r="AU103" s="21"/>
      <c r="AV103" s="21"/>
      <c r="AW103" s="21"/>
      <c r="AX103" s="21"/>
      <c r="AY103" s="21"/>
      <c r="AZ103" s="21"/>
      <c r="BA103" s="21"/>
      <c r="BB103" s="21"/>
      <c r="BC103" s="21"/>
      <c r="BD103" s="21"/>
      <c r="BE103" s="21"/>
      <c r="BF103" s="21"/>
      <c r="BG103" s="21"/>
      <c r="BH103" s="21"/>
      <c r="BI103" s="21"/>
      <c r="BJ103" s="21"/>
      <c r="BK103" s="21"/>
      <c r="BL103" s="21"/>
      <c r="BM103" s="21"/>
      <c r="BN103" s="21"/>
      <c r="BO103" s="21"/>
      <c r="BP103" s="21"/>
      <c r="BQ103" s="21"/>
      <c r="BR103" s="21"/>
      <c r="BS103" s="21"/>
      <c r="BT103" s="21"/>
      <c r="BU103" s="21"/>
      <c r="BV103" s="21"/>
      <c r="BW103" s="21"/>
      <c r="BX103" s="21"/>
      <c r="BY103" s="21"/>
      <c r="BZ103" s="21"/>
      <c r="CA103" s="21"/>
      <c r="CB103" s="21"/>
      <c r="CC103" s="21"/>
      <c r="CD103" s="21"/>
      <c r="CE103" s="21"/>
      <c r="CF103" s="21"/>
      <c r="CG103" s="21"/>
      <c r="CH103" s="21"/>
      <c r="CI103" s="21"/>
      <c r="CJ103" s="21"/>
      <c r="CK103" s="21"/>
      <c r="CL103" s="21"/>
      <c r="CM103" s="21"/>
      <c r="CN103" s="21"/>
      <c r="CO103" s="21"/>
      <c r="CP103" s="21"/>
      <c r="CQ103" s="21"/>
      <c r="CR103" s="21"/>
      <c r="CS103" s="21"/>
      <c r="CT103" s="21"/>
      <c r="CU103" s="21"/>
      <c r="CV103" s="21"/>
      <c r="CW103" s="21"/>
      <c r="CX103" s="21"/>
      <c r="CY103" s="21"/>
      <c r="CZ103" s="21"/>
      <c r="DA103" s="21"/>
      <c r="DB103" s="21"/>
      <c r="DC103" s="21"/>
    </row>
    <row r="104">
      <c r="A104" s="21"/>
      <c r="B104" s="468"/>
      <c r="C104" s="21"/>
      <c r="D104" s="469" t="b">
        <f t="shared" si="64"/>
        <v>0</v>
      </c>
      <c r="E104" s="464" t="str">
        <f t="array" ref="E104">XLOOKUP(G104,Advancements!$I$2:$I164,Advancements!$C$2:$C164)</f>
        <v/>
      </c>
      <c r="F104" s="464" t="str">
        <f t="array" ref="F104">XLOOKUP(G104,Advancements!$I$2:$I164,Advancements!$H$2:$H164)</f>
        <v/>
      </c>
      <c r="G104" s="465" t="s">
        <v>4846</v>
      </c>
      <c r="H104" s="21"/>
      <c r="I104" s="469" t="b">
        <f t="shared" si="65"/>
        <v>0</v>
      </c>
      <c r="J104" s="464" t="str">
        <f t="array" ref="J104">XLOOKUP(L104,Advancements!$I$2:$I164,Advancements!$C$2:$C164)</f>
        <v/>
      </c>
      <c r="K104" s="464" t="str">
        <f t="array" ref="K104">XLOOKUP(L104,Advancements!$I$2:$I164,Advancements!$H$2:$H164)</f>
        <v/>
      </c>
      <c r="L104" s="465" t="s">
        <v>4846</v>
      </c>
      <c r="M104" s="21"/>
      <c r="N104" s="469" t="b">
        <f t="shared" si="66"/>
        <v>0</v>
      </c>
      <c r="O104" s="464" t="str">
        <f t="array" ref="O104">XLOOKUP(Q104,Advancements!$I$2:$I164,Advancements!$C$2:$C164)</f>
        <v/>
      </c>
      <c r="P104" s="464" t="str">
        <f t="array" ref="P104">XLOOKUP(Q104,Advancements!$I$2:$I164,Advancements!$H$2:$H164)</f>
        <v/>
      </c>
      <c r="Q104" s="465" t="s">
        <v>4846</v>
      </c>
      <c r="R104" s="21"/>
      <c r="S104" s="21"/>
      <c r="T104" s="21"/>
      <c r="U104" s="21"/>
      <c r="V104" s="21"/>
      <c r="W104" s="21"/>
      <c r="X104" s="469" t="b">
        <f t="shared" si="68"/>
        <v>0</v>
      </c>
      <c r="Y104" s="464" t="str">
        <f t="array" ref="Y104">XLOOKUP(AA104,Advancements!$I$2:$I164,Advancements!$C$2:$C164)</f>
        <v/>
      </c>
      <c r="Z104" s="464" t="str">
        <f t="array" ref="Z104">XLOOKUP(AA104,Advancements!$I$2:$I164,Advancements!$H$2:$H164)</f>
        <v/>
      </c>
      <c r="AA104" s="465" t="s">
        <v>4846</v>
      </c>
      <c r="AB104" s="21"/>
      <c r="AC104" s="21"/>
      <c r="AD104" s="21"/>
      <c r="AE104" s="21"/>
      <c r="AF104" s="21"/>
      <c r="AG104" s="21"/>
      <c r="AH104" s="21"/>
      <c r="AI104" s="21"/>
      <c r="AJ104" s="21"/>
      <c r="AK104" s="21"/>
      <c r="AL104" s="21"/>
      <c r="AM104" s="21"/>
      <c r="AN104" s="21"/>
      <c r="AO104" s="21"/>
      <c r="AP104" s="21"/>
      <c r="AQ104" s="21"/>
      <c r="AR104" s="21"/>
      <c r="AS104" s="21"/>
      <c r="AT104" s="21"/>
      <c r="AU104" s="21"/>
      <c r="AV104" s="21"/>
      <c r="AW104" s="21"/>
      <c r="AX104" s="21"/>
      <c r="AY104" s="21"/>
      <c r="AZ104" s="21"/>
      <c r="BA104" s="21"/>
      <c r="BB104" s="21"/>
      <c r="BC104" s="21"/>
      <c r="BD104" s="21"/>
      <c r="BE104" s="21"/>
      <c r="BF104" s="21"/>
      <c r="BG104" s="21"/>
      <c r="BH104" s="21"/>
      <c r="BI104" s="21"/>
      <c r="BJ104" s="21"/>
      <c r="BK104" s="21"/>
      <c r="BL104" s="21"/>
      <c r="BM104" s="21"/>
      <c r="BN104" s="21"/>
      <c r="BO104" s="21"/>
      <c r="BP104" s="21"/>
      <c r="BQ104" s="21"/>
      <c r="BR104" s="21"/>
      <c r="BS104" s="21"/>
      <c r="BT104" s="21"/>
      <c r="BU104" s="21"/>
      <c r="BV104" s="21"/>
      <c r="BW104" s="21"/>
      <c r="BX104" s="21"/>
      <c r="BY104" s="21"/>
      <c r="BZ104" s="21"/>
      <c r="CA104" s="21"/>
      <c r="CB104" s="21"/>
      <c r="CC104" s="21"/>
      <c r="CD104" s="21"/>
      <c r="CE104" s="21"/>
      <c r="CF104" s="21"/>
      <c r="CG104" s="21"/>
      <c r="CH104" s="21"/>
      <c r="CI104" s="21"/>
      <c r="CJ104" s="21"/>
      <c r="CK104" s="21"/>
      <c r="CL104" s="21"/>
      <c r="CM104" s="21"/>
      <c r="CN104" s="21"/>
      <c r="CO104" s="21"/>
      <c r="CP104" s="21"/>
      <c r="CQ104" s="21"/>
      <c r="CR104" s="21"/>
      <c r="CS104" s="21"/>
      <c r="CT104" s="21"/>
      <c r="CU104" s="21"/>
      <c r="CV104" s="21"/>
      <c r="CW104" s="21"/>
      <c r="CX104" s="21"/>
      <c r="CY104" s="21"/>
      <c r="CZ104" s="21"/>
      <c r="DA104" s="21"/>
      <c r="DB104" s="21"/>
      <c r="DC104" s="21"/>
    </row>
    <row r="105">
      <c r="A105" s="21"/>
      <c r="B105" s="21"/>
      <c r="C105" s="21"/>
      <c r="D105" s="21"/>
      <c r="E105" s="21"/>
      <c r="F105" s="21"/>
      <c r="G105" s="21"/>
      <c r="H105" s="21"/>
      <c r="I105" s="21"/>
      <c r="J105" s="21"/>
      <c r="K105" s="21"/>
      <c r="L105" s="21"/>
      <c r="M105" s="21"/>
      <c r="N105" s="21"/>
      <c r="O105" s="21"/>
      <c r="P105" s="21"/>
      <c r="Q105" s="21"/>
      <c r="R105" s="21"/>
      <c r="S105" s="21"/>
      <c r="T105" s="21"/>
      <c r="U105" s="21"/>
      <c r="V105" s="21"/>
      <c r="W105" s="21"/>
      <c r="X105" s="21"/>
      <c r="Y105" s="21"/>
      <c r="Z105" s="21"/>
      <c r="AA105" s="21"/>
      <c r="AB105" s="21"/>
      <c r="AC105" s="21"/>
      <c r="AD105" s="21"/>
      <c r="AE105" s="21"/>
      <c r="AF105" s="21"/>
      <c r="AG105" s="21"/>
      <c r="AH105" s="21"/>
      <c r="AI105" s="21"/>
      <c r="AJ105" s="21"/>
      <c r="AK105" s="21"/>
      <c r="AL105" s="21"/>
      <c r="AM105" s="21"/>
      <c r="AN105" s="21"/>
      <c r="AO105" s="21"/>
      <c r="AP105" s="21"/>
      <c r="AQ105" s="21"/>
      <c r="AR105" s="21"/>
      <c r="AS105" s="21"/>
      <c r="AT105" s="21"/>
      <c r="AU105" s="21"/>
      <c r="AV105" s="21"/>
      <c r="AW105" s="21"/>
      <c r="AX105" s="21"/>
      <c r="AY105" s="21"/>
      <c r="AZ105" s="21"/>
      <c r="BA105" s="21"/>
      <c r="BB105" s="21"/>
      <c r="BC105" s="21"/>
      <c r="BD105" s="21"/>
      <c r="BE105" s="21"/>
      <c r="BF105" s="21"/>
      <c r="BG105" s="21"/>
      <c r="BH105" s="21"/>
      <c r="BI105" s="21"/>
      <c r="BJ105" s="21"/>
      <c r="BK105" s="21"/>
      <c r="BL105" s="21"/>
      <c r="BM105" s="21"/>
      <c r="BN105" s="21"/>
      <c r="BO105" s="21"/>
      <c r="BP105" s="21"/>
      <c r="BQ105" s="21"/>
      <c r="BR105" s="21"/>
      <c r="BS105" s="21"/>
      <c r="BT105" s="21"/>
      <c r="BU105" s="21"/>
      <c r="BV105" s="21"/>
      <c r="BW105" s="21"/>
      <c r="BX105" s="21"/>
      <c r="BY105" s="21"/>
      <c r="BZ105" s="21"/>
      <c r="CA105" s="21"/>
      <c r="CB105" s="21"/>
      <c r="CC105" s="21"/>
      <c r="CD105" s="21"/>
      <c r="CE105" s="21"/>
      <c r="CF105" s="21"/>
      <c r="CG105" s="21"/>
      <c r="CH105" s="21"/>
      <c r="CI105" s="21"/>
      <c r="CJ105" s="21"/>
      <c r="CK105" s="21"/>
      <c r="CL105" s="21"/>
      <c r="CM105" s="21"/>
      <c r="CN105" s="21"/>
      <c r="CO105" s="21"/>
      <c r="CP105" s="21"/>
      <c r="CQ105" s="21"/>
      <c r="CR105" s="21"/>
      <c r="CS105" s="21"/>
      <c r="CT105" s="21"/>
      <c r="CU105" s="21"/>
      <c r="CV105" s="21"/>
      <c r="CW105" s="21"/>
      <c r="CX105" s="21"/>
      <c r="CY105" s="21"/>
      <c r="CZ105" s="21"/>
      <c r="DA105" s="21"/>
      <c r="DB105" s="21"/>
      <c r="DC105" s="21"/>
    </row>
    <row r="106">
      <c r="A106" s="21"/>
      <c r="B106" s="473" t="s">
        <v>4036</v>
      </c>
      <c r="C106" s="21"/>
      <c r="D106" s="474" t="b">
        <f>IFALLTRUE(D107:D111)</f>
        <v>0</v>
      </c>
      <c r="E106" s="475"/>
      <c r="F106" s="475" t="str">
        <f>GET_MOB_HEAD(G106)</f>
        <v/>
      </c>
      <c r="G106" s="476" t="s">
        <v>7318</v>
      </c>
      <c r="H106" s="21"/>
      <c r="I106" s="474" t="b">
        <f>IFALLTRUE(I107:I111)</f>
        <v>0</v>
      </c>
      <c r="J106" s="475"/>
      <c r="K106" s="475" t="str">
        <f>GET_MOB_HEAD(L106)</f>
        <v/>
      </c>
      <c r="L106" s="476" t="s">
        <v>7319</v>
      </c>
      <c r="M106" s="21"/>
      <c r="N106" s="474" t="b">
        <f>IFALLTRUE(N107:N111)</f>
        <v>0</v>
      </c>
      <c r="O106" s="475"/>
      <c r="P106" s="475" t="str">
        <f>GET_MOB_HEAD(Q106)</f>
        <v/>
      </c>
      <c r="Q106" s="476" t="s">
        <v>7320</v>
      </c>
      <c r="R106" s="21"/>
      <c r="S106" s="474" t="b">
        <f>IFALLTRUE(S107:S111)</f>
        <v>0</v>
      </c>
      <c r="T106" s="475"/>
      <c r="U106" s="475" t="str">
        <f>GET_MOB_HEAD(V106)</f>
        <v/>
      </c>
      <c r="V106" s="476" t="s">
        <v>7321</v>
      </c>
      <c r="W106" s="21"/>
      <c r="X106" s="474" t="b">
        <f>IFALLTRUE(X107:X111)</f>
        <v>0</v>
      </c>
      <c r="Y106" s="475"/>
      <c r="Z106" s="475" t="str">
        <f>GET_MOB_HEAD(AA106)</f>
        <v/>
      </c>
      <c r="AA106" s="476" t="s">
        <v>7322</v>
      </c>
      <c r="AB106" s="21"/>
      <c r="AC106" s="474" t="b">
        <f>IFALLTRUE(AC107:AC111)</f>
        <v>0</v>
      </c>
      <c r="AD106" s="475"/>
      <c r="AE106" s="475" t="str">
        <f>GET_MOB_HEAD(AF106)</f>
        <v/>
      </c>
      <c r="AF106" s="476" t="s">
        <v>7323</v>
      </c>
      <c r="AG106" s="21"/>
      <c r="AH106" s="21"/>
      <c r="AI106" s="21"/>
      <c r="AJ106" s="21"/>
      <c r="AK106" s="21"/>
      <c r="AL106" s="21"/>
      <c r="AM106" s="21"/>
      <c r="AN106" s="21"/>
      <c r="AO106" s="21"/>
      <c r="AP106" s="21"/>
      <c r="AQ106" s="21"/>
      <c r="AR106" s="21"/>
      <c r="AS106" s="21"/>
      <c r="AT106" s="21"/>
      <c r="AU106" s="21"/>
      <c r="AV106" s="21"/>
      <c r="AW106" s="21"/>
      <c r="AX106" s="21"/>
      <c r="AY106" s="21"/>
      <c r="AZ106" s="21"/>
      <c r="BA106" s="21"/>
      <c r="BB106" s="21"/>
      <c r="BC106" s="21"/>
      <c r="BD106" s="21"/>
      <c r="BE106" s="21"/>
      <c r="BF106" s="21"/>
      <c r="BG106" s="21"/>
      <c r="BH106" s="21"/>
      <c r="BI106" s="21"/>
      <c r="BJ106" s="21"/>
      <c r="BK106" s="21"/>
      <c r="BL106" s="21"/>
      <c r="BM106" s="21"/>
      <c r="BN106" s="21"/>
      <c r="BO106" s="21"/>
      <c r="BP106" s="21"/>
      <c r="BQ106" s="21"/>
      <c r="BR106" s="21"/>
      <c r="BS106" s="21"/>
      <c r="BT106" s="21"/>
      <c r="BU106" s="21"/>
      <c r="BV106" s="21"/>
      <c r="BW106" s="21"/>
      <c r="BX106" s="21"/>
      <c r="BY106" s="21"/>
      <c r="BZ106" s="21"/>
      <c r="CA106" s="21"/>
      <c r="CB106" s="21"/>
      <c r="CC106" s="21"/>
      <c r="CD106" s="21"/>
      <c r="CE106" s="21"/>
      <c r="CF106" s="21"/>
      <c r="CG106" s="21"/>
      <c r="CH106" s="21"/>
      <c r="CI106" s="21"/>
      <c r="CJ106" s="21"/>
      <c r="CK106" s="21"/>
      <c r="CL106" s="21"/>
      <c r="CM106" s="21"/>
      <c r="CN106" s="21"/>
      <c r="CO106" s="21"/>
      <c r="CP106" s="21"/>
      <c r="CQ106" s="21"/>
      <c r="CR106" s="21"/>
      <c r="CS106" s="21"/>
      <c r="CT106" s="21"/>
      <c r="CU106" s="21"/>
      <c r="CV106" s="21"/>
      <c r="CW106" s="21"/>
      <c r="CX106" s="21"/>
      <c r="CY106" s="21"/>
      <c r="CZ106" s="21"/>
      <c r="DA106" s="21"/>
      <c r="DB106" s="21"/>
      <c r="DC106" s="21"/>
    </row>
    <row r="107">
      <c r="A107" s="21"/>
      <c r="B107" s="439"/>
      <c r="C107" s="21"/>
      <c r="D107" s="477" t="b">
        <f t="shared" ref="D107:D116" si="70">CHECK_MOB(G107,G$106)</f>
        <v>0</v>
      </c>
      <c r="E107" s="478" t="str">
        <f t="array" ref="E107">XLOOKUP(G107,Advancements!$I$2:$I164,Advancements!$C$2:$C164)</f>
        <v/>
      </c>
      <c r="F107" s="478" t="str">
        <f t="array" ref="F107">XLOOKUP(G107,Advancements!$I$2:$I164,Advancements!$H$2:$H164)</f>
        <v/>
      </c>
      <c r="G107" s="479" t="s">
        <v>2679</v>
      </c>
      <c r="H107" s="21"/>
      <c r="I107" s="477" t="b">
        <f t="shared" ref="I107:I116" si="71">CHECK_MOB(L107,L$106)</f>
        <v>0</v>
      </c>
      <c r="J107" s="478" t="str">
        <f t="array" ref="J107">XLOOKUP(L107,Advancements!$I$2:$I164,Advancements!$C$2:$C164)</f>
        <v/>
      </c>
      <c r="K107" s="478" t="str">
        <f t="array" ref="K107">XLOOKUP(L107,Advancements!$I$2:$I164,Advancements!$H$2:$H164)</f>
        <v/>
      </c>
      <c r="L107" s="479" t="s">
        <v>2679</v>
      </c>
      <c r="M107" s="21"/>
      <c r="N107" s="477" t="b">
        <f t="shared" ref="N107:N119" si="72">CHECK_MOB(Q107,Q$106)</f>
        <v>0</v>
      </c>
      <c r="O107" s="478" t="str">
        <f t="array" ref="O107">XLOOKUP(Q107,Advancements!$I$2:$I164,Advancements!$C$2:$C164)</f>
        <v/>
      </c>
      <c r="P107" s="478" t="str">
        <f t="array" ref="P107">XLOOKUP(Q107,Advancements!$I$2:$I164,Advancements!$H$2:$H164)</f>
        <v/>
      </c>
      <c r="Q107" s="479" t="s">
        <v>2679</v>
      </c>
      <c r="R107" s="21"/>
      <c r="S107" s="477" t="b">
        <f t="shared" ref="S107:S117" si="73">CHECK_MOB(V107,V$106)</f>
        <v>0</v>
      </c>
      <c r="T107" s="478" t="str">
        <f t="array" ref="T107">XLOOKUP(V107,Advancements!$I$2:$I164,Advancements!$C$2:$C164)</f>
        <v/>
      </c>
      <c r="U107" s="478" t="str">
        <f t="array" ref="U107">XLOOKUP(V107,Advancements!$I$2:$I164,Advancements!$H$2:$H164)</f>
        <v/>
      </c>
      <c r="V107" s="479" t="s">
        <v>2679</v>
      </c>
      <c r="W107" s="21"/>
      <c r="X107" s="477" t="b">
        <f t="shared" ref="X107:X116" si="74">CHECK_MOB(AA107,AA$106)</f>
        <v>0</v>
      </c>
      <c r="Y107" s="478" t="str">
        <f t="array" ref="Y107">XLOOKUP(AA107,Advancements!$I$2:$I164,Advancements!$C$2:$C164)</f>
        <v/>
      </c>
      <c r="Z107" s="478" t="str">
        <f t="array" ref="Z107">XLOOKUP(AA107,Advancements!$I$2:$I164,Advancements!$H$2:$H164)</f>
        <v/>
      </c>
      <c r="AA107" s="479" t="s">
        <v>2679</v>
      </c>
      <c r="AB107" s="21"/>
      <c r="AC107" s="477" t="b">
        <f t="shared" ref="AC107:AC116" si="75">CHECK_MOB(AF107,AF$106)</f>
        <v>0</v>
      </c>
      <c r="AD107" s="478" t="str">
        <f t="array" ref="AD107">XLOOKUP(AF107,Advancements!$I$2:$I164,Advancements!$C$2:$C164)</f>
        <v/>
      </c>
      <c r="AE107" s="478" t="str">
        <f t="array" ref="AE107">XLOOKUP(AF107,Advancements!$I$2:$I164,Advancements!$H$2:$H164)</f>
        <v/>
      </c>
      <c r="AF107" s="479" t="s">
        <v>2679</v>
      </c>
      <c r="AG107" s="21"/>
      <c r="AH107" s="21"/>
      <c r="AI107" s="21"/>
      <c r="AJ107" s="21"/>
      <c r="AK107" s="21"/>
      <c r="AL107" s="21"/>
      <c r="AM107" s="21"/>
      <c r="AN107" s="21"/>
      <c r="AO107" s="21"/>
      <c r="AP107" s="21"/>
      <c r="AQ107" s="21"/>
      <c r="AR107" s="21"/>
      <c r="AS107" s="21"/>
      <c r="AT107" s="21"/>
      <c r="AU107" s="21"/>
      <c r="AV107" s="21"/>
      <c r="AW107" s="21"/>
      <c r="AX107" s="21"/>
      <c r="AY107" s="21"/>
      <c r="AZ107" s="21"/>
      <c r="BA107" s="21"/>
      <c r="BB107" s="21"/>
      <c r="BC107" s="21"/>
      <c r="BD107" s="21"/>
      <c r="BE107" s="21"/>
      <c r="BF107" s="21"/>
      <c r="BG107" s="21"/>
      <c r="BH107" s="21"/>
      <c r="BI107" s="21"/>
      <c r="BJ107" s="21"/>
      <c r="BK107" s="21"/>
      <c r="BL107" s="21"/>
      <c r="BM107" s="21"/>
      <c r="BN107" s="21"/>
      <c r="BO107" s="21"/>
      <c r="BP107" s="21"/>
      <c r="BQ107" s="21"/>
      <c r="BR107" s="21"/>
      <c r="BS107" s="21"/>
      <c r="BT107" s="21"/>
      <c r="BU107" s="21"/>
      <c r="BV107" s="21"/>
      <c r="BW107" s="21"/>
      <c r="BX107" s="21"/>
      <c r="BY107" s="21"/>
      <c r="BZ107" s="21"/>
      <c r="CA107" s="21"/>
      <c r="CB107" s="21"/>
      <c r="CC107" s="21"/>
      <c r="CD107" s="21"/>
      <c r="CE107" s="21"/>
      <c r="CF107" s="21"/>
      <c r="CG107" s="21"/>
      <c r="CH107" s="21"/>
      <c r="CI107" s="21"/>
      <c r="CJ107" s="21"/>
      <c r="CK107" s="21"/>
      <c r="CL107" s="21"/>
      <c r="CM107" s="21"/>
      <c r="CN107" s="21"/>
      <c r="CO107" s="21"/>
      <c r="CP107" s="21"/>
      <c r="CQ107" s="21"/>
      <c r="CR107" s="21"/>
      <c r="CS107" s="21"/>
      <c r="CT107" s="21"/>
      <c r="CU107" s="21"/>
      <c r="CV107" s="21"/>
      <c r="CW107" s="21"/>
      <c r="CX107" s="21"/>
      <c r="CY107" s="21"/>
      <c r="CZ107" s="21"/>
      <c r="DA107" s="21"/>
      <c r="DB107" s="21"/>
      <c r="DC107" s="21"/>
    </row>
    <row r="108">
      <c r="A108" s="21"/>
      <c r="B108" s="439"/>
      <c r="C108" s="21"/>
      <c r="D108" s="480" t="b">
        <f t="shared" si="70"/>
        <v>0</v>
      </c>
      <c r="E108" s="481" t="str">
        <f t="array" ref="E108">XLOOKUP(G108,Advancements!$I$2:$I164,Advancements!$C$2:$C164)</f>
        <v/>
      </c>
      <c r="F108" s="481" t="str">
        <f t="array" ref="F108">XLOOKUP(G108,Advancements!$I$2:$I164,Advancements!$H$2:$H164)</f>
        <v/>
      </c>
      <c r="G108" s="482" t="s">
        <v>3616</v>
      </c>
      <c r="H108" s="21"/>
      <c r="I108" s="480" t="b">
        <f t="shared" si="71"/>
        <v>0</v>
      </c>
      <c r="J108" s="481" t="str">
        <f t="array" ref="J108">XLOOKUP(L108,Advancements!$I$2:$I164,Advancements!$C$2:$C164)</f>
        <v/>
      </c>
      <c r="K108" s="481" t="str">
        <f t="array" ref="K108">XLOOKUP(L108,Advancements!$I$2:$I164,Advancements!$H$2:$H164)</f>
        <v/>
      </c>
      <c r="L108" s="482" t="s">
        <v>3616</v>
      </c>
      <c r="M108" s="21"/>
      <c r="N108" s="480" t="b">
        <f t="shared" si="72"/>
        <v>0</v>
      </c>
      <c r="O108" s="481" t="str">
        <f t="array" ref="O108">XLOOKUP(Q108,Advancements!$I$2:$I164,Advancements!$C$2:$C164)</f>
        <v/>
      </c>
      <c r="P108" s="481" t="str">
        <f t="array" ref="P108">XLOOKUP(Q108,Advancements!$I$2:$I164,Advancements!$H$2:$H164)</f>
        <v/>
      </c>
      <c r="Q108" s="482" t="s">
        <v>3616</v>
      </c>
      <c r="R108" s="21"/>
      <c r="S108" s="480" t="b">
        <f t="shared" si="73"/>
        <v>0</v>
      </c>
      <c r="T108" s="481" t="str">
        <f t="array" ref="T108">XLOOKUP(V108,Advancements!$I$2:$I164,Advancements!$C$2:$C164)</f>
        <v/>
      </c>
      <c r="U108" s="481" t="str">
        <f t="array" ref="U108">XLOOKUP(V108,Advancements!$I$2:$I164,Advancements!$H$2:$H164)</f>
        <v/>
      </c>
      <c r="V108" s="482" t="s">
        <v>3616</v>
      </c>
      <c r="W108" s="21"/>
      <c r="X108" s="480" t="b">
        <f t="shared" si="74"/>
        <v>0</v>
      </c>
      <c r="Y108" s="481" t="str">
        <f t="array" ref="Y108">XLOOKUP(AA108,Advancements!$I$2:$I164,Advancements!$C$2:$C164)</f>
        <v/>
      </c>
      <c r="Z108" s="481" t="str">
        <f t="array" ref="Z108">XLOOKUP(AA108,Advancements!$I$2:$I164,Advancements!$H$2:$H164)</f>
        <v/>
      </c>
      <c r="AA108" s="482" t="s">
        <v>3616</v>
      </c>
      <c r="AB108" s="21"/>
      <c r="AC108" s="480" t="b">
        <f t="shared" si="75"/>
        <v>0</v>
      </c>
      <c r="AD108" s="481" t="str">
        <f t="array" ref="AD108">XLOOKUP(AF108,Advancements!$I$2:$I164,Advancements!$C$2:$C164)</f>
        <v/>
      </c>
      <c r="AE108" s="481" t="str">
        <f t="array" ref="AE108">XLOOKUP(AF108,Advancements!$I$2:$I164,Advancements!$H$2:$H164)</f>
        <v/>
      </c>
      <c r="AF108" s="482" t="s">
        <v>3616</v>
      </c>
      <c r="AG108" s="21"/>
      <c r="AH108" s="21"/>
      <c r="AI108" s="21"/>
      <c r="AJ108" s="21"/>
      <c r="AK108" s="21"/>
      <c r="AL108" s="21"/>
      <c r="AM108" s="21"/>
      <c r="AN108" s="21"/>
      <c r="AO108" s="21"/>
      <c r="AP108" s="21"/>
      <c r="AQ108" s="21"/>
      <c r="AR108" s="21"/>
      <c r="AS108" s="21"/>
      <c r="AT108" s="21"/>
      <c r="AU108" s="21"/>
      <c r="AV108" s="21"/>
      <c r="AW108" s="21"/>
      <c r="AX108" s="21"/>
      <c r="AY108" s="21"/>
      <c r="AZ108" s="21"/>
      <c r="BA108" s="21"/>
      <c r="BB108" s="21"/>
      <c r="BC108" s="21"/>
      <c r="BD108" s="21"/>
      <c r="BE108" s="21"/>
      <c r="BF108" s="21"/>
      <c r="BG108" s="21"/>
      <c r="BH108" s="21"/>
      <c r="BI108" s="21"/>
      <c r="BJ108" s="21"/>
      <c r="BK108" s="21"/>
      <c r="BL108" s="21"/>
      <c r="BM108" s="21"/>
      <c r="BN108" s="21"/>
      <c r="BO108" s="21"/>
      <c r="BP108" s="21"/>
      <c r="BQ108" s="21"/>
      <c r="BR108" s="21"/>
      <c r="BS108" s="21"/>
      <c r="BT108" s="21"/>
      <c r="BU108" s="21"/>
      <c r="BV108" s="21"/>
      <c r="BW108" s="21"/>
      <c r="BX108" s="21"/>
      <c r="BY108" s="21"/>
      <c r="BZ108" s="21"/>
      <c r="CA108" s="21"/>
      <c r="CB108" s="21"/>
      <c r="CC108" s="21"/>
      <c r="CD108" s="21"/>
      <c r="CE108" s="21"/>
      <c r="CF108" s="21"/>
      <c r="CG108" s="21"/>
      <c r="CH108" s="21"/>
      <c r="CI108" s="21"/>
      <c r="CJ108" s="21"/>
      <c r="CK108" s="21"/>
      <c r="CL108" s="21"/>
      <c r="CM108" s="21"/>
      <c r="CN108" s="21"/>
      <c r="CO108" s="21"/>
      <c r="CP108" s="21"/>
      <c r="CQ108" s="21"/>
      <c r="CR108" s="21"/>
      <c r="CS108" s="21"/>
      <c r="CT108" s="21"/>
      <c r="CU108" s="21"/>
      <c r="CV108" s="21"/>
      <c r="CW108" s="21"/>
      <c r="CX108" s="21"/>
      <c r="CY108" s="21"/>
      <c r="CZ108" s="21"/>
      <c r="DA108" s="21"/>
      <c r="DB108" s="21"/>
      <c r="DC108" s="21"/>
    </row>
    <row r="109">
      <c r="A109" s="21"/>
      <c r="B109" s="439"/>
      <c r="C109" s="21"/>
      <c r="D109" s="480" t="b">
        <f t="shared" si="70"/>
        <v>0</v>
      </c>
      <c r="E109" s="481" t="str">
        <f t="array" ref="E109">XLOOKUP(G109,Advancements!$I$2:$I164,Advancements!$C$2:$C164)</f>
        <v/>
      </c>
      <c r="F109" s="481" t="str">
        <f t="array" ref="F109">XLOOKUP(G109,Advancements!$I$2:$I164,Advancements!$H$2:$H164)</f>
        <v/>
      </c>
      <c r="G109" s="482" t="s">
        <v>63</v>
      </c>
      <c r="H109" s="21"/>
      <c r="I109" s="480" t="b">
        <f t="shared" si="71"/>
        <v>0</v>
      </c>
      <c r="J109" s="481" t="str">
        <f t="array" ref="J109">XLOOKUP(L109,Advancements!$I$2:$I164,Advancements!$C$2:$C164)</f>
        <v/>
      </c>
      <c r="K109" s="481" t="str">
        <f t="array" ref="K109">XLOOKUP(L109,Advancements!$I$2:$I164,Advancements!$H$2:$H164)</f>
        <v/>
      </c>
      <c r="L109" s="482" t="s">
        <v>63</v>
      </c>
      <c r="M109" s="21"/>
      <c r="N109" s="480" t="b">
        <f t="shared" si="72"/>
        <v>0</v>
      </c>
      <c r="O109" s="481" t="str">
        <f t="array" ref="O109">XLOOKUP(Q109,Advancements!$I$2:$I164,Advancements!$C$2:$C164)</f>
        <v/>
      </c>
      <c r="P109" s="481" t="str">
        <f t="array" ref="P109">XLOOKUP(Q109,Advancements!$I$2:$I164,Advancements!$H$2:$H164)</f>
        <v/>
      </c>
      <c r="Q109" s="482" t="s">
        <v>63</v>
      </c>
      <c r="R109" s="21"/>
      <c r="S109" s="480" t="b">
        <f t="shared" si="73"/>
        <v>0</v>
      </c>
      <c r="T109" s="481" t="str">
        <f t="array" ref="T109">XLOOKUP(V109,Advancements!$I$2:$I164,Advancements!$C$2:$C164)</f>
        <v/>
      </c>
      <c r="U109" s="481" t="str">
        <f t="array" ref="U109">XLOOKUP(V109,Advancements!$I$2:$I164,Advancements!$H$2:$H164)</f>
        <v/>
      </c>
      <c r="V109" s="482" t="s">
        <v>63</v>
      </c>
      <c r="W109" s="21"/>
      <c r="X109" s="480" t="b">
        <f t="shared" si="74"/>
        <v>0</v>
      </c>
      <c r="Y109" s="481" t="str">
        <f t="array" ref="Y109">XLOOKUP(AA109,Advancements!$I$2:$I164,Advancements!$C$2:$C164)</f>
        <v/>
      </c>
      <c r="Z109" s="481" t="str">
        <f t="array" ref="Z109">XLOOKUP(AA109,Advancements!$I$2:$I164,Advancements!$H$2:$H164)</f>
        <v/>
      </c>
      <c r="AA109" s="482" t="s">
        <v>63</v>
      </c>
      <c r="AB109" s="21"/>
      <c r="AC109" s="480" t="b">
        <f t="shared" si="75"/>
        <v>0</v>
      </c>
      <c r="AD109" s="481" t="str">
        <f t="array" ref="AD109">XLOOKUP(AF109,Advancements!$I$2:$I164,Advancements!$C$2:$C164)</f>
        <v/>
      </c>
      <c r="AE109" s="481" t="str">
        <f t="array" ref="AE109">XLOOKUP(AF109,Advancements!$I$2:$I164,Advancements!$H$2:$H164)</f>
        <v/>
      </c>
      <c r="AF109" s="482" t="s">
        <v>63</v>
      </c>
      <c r="AG109" s="21"/>
      <c r="AH109" s="21"/>
      <c r="AI109" s="21"/>
      <c r="AJ109" s="21"/>
      <c r="AK109" s="21"/>
      <c r="AL109" s="21"/>
      <c r="AM109" s="21"/>
      <c r="AN109" s="21"/>
      <c r="AO109" s="21"/>
      <c r="AP109" s="21"/>
      <c r="AQ109" s="21"/>
      <c r="AR109" s="21"/>
      <c r="AS109" s="21"/>
      <c r="AT109" s="21"/>
      <c r="AU109" s="21"/>
      <c r="AV109" s="21"/>
      <c r="AW109" s="21"/>
      <c r="AX109" s="21"/>
      <c r="AY109" s="21"/>
      <c r="AZ109" s="21"/>
      <c r="BA109" s="21"/>
      <c r="BB109" s="21"/>
      <c r="BC109" s="21"/>
      <c r="BD109" s="21"/>
      <c r="BE109" s="21"/>
      <c r="BF109" s="21"/>
      <c r="BG109" s="21"/>
      <c r="BH109" s="21"/>
      <c r="BI109" s="21"/>
      <c r="BJ109" s="21"/>
      <c r="BK109" s="21"/>
      <c r="BL109" s="21"/>
      <c r="BM109" s="21"/>
      <c r="BN109" s="21"/>
      <c r="BO109" s="21"/>
      <c r="BP109" s="21"/>
      <c r="BQ109" s="21"/>
      <c r="BR109" s="21"/>
      <c r="BS109" s="21"/>
      <c r="BT109" s="21"/>
      <c r="BU109" s="21"/>
      <c r="BV109" s="21"/>
      <c r="BW109" s="21"/>
      <c r="BX109" s="21"/>
      <c r="BY109" s="21"/>
      <c r="BZ109" s="21"/>
      <c r="CA109" s="21"/>
      <c r="CB109" s="21"/>
      <c r="CC109" s="21"/>
      <c r="CD109" s="21"/>
      <c r="CE109" s="21"/>
      <c r="CF109" s="21"/>
      <c r="CG109" s="21"/>
      <c r="CH109" s="21"/>
      <c r="CI109" s="21"/>
      <c r="CJ109" s="21"/>
      <c r="CK109" s="21"/>
      <c r="CL109" s="21"/>
      <c r="CM109" s="21"/>
      <c r="CN109" s="21"/>
      <c r="CO109" s="21"/>
      <c r="CP109" s="21"/>
      <c r="CQ109" s="21"/>
      <c r="CR109" s="21"/>
      <c r="CS109" s="21"/>
      <c r="CT109" s="21"/>
      <c r="CU109" s="21"/>
      <c r="CV109" s="21"/>
      <c r="CW109" s="21"/>
      <c r="CX109" s="21"/>
      <c r="CY109" s="21"/>
      <c r="CZ109" s="21"/>
      <c r="DA109" s="21"/>
      <c r="DB109" s="21"/>
      <c r="DC109" s="21"/>
    </row>
    <row r="110">
      <c r="A110" s="21"/>
      <c r="B110" s="439"/>
      <c r="C110" s="21"/>
      <c r="D110" s="480" t="b">
        <f t="shared" si="70"/>
        <v>0</v>
      </c>
      <c r="E110" s="481" t="str">
        <f t="array" ref="E110">XLOOKUP(G110,Advancements!$I$2:$I164,Advancements!$C$2:$C164)</f>
        <v/>
      </c>
      <c r="F110" s="481" t="str">
        <f t="array" ref="F110">XLOOKUP(G110,Advancements!$I$2:$I164,Advancements!$H$2:$H164)</f>
        <v/>
      </c>
      <c r="G110" s="482" t="s">
        <v>2711</v>
      </c>
      <c r="H110" s="21"/>
      <c r="I110" s="480" t="b">
        <f t="shared" si="71"/>
        <v>0</v>
      </c>
      <c r="J110" s="481" t="str">
        <f t="array" ref="J110">XLOOKUP(L110,Advancements!$I$2:$I164,Advancements!$C$2:$C164)</f>
        <v/>
      </c>
      <c r="K110" s="481" t="str">
        <f t="array" ref="K110">XLOOKUP(L110,Advancements!$I$2:$I164,Advancements!$H$2:$H164)</f>
        <v/>
      </c>
      <c r="L110" s="482" t="s">
        <v>2711</v>
      </c>
      <c r="M110" s="21"/>
      <c r="N110" s="480" t="b">
        <f t="shared" si="72"/>
        <v>0</v>
      </c>
      <c r="O110" s="481" t="str">
        <f t="array" ref="O110">XLOOKUP(Q110,Advancements!$I$2:$I164,Advancements!$C$2:$C164)</f>
        <v/>
      </c>
      <c r="P110" s="481" t="str">
        <f t="array" ref="P110">XLOOKUP(Q110,Advancements!$I$2:$I164,Advancements!$H$2:$H164)</f>
        <v/>
      </c>
      <c r="Q110" s="482" t="s">
        <v>2711</v>
      </c>
      <c r="R110" s="21"/>
      <c r="S110" s="480" t="b">
        <f t="shared" si="73"/>
        <v>0</v>
      </c>
      <c r="T110" s="481" t="str">
        <f t="array" ref="T110">XLOOKUP(V110,Advancements!$I$2:$I164,Advancements!$C$2:$C164)</f>
        <v/>
      </c>
      <c r="U110" s="481" t="str">
        <f t="array" ref="U110">XLOOKUP(V110,Advancements!$I$2:$I164,Advancements!$H$2:$H164)</f>
        <v/>
      </c>
      <c r="V110" s="482" t="s">
        <v>2711</v>
      </c>
      <c r="W110" s="21"/>
      <c r="X110" s="480" t="b">
        <f t="shared" si="74"/>
        <v>0</v>
      </c>
      <c r="Y110" s="481" t="str">
        <f t="array" ref="Y110">XLOOKUP(AA110,Advancements!$I$2:$I164,Advancements!$C$2:$C164)</f>
        <v/>
      </c>
      <c r="Z110" s="481" t="str">
        <f t="array" ref="Z110">XLOOKUP(AA110,Advancements!$I$2:$I164,Advancements!$H$2:$H164)</f>
        <v/>
      </c>
      <c r="AA110" s="482" t="s">
        <v>2711</v>
      </c>
      <c r="AB110" s="21"/>
      <c r="AC110" s="480" t="b">
        <f t="shared" si="75"/>
        <v>0</v>
      </c>
      <c r="AD110" s="481" t="str">
        <f t="array" ref="AD110">XLOOKUP(AF110,Advancements!$I$2:$I164,Advancements!$C$2:$C164)</f>
        <v/>
      </c>
      <c r="AE110" s="481" t="str">
        <f t="array" ref="AE110">XLOOKUP(AF110,Advancements!$I$2:$I164,Advancements!$H$2:$H164)</f>
        <v/>
      </c>
      <c r="AF110" s="482" t="s">
        <v>2711</v>
      </c>
      <c r="AG110" s="21"/>
      <c r="AH110" s="21"/>
      <c r="AI110" s="21"/>
      <c r="AJ110" s="21"/>
      <c r="AK110" s="21"/>
      <c r="AL110" s="21"/>
      <c r="AM110" s="21"/>
      <c r="AN110" s="21"/>
      <c r="AO110" s="21"/>
      <c r="AP110" s="21"/>
      <c r="AQ110" s="21"/>
      <c r="AR110" s="21"/>
      <c r="AS110" s="21"/>
      <c r="AT110" s="21"/>
      <c r="AU110" s="21"/>
      <c r="AV110" s="21"/>
      <c r="AW110" s="21"/>
      <c r="AX110" s="21"/>
      <c r="AY110" s="21"/>
      <c r="AZ110" s="21"/>
      <c r="BA110" s="21"/>
      <c r="BB110" s="21"/>
      <c r="BC110" s="21"/>
      <c r="BD110" s="21"/>
      <c r="BE110" s="21"/>
      <c r="BF110" s="21"/>
      <c r="BG110" s="21"/>
      <c r="BH110" s="21"/>
      <c r="BI110" s="21"/>
      <c r="BJ110" s="21"/>
      <c r="BK110" s="21"/>
      <c r="BL110" s="21"/>
      <c r="BM110" s="21"/>
      <c r="BN110" s="21"/>
      <c r="BO110" s="21"/>
      <c r="BP110" s="21"/>
      <c r="BQ110" s="21"/>
      <c r="BR110" s="21"/>
      <c r="BS110" s="21"/>
      <c r="BT110" s="21"/>
      <c r="BU110" s="21"/>
      <c r="BV110" s="21"/>
      <c r="BW110" s="21"/>
      <c r="BX110" s="21"/>
      <c r="BY110" s="21"/>
      <c r="BZ110" s="21"/>
      <c r="CA110" s="21"/>
      <c r="CB110" s="21"/>
      <c r="CC110" s="21"/>
      <c r="CD110" s="21"/>
      <c r="CE110" s="21"/>
      <c r="CF110" s="21"/>
      <c r="CG110" s="21"/>
      <c r="CH110" s="21"/>
      <c r="CI110" s="21"/>
      <c r="CJ110" s="21"/>
      <c r="CK110" s="21"/>
      <c r="CL110" s="21"/>
      <c r="CM110" s="21"/>
      <c r="CN110" s="21"/>
      <c r="CO110" s="21"/>
      <c r="CP110" s="21"/>
      <c r="CQ110" s="21"/>
      <c r="CR110" s="21"/>
      <c r="CS110" s="21"/>
      <c r="CT110" s="21"/>
      <c r="CU110" s="21"/>
      <c r="CV110" s="21"/>
      <c r="CW110" s="21"/>
      <c r="CX110" s="21"/>
      <c r="CY110" s="21"/>
      <c r="CZ110" s="21"/>
      <c r="DA110" s="21"/>
      <c r="DB110" s="21"/>
      <c r="DC110" s="21"/>
    </row>
    <row r="111">
      <c r="A111" s="21"/>
      <c r="B111" s="439"/>
      <c r="C111" s="21"/>
      <c r="D111" s="480" t="b">
        <f t="shared" si="70"/>
        <v>0</v>
      </c>
      <c r="E111" s="481" t="str">
        <f t="array" ref="E111">XLOOKUP(G111,Advancements!$I$2:$I164,Advancements!$C$2:$C164)</f>
        <v/>
      </c>
      <c r="F111" s="481" t="str">
        <f t="array" ref="F111">XLOOKUP(G111,Advancements!$I$2:$I164,Advancements!$H$2:$H164)</f>
        <v/>
      </c>
      <c r="G111" s="482" t="s">
        <v>2738</v>
      </c>
      <c r="H111" s="21"/>
      <c r="I111" s="480" t="b">
        <f t="shared" si="71"/>
        <v>0</v>
      </c>
      <c r="J111" s="481" t="str">
        <f t="array" ref="J111">XLOOKUP(L111,Advancements!$I$2:$I164,Advancements!$C$2:$C164)</f>
        <v/>
      </c>
      <c r="K111" s="481" t="str">
        <f t="array" ref="K111">XLOOKUP(L111,Advancements!$I$2:$I164,Advancements!$H$2:$H164)</f>
        <v/>
      </c>
      <c r="L111" s="482" t="s">
        <v>2738</v>
      </c>
      <c r="M111" s="21"/>
      <c r="N111" s="480" t="b">
        <f t="shared" si="72"/>
        <v>0</v>
      </c>
      <c r="O111" s="481" t="str">
        <f t="array" ref="O111">XLOOKUP(Q111,Advancements!$I$2:$I164,Advancements!$C$2:$C164)</f>
        <v/>
      </c>
      <c r="P111" s="481" t="str">
        <f t="array" ref="P111">XLOOKUP(Q111,Advancements!$I$2:$I164,Advancements!$H$2:$H164)</f>
        <v/>
      </c>
      <c r="Q111" s="482" t="s">
        <v>2618</v>
      </c>
      <c r="R111" s="21"/>
      <c r="S111" s="480" t="b">
        <f t="shared" si="73"/>
        <v>0</v>
      </c>
      <c r="T111" s="481" t="str">
        <f t="array" ref="T111">XLOOKUP(V111,Advancements!$I$2:$I164,Advancements!$C$2:$C164)</f>
        <v/>
      </c>
      <c r="U111" s="481" t="str">
        <f t="array" ref="U111">XLOOKUP(V111,Advancements!$I$2:$I164,Advancements!$H$2:$H164)</f>
        <v/>
      </c>
      <c r="V111" s="482" t="s">
        <v>2738</v>
      </c>
      <c r="W111" s="21"/>
      <c r="X111" s="480" t="b">
        <f t="shared" si="74"/>
        <v>0</v>
      </c>
      <c r="Y111" s="481" t="str">
        <f t="array" ref="Y111">XLOOKUP(AA111,Advancements!$I$2:$I164,Advancements!$C$2:$C164)</f>
        <v/>
      </c>
      <c r="Z111" s="481" t="str">
        <f t="array" ref="Z111">XLOOKUP(AA111,Advancements!$I$2:$I164,Advancements!$H$2:$H164)</f>
        <v/>
      </c>
      <c r="AA111" s="482" t="s">
        <v>2738</v>
      </c>
      <c r="AB111" s="21"/>
      <c r="AC111" s="480" t="b">
        <f t="shared" si="75"/>
        <v>0</v>
      </c>
      <c r="AD111" s="481" t="str">
        <f t="array" ref="AD111">XLOOKUP(AF111,Advancements!$I$2:$I164,Advancements!$C$2:$C164)</f>
        <v/>
      </c>
      <c r="AE111" s="481" t="str">
        <f t="array" ref="AE111">XLOOKUP(AF111,Advancements!$I$2:$I164,Advancements!$H$2:$H164)</f>
        <v/>
      </c>
      <c r="AF111" s="482" t="s">
        <v>2738</v>
      </c>
      <c r="AG111" s="21"/>
      <c r="AH111" s="21"/>
      <c r="AI111" s="21"/>
      <c r="AJ111" s="21"/>
      <c r="AK111" s="21"/>
      <c r="AL111" s="21"/>
      <c r="AM111" s="21"/>
      <c r="AN111" s="21"/>
      <c r="AO111" s="21"/>
      <c r="AP111" s="21"/>
      <c r="AQ111" s="21"/>
      <c r="AR111" s="21"/>
      <c r="AS111" s="21"/>
      <c r="AT111" s="21"/>
      <c r="AU111" s="21"/>
      <c r="AV111" s="21"/>
      <c r="AW111" s="21"/>
      <c r="AX111" s="21"/>
      <c r="AY111" s="21"/>
      <c r="AZ111" s="21"/>
      <c r="BA111" s="21"/>
      <c r="BB111" s="21"/>
      <c r="BC111" s="21"/>
      <c r="BD111" s="21"/>
      <c r="BE111" s="21"/>
      <c r="BF111" s="21"/>
      <c r="BG111" s="21"/>
      <c r="BH111" s="21"/>
      <c r="BI111" s="21"/>
      <c r="BJ111" s="21"/>
      <c r="BK111" s="21"/>
      <c r="BL111" s="21"/>
      <c r="BM111" s="21"/>
      <c r="BN111" s="21"/>
      <c r="BO111" s="21"/>
      <c r="BP111" s="21"/>
      <c r="BQ111" s="21"/>
      <c r="BR111" s="21"/>
      <c r="BS111" s="21"/>
      <c r="BT111" s="21"/>
      <c r="BU111" s="21"/>
      <c r="BV111" s="21"/>
      <c r="BW111" s="21"/>
      <c r="BX111" s="21"/>
      <c r="BY111" s="21"/>
      <c r="BZ111" s="21"/>
      <c r="CA111" s="21"/>
      <c r="CB111" s="21"/>
      <c r="CC111" s="21"/>
      <c r="CD111" s="21"/>
      <c r="CE111" s="21"/>
      <c r="CF111" s="21"/>
      <c r="CG111" s="21"/>
      <c r="CH111" s="21"/>
      <c r="CI111" s="21"/>
      <c r="CJ111" s="21"/>
      <c r="CK111" s="21"/>
      <c r="CL111" s="21"/>
      <c r="CM111" s="21"/>
      <c r="CN111" s="21"/>
      <c r="CO111" s="21"/>
      <c r="CP111" s="21"/>
      <c r="CQ111" s="21"/>
      <c r="CR111" s="21"/>
      <c r="CS111" s="21"/>
      <c r="CT111" s="21"/>
      <c r="CU111" s="21"/>
      <c r="CV111" s="21"/>
      <c r="CW111" s="21"/>
      <c r="CX111" s="21"/>
      <c r="CY111" s="21"/>
      <c r="CZ111" s="21"/>
      <c r="DA111" s="21"/>
      <c r="DB111" s="21"/>
      <c r="DC111" s="21"/>
    </row>
    <row r="112">
      <c r="A112" s="21"/>
      <c r="B112" s="439"/>
      <c r="C112" s="21"/>
      <c r="D112" s="480" t="b">
        <f t="shared" si="70"/>
        <v>0</v>
      </c>
      <c r="E112" s="481" t="str">
        <f t="array" ref="E112">XLOOKUP(G112,Advancements!$I$2:$I164,Advancements!$C$2:$C164)</f>
        <v/>
      </c>
      <c r="F112" s="481" t="str">
        <f t="array" ref="F112">XLOOKUP(G112,Advancements!$I$2:$I164,Advancements!$H$2:$H164)</f>
        <v/>
      </c>
      <c r="G112" s="587" t="s">
        <v>59</v>
      </c>
      <c r="H112" s="21"/>
      <c r="I112" s="480" t="b">
        <f t="shared" si="71"/>
        <v>0</v>
      </c>
      <c r="J112" s="481" t="str">
        <f t="array" ref="J112">XLOOKUP(L112,Advancements!$I$2:$I164,Advancements!$C$2:$C164)</f>
        <v/>
      </c>
      <c r="K112" s="481" t="str">
        <f t="array" ref="K112">XLOOKUP(L112,Advancements!$I$2:$I164,Advancements!$H$2:$H164)</f>
        <v/>
      </c>
      <c r="L112" s="587" t="s">
        <v>59</v>
      </c>
      <c r="M112" s="21"/>
      <c r="N112" s="480" t="b">
        <f t="shared" si="72"/>
        <v>0</v>
      </c>
      <c r="O112" s="481" t="str">
        <f t="array" ref="O112">XLOOKUP(Q112,Advancements!$I$2:$I164,Advancements!$C$2:$C164)</f>
        <v/>
      </c>
      <c r="P112" s="481" t="str">
        <f t="array" ref="P112">XLOOKUP(Q112,Advancements!$I$2:$I164,Advancements!$H$2:$H164)</f>
        <v/>
      </c>
      <c r="Q112" s="482" t="s">
        <v>2738</v>
      </c>
      <c r="R112" s="21"/>
      <c r="S112" s="480" t="b">
        <f t="shared" si="73"/>
        <v>0</v>
      </c>
      <c r="T112" s="481" t="str">
        <f t="array" ref="T112">XLOOKUP(V112,Advancements!$I$2:$I164,Advancements!$C$2:$C164)</f>
        <v/>
      </c>
      <c r="U112" s="481" t="str">
        <f t="array" ref="U112">XLOOKUP(V112,Advancements!$I$2:$I164,Advancements!$H$2:$H164)</f>
        <v/>
      </c>
      <c r="V112" s="482" t="s">
        <v>59</v>
      </c>
      <c r="W112" s="21"/>
      <c r="X112" s="480" t="b">
        <f t="shared" si="74"/>
        <v>0</v>
      </c>
      <c r="Y112" s="481" t="str">
        <f t="array" ref="Y112">XLOOKUP(AA112,Advancements!$I$2:$I164,Advancements!$C$2:$C164)</f>
        <v/>
      </c>
      <c r="Z112" s="481" t="str">
        <f t="array" ref="Z112">XLOOKUP(AA112,Advancements!$I$2:$I164,Advancements!$H$2:$H164)</f>
        <v/>
      </c>
      <c r="AA112" s="482" t="s">
        <v>59</v>
      </c>
      <c r="AB112" s="21"/>
      <c r="AC112" s="480" t="b">
        <f t="shared" si="75"/>
        <v>0</v>
      </c>
      <c r="AD112" s="481" t="str">
        <f t="array" ref="AD112">XLOOKUP(AF112,Advancements!$I$2:$I164,Advancements!$C$2:$C164)</f>
        <v/>
      </c>
      <c r="AE112" s="481" t="str">
        <f t="array" ref="AE112">XLOOKUP(AF112,Advancements!$I$2:$I164,Advancements!$H$2:$H164)</f>
        <v/>
      </c>
      <c r="AF112" s="482" t="s">
        <v>59</v>
      </c>
      <c r="AG112" s="21"/>
      <c r="AH112" s="21"/>
      <c r="AI112" s="21"/>
      <c r="AJ112" s="21"/>
      <c r="AK112" s="21"/>
      <c r="AL112" s="21"/>
      <c r="AM112" s="21"/>
      <c r="AN112" s="21"/>
      <c r="AO112" s="21"/>
      <c r="AP112" s="21"/>
      <c r="AQ112" s="21"/>
      <c r="AR112" s="21"/>
      <c r="AS112" s="21"/>
      <c r="AT112" s="21"/>
      <c r="AU112" s="21"/>
      <c r="AV112" s="21"/>
      <c r="AW112" s="21"/>
      <c r="AX112" s="21"/>
      <c r="AY112" s="21"/>
      <c r="AZ112" s="21"/>
      <c r="BA112" s="21"/>
      <c r="BB112" s="21"/>
      <c r="BC112" s="21"/>
      <c r="BD112" s="21"/>
      <c r="BE112" s="21"/>
      <c r="BF112" s="21"/>
      <c r="BG112" s="21"/>
      <c r="BH112" s="21"/>
      <c r="BI112" s="21"/>
      <c r="BJ112" s="21"/>
      <c r="BK112" s="21"/>
      <c r="BL112" s="21"/>
      <c r="BM112" s="21"/>
      <c r="BN112" s="21"/>
      <c r="BO112" s="21"/>
      <c r="BP112" s="21"/>
      <c r="BQ112" s="21"/>
      <c r="BR112" s="21"/>
      <c r="BS112" s="21"/>
      <c r="BT112" s="21"/>
      <c r="BU112" s="21"/>
      <c r="BV112" s="21"/>
      <c r="BW112" s="21"/>
      <c r="BX112" s="21"/>
      <c r="BY112" s="21"/>
      <c r="BZ112" s="21"/>
      <c r="CA112" s="21"/>
      <c r="CB112" s="21"/>
      <c r="CC112" s="21"/>
      <c r="CD112" s="21"/>
      <c r="CE112" s="21"/>
      <c r="CF112" s="21"/>
      <c r="CG112" s="21"/>
      <c r="CH112" s="21"/>
      <c r="CI112" s="21"/>
      <c r="CJ112" s="21"/>
      <c r="CK112" s="21"/>
      <c r="CL112" s="21"/>
      <c r="CM112" s="21"/>
      <c r="CN112" s="21"/>
      <c r="CO112" s="21"/>
      <c r="CP112" s="21"/>
      <c r="CQ112" s="21"/>
      <c r="CR112" s="21"/>
      <c r="CS112" s="21"/>
      <c r="CT112" s="21"/>
      <c r="CU112" s="21"/>
      <c r="CV112" s="21"/>
      <c r="CW112" s="21"/>
      <c r="CX112" s="21"/>
      <c r="CY112" s="21"/>
      <c r="CZ112" s="21"/>
      <c r="DA112" s="21"/>
      <c r="DB112" s="21"/>
      <c r="DC112" s="21"/>
    </row>
    <row r="113">
      <c r="A113" s="21"/>
      <c r="B113" s="439"/>
      <c r="C113" s="21"/>
      <c r="D113" s="480" t="b">
        <f t="shared" si="70"/>
        <v>0</v>
      </c>
      <c r="E113" s="481" t="str">
        <f t="array" ref="E113">XLOOKUP(G113,Advancements!$I$2:$I164,Advancements!$C$2:$C164)</f>
        <v/>
      </c>
      <c r="F113" s="481" t="str">
        <f t="array" ref="F113">XLOOKUP(G113,Advancements!$I$2:$I164,Advancements!$H$2:$H164)</f>
        <v/>
      </c>
      <c r="G113" s="482" t="s">
        <v>55</v>
      </c>
      <c r="H113" s="21"/>
      <c r="I113" s="480" t="b">
        <f t="shared" si="71"/>
        <v>0</v>
      </c>
      <c r="J113" s="481" t="str">
        <f t="array" ref="J113">XLOOKUP(L113,Advancements!$I$2:$I164,Advancements!$C$2:$C164)</f>
        <v/>
      </c>
      <c r="K113" s="481" t="str">
        <f t="array" ref="K113">XLOOKUP(L113,Advancements!$I$2:$I164,Advancements!$H$2:$H164)</f>
        <v/>
      </c>
      <c r="L113" s="482" t="s">
        <v>55</v>
      </c>
      <c r="M113" s="21"/>
      <c r="N113" s="480" t="b">
        <f t="shared" si="72"/>
        <v>0</v>
      </c>
      <c r="O113" s="481" t="str">
        <f t="array" ref="O113">XLOOKUP(Q113,Advancements!$I$2:$I164,Advancements!$C$2:$C164)</f>
        <v/>
      </c>
      <c r="P113" s="481" t="str">
        <f t="array" ref="P113">XLOOKUP(Q113,Advancements!$I$2:$I164,Advancements!$H$2:$H164)</f>
        <v/>
      </c>
      <c r="Q113" s="482" t="s">
        <v>59</v>
      </c>
      <c r="R113" s="21"/>
      <c r="S113" s="480" t="b">
        <f t="shared" si="73"/>
        <v>0</v>
      </c>
      <c r="T113" s="481" t="str">
        <f t="array" ref="T113">XLOOKUP(V113,Advancements!$I$2:$I164,Advancements!$C$2:$C164)</f>
        <v/>
      </c>
      <c r="U113" s="481" t="str">
        <f t="array" ref="U113">XLOOKUP(V113,Advancements!$I$2:$I164,Advancements!$H$2:$H164)</f>
        <v/>
      </c>
      <c r="V113" s="482" t="s">
        <v>2016</v>
      </c>
      <c r="W113" s="21"/>
      <c r="X113" s="480" t="b">
        <f t="shared" si="74"/>
        <v>0</v>
      </c>
      <c r="Y113" s="481" t="str">
        <f t="array" ref="Y113">XLOOKUP(AA113,Advancements!$I$2:$I164,Advancements!$C$2:$C164)</f>
        <v/>
      </c>
      <c r="Z113" s="481" t="str">
        <f t="array" ref="Z113">XLOOKUP(AA113,Advancements!$I$2:$I164,Advancements!$H$2:$H164)</f>
        <v/>
      </c>
      <c r="AA113" s="482" t="s">
        <v>55</v>
      </c>
      <c r="AB113" s="21"/>
      <c r="AC113" s="480" t="b">
        <f t="shared" si="75"/>
        <v>0</v>
      </c>
      <c r="AD113" s="481" t="str">
        <f t="array" ref="AD113">XLOOKUP(AF113,Advancements!$I$2:$I164,Advancements!$C$2:$C164)</f>
        <v/>
      </c>
      <c r="AE113" s="481" t="str">
        <f t="array" ref="AE113">XLOOKUP(AF113,Advancements!$I$2:$I164,Advancements!$H$2:$H164)</f>
        <v/>
      </c>
      <c r="AF113" s="482" t="s">
        <v>55</v>
      </c>
      <c r="AG113" s="21"/>
      <c r="AH113" s="21"/>
      <c r="AI113" s="21"/>
      <c r="AJ113" s="21"/>
      <c r="AK113" s="21"/>
      <c r="AL113" s="21"/>
      <c r="AM113" s="21"/>
      <c r="AN113" s="21"/>
      <c r="AO113" s="21"/>
      <c r="AP113" s="21"/>
      <c r="AQ113" s="21"/>
      <c r="AR113" s="21"/>
      <c r="AS113" s="21"/>
      <c r="AT113" s="21"/>
      <c r="AU113" s="21"/>
      <c r="AV113" s="21"/>
      <c r="AW113" s="21"/>
      <c r="AX113" s="21"/>
      <c r="AY113" s="21"/>
      <c r="AZ113" s="21"/>
      <c r="BA113" s="21"/>
      <c r="BB113" s="21"/>
      <c r="BC113" s="21"/>
      <c r="BD113" s="21"/>
      <c r="BE113" s="21"/>
      <c r="BF113" s="21"/>
      <c r="BG113" s="21"/>
      <c r="BH113" s="21"/>
      <c r="BI113" s="21"/>
      <c r="BJ113" s="21"/>
      <c r="BK113" s="21"/>
      <c r="BL113" s="21"/>
      <c r="BM113" s="21"/>
      <c r="BN113" s="21"/>
      <c r="BO113" s="21"/>
      <c r="BP113" s="21"/>
      <c r="BQ113" s="21"/>
      <c r="BR113" s="21"/>
      <c r="BS113" s="21"/>
      <c r="BT113" s="21"/>
      <c r="BU113" s="21"/>
      <c r="BV113" s="21"/>
      <c r="BW113" s="21"/>
      <c r="BX113" s="21"/>
      <c r="BY113" s="21"/>
      <c r="BZ113" s="21"/>
      <c r="CA113" s="21"/>
      <c r="CB113" s="21"/>
      <c r="CC113" s="21"/>
      <c r="CD113" s="21"/>
      <c r="CE113" s="21"/>
      <c r="CF113" s="21"/>
      <c r="CG113" s="21"/>
      <c r="CH113" s="21"/>
      <c r="CI113" s="21"/>
      <c r="CJ113" s="21"/>
      <c r="CK113" s="21"/>
      <c r="CL113" s="21"/>
      <c r="CM113" s="21"/>
      <c r="CN113" s="21"/>
      <c r="CO113" s="21"/>
      <c r="CP113" s="21"/>
      <c r="CQ113" s="21"/>
      <c r="CR113" s="21"/>
      <c r="CS113" s="21"/>
      <c r="CT113" s="21"/>
      <c r="CU113" s="21"/>
      <c r="CV113" s="21"/>
      <c r="CW113" s="21"/>
      <c r="CX113" s="21"/>
      <c r="CY113" s="21"/>
      <c r="CZ113" s="21"/>
      <c r="DA113" s="21"/>
      <c r="DB113" s="21"/>
      <c r="DC113" s="21"/>
    </row>
    <row r="114">
      <c r="A114" s="21"/>
      <c r="B114" s="439"/>
      <c r="C114" s="21"/>
      <c r="D114" s="480" t="b">
        <f t="shared" si="70"/>
        <v>0</v>
      </c>
      <c r="E114" s="481" t="str">
        <f t="array" ref="E114">XLOOKUP(G114,Advancements!$I$2:$I164,Advancements!$C$2:$C164)</f>
        <v/>
      </c>
      <c r="F114" s="481" t="str">
        <f t="array" ref="F114">XLOOKUP(G114,Advancements!$I$2:$I164,Advancements!$H$2:$H164)</f>
        <v/>
      </c>
      <c r="G114" s="482" t="s">
        <v>67</v>
      </c>
      <c r="H114" s="21"/>
      <c r="I114" s="480" t="b">
        <f t="shared" si="71"/>
        <v>0</v>
      </c>
      <c r="J114" s="481" t="str">
        <f t="array" ref="J114">XLOOKUP(L114,Advancements!$I$2:$I164,Advancements!$C$2:$C164)</f>
        <v/>
      </c>
      <c r="K114" s="481" t="str">
        <f t="array" ref="K114">XLOOKUP(L114,Advancements!$I$2:$I164,Advancements!$H$2:$H164)</f>
        <v/>
      </c>
      <c r="L114" s="482" t="s">
        <v>67</v>
      </c>
      <c r="M114" s="21"/>
      <c r="N114" s="480" t="b">
        <f t="shared" si="72"/>
        <v>0</v>
      </c>
      <c r="O114" s="481" t="str">
        <f t="array" ref="O114">XLOOKUP(Q114,Advancements!$I$2:$I164,Advancements!$C$2:$C164)</f>
        <v/>
      </c>
      <c r="P114" s="481" t="str">
        <f t="array" ref="P114">XLOOKUP(Q114,Advancements!$I$2:$I164,Advancements!$H$2:$H164)</f>
        <v/>
      </c>
      <c r="Q114" s="482" t="s">
        <v>1718</v>
      </c>
      <c r="R114" s="21"/>
      <c r="S114" s="480" t="b">
        <f t="shared" si="73"/>
        <v>0</v>
      </c>
      <c r="T114" s="481" t="str">
        <f t="array" ref="T114">XLOOKUP(V114,Advancements!$I$2:$I164,Advancements!$C$2:$C164)</f>
        <v/>
      </c>
      <c r="U114" s="481" t="str">
        <f t="array" ref="U114">XLOOKUP(V114,Advancements!$I$2:$I164,Advancements!$H$2:$H164)</f>
        <v/>
      </c>
      <c r="V114" s="482" t="s">
        <v>55</v>
      </c>
      <c r="W114" s="21"/>
      <c r="X114" s="480" t="b">
        <f t="shared" si="74"/>
        <v>0</v>
      </c>
      <c r="Y114" s="481" t="str">
        <f t="array" ref="Y114">XLOOKUP(AA114,Advancements!$I$2:$I164,Advancements!$C$2:$C164)</f>
        <v/>
      </c>
      <c r="Z114" s="481" t="str">
        <f t="array" ref="Z114">XLOOKUP(AA114,Advancements!$I$2:$I164,Advancements!$H$2:$H164)</f>
        <v/>
      </c>
      <c r="AA114" s="482" t="s">
        <v>67</v>
      </c>
      <c r="AB114" s="21"/>
      <c r="AC114" s="480" t="b">
        <f t="shared" si="75"/>
        <v>0</v>
      </c>
      <c r="AD114" s="481" t="str">
        <f t="array" ref="AD114">XLOOKUP(AF114,Advancements!$I$2:$I164,Advancements!$C$2:$C164)</f>
        <v/>
      </c>
      <c r="AE114" s="481" t="str">
        <f t="array" ref="AE114">XLOOKUP(AF114,Advancements!$I$2:$I164,Advancements!$H$2:$H164)</f>
        <v/>
      </c>
      <c r="AF114" s="482" t="s">
        <v>67</v>
      </c>
      <c r="AG114" s="21"/>
      <c r="AH114" s="21"/>
      <c r="AI114" s="21"/>
      <c r="AJ114" s="21"/>
      <c r="AK114" s="21"/>
      <c r="AL114" s="21"/>
      <c r="AM114" s="21"/>
      <c r="AN114" s="21"/>
      <c r="AO114" s="21"/>
      <c r="AP114" s="21"/>
      <c r="AQ114" s="21"/>
      <c r="AR114" s="21"/>
      <c r="AS114" s="21"/>
      <c r="AT114" s="21"/>
      <c r="AU114" s="21"/>
      <c r="AV114" s="21"/>
      <c r="AW114" s="21"/>
      <c r="AX114" s="21"/>
      <c r="AY114" s="21"/>
      <c r="AZ114" s="21"/>
      <c r="BA114" s="21"/>
      <c r="BB114" s="21"/>
      <c r="BC114" s="21"/>
      <c r="BD114" s="21"/>
      <c r="BE114" s="21"/>
      <c r="BF114" s="21"/>
      <c r="BG114" s="21"/>
      <c r="BH114" s="21"/>
      <c r="BI114" s="21"/>
      <c r="BJ114" s="21"/>
      <c r="BK114" s="21"/>
      <c r="BL114" s="21"/>
      <c r="BM114" s="21"/>
      <c r="BN114" s="21"/>
      <c r="BO114" s="21"/>
      <c r="BP114" s="21"/>
      <c r="BQ114" s="21"/>
      <c r="BR114" s="21"/>
      <c r="BS114" s="21"/>
      <c r="BT114" s="21"/>
      <c r="BU114" s="21"/>
      <c r="BV114" s="21"/>
      <c r="BW114" s="21"/>
      <c r="BX114" s="21"/>
      <c r="BY114" s="21"/>
      <c r="BZ114" s="21"/>
      <c r="CA114" s="21"/>
      <c r="CB114" s="21"/>
      <c r="CC114" s="21"/>
      <c r="CD114" s="21"/>
      <c r="CE114" s="21"/>
      <c r="CF114" s="21"/>
      <c r="CG114" s="21"/>
      <c r="CH114" s="21"/>
      <c r="CI114" s="21"/>
      <c r="CJ114" s="21"/>
      <c r="CK114" s="21"/>
      <c r="CL114" s="21"/>
      <c r="CM114" s="21"/>
      <c r="CN114" s="21"/>
      <c r="CO114" s="21"/>
      <c r="CP114" s="21"/>
      <c r="CQ114" s="21"/>
      <c r="CR114" s="21"/>
      <c r="CS114" s="21"/>
      <c r="CT114" s="21"/>
      <c r="CU114" s="21"/>
      <c r="CV114" s="21"/>
      <c r="CW114" s="21"/>
      <c r="CX114" s="21"/>
      <c r="CY114" s="21"/>
      <c r="CZ114" s="21"/>
      <c r="DA114" s="21"/>
      <c r="DB114" s="21"/>
      <c r="DC114" s="21"/>
    </row>
    <row r="115">
      <c r="A115" s="21"/>
      <c r="B115" s="439"/>
      <c r="C115" s="21"/>
      <c r="D115" s="480" t="b">
        <f t="shared" si="70"/>
        <v>0</v>
      </c>
      <c r="E115" s="481" t="str">
        <f t="array" ref="E115">XLOOKUP(G115,Advancements!$I$2:$I164,Advancements!$C$2:$C164)</f>
        <v/>
      </c>
      <c r="F115" s="481" t="str">
        <f t="array" ref="F115">XLOOKUP(G115,Advancements!$I$2:$I164,Advancements!$H$2:$H164)</f>
        <v/>
      </c>
      <c r="G115" s="482" t="s">
        <v>36</v>
      </c>
      <c r="H115" s="21"/>
      <c r="I115" s="480" t="b">
        <f t="shared" si="71"/>
        <v>0</v>
      </c>
      <c r="J115" s="481" t="str">
        <f t="array" ref="J115">XLOOKUP(L115,Advancements!$I$2:$I164,Advancements!$C$2:$C164)</f>
        <v/>
      </c>
      <c r="K115" s="481" t="str">
        <f t="array" ref="K115">XLOOKUP(L115,Advancements!$I$2:$I164,Advancements!$H$2:$H164)</f>
        <v/>
      </c>
      <c r="L115" s="482" t="s">
        <v>36</v>
      </c>
      <c r="M115" s="21"/>
      <c r="N115" s="480" t="b">
        <f t="shared" si="72"/>
        <v>0</v>
      </c>
      <c r="O115" s="481" t="str">
        <f t="array" ref="O115">XLOOKUP(Q115,Advancements!$I$2:$I164,Advancements!$C$2:$C164)</f>
        <v/>
      </c>
      <c r="P115" s="481" t="str">
        <f t="array" ref="P115">XLOOKUP(Q115,Advancements!$I$2:$I164,Advancements!$H$2:$H164)</f>
        <v/>
      </c>
      <c r="Q115" s="482" t="s">
        <v>2016</v>
      </c>
      <c r="R115" s="21"/>
      <c r="S115" s="480" t="b">
        <f t="shared" si="73"/>
        <v>0</v>
      </c>
      <c r="T115" s="481" t="str">
        <f t="array" ref="T115">XLOOKUP(V115,Advancements!$I$2:$I164,Advancements!$C$2:$C164)</f>
        <v/>
      </c>
      <c r="U115" s="481" t="str">
        <f t="array" ref="U115">XLOOKUP(V115,Advancements!$I$2:$I164,Advancements!$H$2:$H164)</f>
        <v/>
      </c>
      <c r="V115" s="482" t="s">
        <v>67</v>
      </c>
      <c r="W115" s="21"/>
      <c r="X115" s="480" t="b">
        <f t="shared" si="74"/>
        <v>0</v>
      </c>
      <c r="Y115" s="481" t="str">
        <f t="array" ref="Y115">XLOOKUP(AA115,Advancements!$I$2:$I164,Advancements!$C$2:$C164)</f>
        <v/>
      </c>
      <c r="Z115" s="481" t="str">
        <f t="array" ref="Z115">XLOOKUP(AA115,Advancements!$I$2:$I164,Advancements!$H$2:$H164)</f>
        <v/>
      </c>
      <c r="AA115" s="482" t="s">
        <v>36</v>
      </c>
      <c r="AB115" s="21"/>
      <c r="AC115" s="480" t="b">
        <f t="shared" si="75"/>
        <v>0</v>
      </c>
      <c r="AD115" s="481" t="str">
        <f t="array" ref="AD115">XLOOKUP(AF115,Advancements!$I$2:$I164,Advancements!$C$2:$C164)</f>
        <v/>
      </c>
      <c r="AE115" s="481" t="str">
        <f t="array" ref="AE115">XLOOKUP(AF115,Advancements!$I$2:$I164,Advancements!$H$2:$H164)</f>
        <v/>
      </c>
      <c r="AF115" s="482" t="s">
        <v>36</v>
      </c>
      <c r="AG115" s="21"/>
      <c r="AH115" s="21"/>
      <c r="AI115" s="21"/>
      <c r="AJ115" s="21"/>
      <c r="AK115" s="21"/>
      <c r="AL115" s="21"/>
      <c r="AM115" s="21"/>
      <c r="AN115" s="21"/>
      <c r="AO115" s="21"/>
      <c r="AP115" s="21"/>
      <c r="AQ115" s="21"/>
      <c r="AR115" s="21"/>
      <c r="AS115" s="21"/>
      <c r="AT115" s="21"/>
      <c r="AU115" s="21"/>
      <c r="AV115" s="21"/>
      <c r="AW115" s="21"/>
      <c r="AX115" s="21"/>
      <c r="AY115" s="21"/>
      <c r="AZ115" s="21"/>
      <c r="BA115" s="21"/>
      <c r="BB115" s="21"/>
      <c r="BC115" s="21"/>
      <c r="BD115" s="21"/>
      <c r="BE115" s="21"/>
      <c r="BF115" s="21"/>
      <c r="BG115" s="21"/>
      <c r="BH115" s="21"/>
      <c r="BI115" s="21"/>
      <c r="BJ115" s="21"/>
      <c r="BK115" s="21"/>
      <c r="BL115" s="21"/>
      <c r="BM115" s="21"/>
      <c r="BN115" s="21"/>
      <c r="BO115" s="21"/>
      <c r="BP115" s="21"/>
      <c r="BQ115" s="21"/>
      <c r="BR115" s="21"/>
      <c r="BS115" s="21"/>
      <c r="BT115" s="21"/>
      <c r="BU115" s="21"/>
      <c r="BV115" s="21"/>
      <c r="BW115" s="21"/>
      <c r="BX115" s="21"/>
      <c r="BY115" s="21"/>
      <c r="BZ115" s="21"/>
      <c r="CA115" s="21"/>
      <c r="CB115" s="21"/>
      <c r="CC115" s="21"/>
      <c r="CD115" s="21"/>
      <c r="CE115" s="21"/>
      <c r="CF115" s="21"/>
      <c r="CG115" s="21"/>
      <c r="CH115" s="21"/>
      <c r="CI115" s="21"/>
      <c r="CJ115" s="21"/>
      <c r="CK115" s="21"/>
      <c r="CL115" s="21"/>
      <c r="CM115" s="21"/>
      <c r="CN115" s="21"/>
      <c r="CO115" s="21"/>
      <c r="CP115" s="21"/>
      <c r="CQ115" s="21"/>
      <c r="CR115" s="21"/>
      <c r="CS115" s="21"/>
      <c r="CT115" s="21"/>
      <c r="CU115" s="21"/>
      <c r="CV115" s="21"/>
      <c r="CW115" s="21"/>
      <c r="CX115" s="21"/>
      <c r="CY115" s="21"/>
      <c r="CZ115" s="21"/>
      <c r="DA115" s="21"/>
      <c r="DB115" s="21"/>
      <c r="DC115" s="21"/>
    </row>
    <row r="116">
      <c r="A116" s="21"/>
      <c r="B116" s="439"/>
      <c r="C116" s="21"/>
      <c r="D116" s="487" t="b">
        <f t="shared" si="70"/>
        <v>0</v>
      </c>
      <c r="E116" s="485" t="str">
        <f t="array" ref="E116">XLOOKUP(G116,Advancements!$I$2:$I164,Advancements!$C$2:$C164)</f>
        <v/>
      </c>
      <c r="F116" s="485" t="str">
        <f t="array" ref="F116">XLOOKUP(G116,Advancements!$I$2:$I164,Advancements!$H$2:$H164)</f>
        <v/>
      </c>
      <c r="G116" s="486" t="s">
        <v>4846</v>
      </c>
      <c r="H116" s="21"/>
      <c r="I116" s="487" t="b">
        <f t="shared" si="71"/>
        <v>0</v>
      </c>
      <c r="J116" s="485" t="str">
        <f t="array" ref="J116">XLOOKUP(L116,Advancements!$I$2:$I164,Advancements!$C$2:$C164)</f>
        <v/>
      </c>
      <c r="K116" s="485" t="str">
        <f t="array" ref="K116">XLOOKUP(L116,Advancements!$I$2:$I164,Advancements!$H$2:$H164)</f>
        <v/>
      </c>
      <c r="L116" s="486" t="s">
        <v>4846</v>
      </c>
      <c r="M116" s="21"/>
      <c r="N116" s="480" t="b">
        <f t="shared" si="72"/>
        <v>0</v>
      </c>
      <c r="O116" s="481" t="str">
        <f t="array" ref="O116">XLOOKUP(Q116,Advancements!$I$2:$I164,Advancements!$C$2:$C164)</f>
        <v/>
      </c>
      <c r="P116" s="481" t="str">
        <f t="array" ref="P116">XLOOKUP(Q116,Advancements!$I$2:$I164,Advancements!$H$2:$H164)</f>
        <v/>
      </c>
      <c r="Q116" s="482" t="s">
        <v>55</v>
      </c>
      <c r="R116" s="21"/>
      <c r="S116" s="480" t="b">
        <f t="shared" si="73"/>
        <v>0</v>
      </c>
      <c r="T116" s="481" t="str">
        <f t="array" ref="T116">XLOOKUP(V116,Advancements!$I$2:$I164,Advancements!$C$2:$C164)</f>
        <v/>
      </c>
      <c r="U116" s="481" t="str">
        <f t="array" ref="U116">XLOOKUP(V116,Advancements!$I$2:$I164,Advancements!$H$2:$H164)</f>
        <v/>
      </c>
      <c r="V116" s="482" t="s">
        <v>36</v>
      </c>
      <c r="W116" s="21"/>
      <c r="X116" s="487" t="b">
        <f t="shared" si="74"/>
        <v>0</v>
      </c>
      <c r="Y116" s="485" t="str">
        <f t="array" ref="Y116">XLOOKUP(AA116,Advancements!$I$2:$I164,Advancements!$C$2:$C164)</f>
        <v/>
      </c>
      <c r="Z116" s="485" t="str">
        <f t="array" ref="Z116">XLOOKUP(AA116,Advancements!$I$2:$I164,Advancements!$H$2:$H164)</f>
        <v/>
      </c>
      <c r="AA116" s="486" t="s">
        <v>4846</v>
      </c>
      <c r="AB116" s="21"/>
      <c r="AC116" s="487" t="b">
        <f t="shared" si="75"/>
        <v>0</v>
      </c>
      <c r="AD116" s="485" t="str">
        <f t="array" ref="AD116">XLOOKUP(AF116,Advancements!$I$2:$I164,Advancements!$C$2:$C164)</f>
        <v/>
      </c>
      <c r="AE116" s="485" t="str">
        <f t="array" ref="AE116">XLOOKUP(AF116,Advancements!$I$2:$I164,Advancements!$H$2:$H164)</f>
        <v/>
      </c>
      <c r="AF116" s="486" t="s">
        <v>4846</v>
      </c>
      <c r="AG116" s="21"/>
      <c r="AH116" s="21"/>
      <c r="AI116" s="21"/>
      <c r="AJ116" s="21"/>
      <c r="AK116" s="21"/>
      <c r="AL116" s="21"/>
      <c r="AM116" s="21"/>
      <c r="AN116" s="21"/>
      <c r="AO116" s="21"/>
      <c r="AP116" s="21"/>
      <c r="AQ116" s="21"/>
      <c r="AR116" s="21"/>
      <c r="AS116" s="21"/>
      <c r="AT116" s="21"/>
      <c r="AU116" s="21"/>
      <c r="AV116" s="21"/>
      <c r="AW116" s="21"/>
      <c r="AX116" s="21"/>
      <c r="AY116" s="21"/>
      <c r="AZ116" s="21"/>
      <c r="BA116" s="21"/>
      <c r="BB116" s="21"/>
      <c r="BC116" s="21"/>
      <c r="BD116" s="21"/>
      <c r="BE116" s="21"/>
      <c r="BF116" s="21"/>
      <c r="BG116" s="21"/>
      <c r="BH116" s="21"/>
      <c r="BI116" s="21"/>
      <c r="BJ116" s="21"/>
      <c r="BK116" s="21"/>
      <c r="BL116" s="21"/>
      <c r="BM116" s="21"/>
      <c r="BN116" s="21"/>
      <c r="BO116" s="21"/>
      <c r="BP116" s="21"/>
      <c r="BQ116" s="21"/>
      <c r="BR116" s="21"/>
      <c r="BS116" s="21"/>
      <c r="BT116" s="21"/>
      <c r="BU116" s="21"/>
      <c r="BV116" s="21"/>
      <c r="BW116" s="21"/>
      <c r="BX116" s="21"/>
      <c r="BY116" s="21"/>
      <c r="BZ116" s="21"/>
      <c r="CA116" s="21"/>
      <c r="CB116" s="21"/>
      <c r="CC116" s="21"/>
      <c r="CD116" s="21"/>
      <c r="CE116" s="21"/>
      <c r="CF116" s="21"/>
      <c r="CG116" s="21"/>
      <c r="CH116" s="21"/>
      <c r="CI116" s="21"/>
      <c r="CJ116" s="21"/>
      <c r="CK116" s="21"/>
      <c r="CL116" s="21"/>
      <c r="CM116" s="21"/>
      <c r="CN116" s="21"/>
      <c r="CO116" s="21"/>
      <c r="CP116" s="21"/>
      <c r="CQ116" s="21"/>
      <c r="CR116" s="21"/>
      <c r="CS116" s="21"/>
      <c r="CT116" s="21"/>
      <c r="CU116" s="21"/>
      <c r="CV116" s="21"/>
      <c r="CW116" s="21"/>
      <c r="CX116" s="21"/>
      <c r="CY116" s="21"/>
      <c r="CZ116" s="21"/>
      <c r="DA116" s="21"/>
      <c r="DB116" s="21"/>
      <c r="DC116" s="21"/>
    </row>
    <row r="117">
      <c r="A117" s="21"/>
      <c r="B117" s="439"/>
      <c r="C117" s="21"/>
      <c r="D117" s="21"/>
      <c r="E117" s="21"/>
      <c r="F117" s="21"/>
      <c r="G117" s="21"/>
      <c r="H117" s="21"/>
      <c r="I117" s="21"/>
      <c r="J117" s="21"/>
      <c r="K117" s="21"/>
      <c r="L117" s="21"/>
      <c r="M117" s="21"/>
      <c r="N117" s="480" t="b">
        <f t="shared" si="72"/>
        <v>0</v>
      </c>
      <c r="O117" s="481" t="str">
        <f t="array" ref="O117">XLOOKUP(Q117,Advancements!$I$2:$I164,Advancements!$C$2:$C164)</f>
        <v/>
      </c>
      <c r="P117" s="481" t="str">
        <f t="array" ref="P117">XLOOKUP(Q117,Advancements!$I$2:$I164,Advancements!$H$2:$H164)</f>
        <v/>
      </c>
      <c r="Q117" s="482" t="s">
        <v>67</v>
      </c>
      <c r="R117" s="21"/>
      <c r="S117" s="487" t="b">
        <f t="shared" si="73"/>
        <v>0</v>
      </c>
      <c r="T117" s="485" t="str">
        <f t="array" ref="T117">XLOOKUP(V117,Advancements!$I$2:$I164,Advancements!$C$2:$C164)</f>
        <v/>
      </c>
      <c r="U117" s="485" t="str">
        <f t="array" ref="U117">XLOOKUP(V117,Advancements!$I$2:$I164,Advancements!$H$2:$H164)</f>
        <v/>
      </c>
      <c r="V117" s="486" t="s">
        <v>4846</v>
      </c>
      <c r="W117" s="21"/>
      <c r="X117" s="21"/>
      <c r="Y117" s="21"/>
      <c r="Z117" s="21"/>
      <c r="AA117" s="21"/>
      <c r="AB117" s="21"/>
      <c r="AC117" s="21"/>
      <c r="AD117" s="21"/>
      <c r="AE117" s="21"/>
      <c r="AF117" s="21"/>
      <c r="AG117" s="21"/>
      <c r="AH117" s="21"/>
      <c r="AI117" s="21"/>
      <c r="AJ117" s="21"/>
      <c r="AK117" s="21"/>
      <c r="AL117" s="21"/>
      <c r="AM117" s="21"/>
      <c r="AN117" s="21"/>
      <c r="AO117" s="21"/>
      <c r="AP117" s="21"/>
      <c r="AQ117" s="21"/>
      <c r="AR117" s="21"/>
      <c r="AS117" s="21"/>
      <c r="AT117" s="21"/>
      <c r="AU117" s="21"/>
      <c r="AV117" s="21"/>
      <c r="AW117" s="21"/>
      <c r="AX117" s="21"/>
      <c r="AY117" s="21"/>
      <c r="AZ117" s="21"/>
      <c r="BA117" s="21"/>
      <c r="BB117" s="21"/>
      <c r="BC117" s="21"/>
      <c r="BD117" s="21"/>
      <c r="BE117" s="21"/>
      <c r="BF117" s="21"/>
      <c r="BG117" s="21"/>
      <c r="BH117" s="21"/>
      <c r="BI117" s="21"/>
      <c r="BJ117" s="21"/>
      <c r="BK117" s="21"/>
      <c r="BL117" s="21"/>
      <c r="BM117" s="21"/>
      <c r="BN117" s="21"/>
      <c r="BO117" s="21"/>
      <c r="BP117" s="21"/>
      <c r="BQ117" s="21"/>
      <c r="BR117" s="21"/>
      <c r="BS117" s="21"/>
      <c r="BT117" s="21"/>
      <c r="BU117" s="21"/>
      <c r="BV117" s="21"/>
      <c r="BW117" s="21"/>
      <c r="BX117" s="21"/>
      <c r="BY117" s="21"/>
      <c r="BZ117" s="21"/>
      <c r="CA117" s="21"/>
      <c r="CB117" s="21"/>
      <c r="CC117" s="21"/>
      <c r="CD117" s="21"/>
      <c r="CE117" s="21"/>
      <c r="CF117" s="21"/>
      <c r="CG117" s="21"/>
      <c r="CH117" s="21"/>
      <c r="CI117" s="21"/>
      <c r="CJ117" s="21"/>
      <c r="CK117" s="21"/>
      <c r="CL117" s="21"/>
      <c r="CM117" s="21"/>
      <c r="CN117" s="21"/>
      <c r="CO117" s="21"/>
      <c r="CP117" s="21"/>
      <c r="CQ117" s="21"/>
      <c r="CR117" s="21"/>
      <c r="CS117" s="21"/>
      <c r="CT117" s="21"/>
      <c r="CU117" s="21"/>
      <c r="CV117" s="21"/>
      <c r="CW117" s="21"/>
      <c r="CX117" s="21"/>
      <c r="CY117" s="21"/>
      <c r="CZ117" s="21"/>
      <c r="DA117" s="21"/>
      <c r="DB117" s="21"/>
      <c r="DC117" s="21"/>
    </row>
    <row r="118">
      <c r="A118" s="21"/>
      <c r="B118" s="439"/>
      <c r="C118" s="21"/>
      <c r="D118" s="21"/>
      <c r="E118" s="21"/>
      <c r="F118" s="21"/>
      <c r="G118" s="21"/>
      <c r="H118" s="21"/>
      <c r="I118" s="21"/>
      <c r="J118" s="21"/>
      <c r="K118" s="21"/>
      <c r="L118" s="21"/>
      <c r="M118" s="21"/>
      <c r="N118" s="480" t="b">
        <f t="shared" si="72"/>
        <v>0</v>
      </c>
      <c r="O118" s="481" t="str">
        <f t="array" ref="O118">XLOOKUP(Q118,Advancements!$I$2:$I164,Advancements!$C$2:$C164)</f>
        <v/>
      </c>
      <c r="P118" s="481" t="str">
        <f t="array" ref="P118">XLOOKUP(Q118,Advancements!$I$2:$I164,Advancements!$H$2:$H164)</f>
        <v/>
      </c>
      <c r="Q118" s="482" t="s">
        <v>36</v>
      </c>
      <c r="R118" s="21"/>
      <c r="S118" s="21"/>
      <c r="T118" s="21"/>
      <c r="U118" s="21"/>
      <c r="V118" s="21"/>
      <c r="W118" s="21"/>
      <c r="X118" s="21"/>
      <c r="Y118" s="21"/>
      <c r="Z118" s="21"/>
      <c r="AA118" s="21"/>
      <c r="AB118" s="21"/>
      <c r="AC118" s="21"/>
      <c r="AD118" s="21"/>
      <c r="AE118" s="21"/>
      <c r="AF118" s="21"/>
      <c r="AG118" s="21"/>
      <c r="AH118" s="21"/>
      <c r="AI118" s="21"/>
      <c r="AJ118" s="21"/>
      <c r="AK118" s="21"/>
      <c r="AL118" s="21"/>
      <c r="AM118" s="21"/>
      <c r="AN118" s="21"/>
      <c r="AO118" s="21"/>
      <c r="AP118" s="21"/>
      <c r="AQ118" s="21"/>
      <c r="AR118" s="21"/>
      <c r="AS118" s="21"/>
      <c r="AT118" s="21"/>
      <c r="AU118" s="21"/>
      <c r="AV118" s="21"/>
      <c r="AW118" s="21"/>
      <c r="AX118" s="21"/>
      <c r="AY118" s="21"/>
      <c r="AZ118" s="21"/>
      <c r="BA118" s="21"/>
      <c r="BB118" s="21"/>
      <c r="BC118" s="21"/>
      <c r="BD118" s="21"/>
      <c r="BE118" s="21"/>
      <c r="BF118" s="21"/>
      <c r="BG118" s="21"/>
      <c r="BH118" s="21"/>
      <c r="BI118" s="21"/>
      <c r="BJ118" s="21"/>
      <c r="BK118" s="21"/>
      <c r="BL118" s="21"/>
      <c r="BM118" s="21"/>
      <c r="BN118" s="21"/>
      <c r="BO118" s="21"/>
      <c r="BP118" s="21"/>
      <c r="BQ118" s="21"/>
      <c r="BR118" s="21"/>
      <c r="BS118" s="21"/>
      <c r="BT118" s="21"/>
      <c r="BU118" s="21"/>
      <c r="BV118" s="21"/>
      <c r="BW118" s="21"/>
      <c r="BX118" s="21"/>
      <c r="BY118" s="21"/>
      <c r="BZ118" s="21"/>
      <c r="CA118" s="21"/>
      <c r="CB118" s="21"/>
      <c r="CC118" s="21"/>
      <c r="CD118" s="21"/>
      <c r="CE118" s="21"/>
      <c r="CF118" s="21"/>
      <c r="CG118" s="21"/>
      <c r="CH118" s="21"/>
      <c r="CI118" s="21"/>
      <c r="CJ118" s="21"/>
      <c r="CK118" s="21"/>
      <c r="CL118" s="21"/>
      <c r="CM118" s="21"/>
      <c r="CN118" s="21"/>
      <c r="CO118" s="21"/>
      <c r="CP118" s="21"/>
      <c r="CQ118" s="21"/>
      <c r="CR118" s="21"/>
      <c r="CS118" s="21"/>
      <c r="CT118" s="21"/>
      <c r="CU118" s="21"/>
      <c r="CV118" s="21"/>
      <c r="CW118" s="21"/>
      <c r="CX118" s="21"/>
      <c r="CY118" s="21"/>
      <c r="CZ118" s="21"/>
      <c r="DA118" s="21"/>
      <c r="DB118" s="21"/>
      <c r="DC118" s="21"/>
    </row>
    <row r="119">
      <c r="A119" s="21"/>
      <c r="B119" s="468"/>
      <c r="C119" s="21"/>
      <c r="D119" s="21"/>
      <c r="E119" s="21"/>
      <c r="F119" s="21"/>
      <c r="G119" s="21"/>
      <c r="H119" s="21"/>
      <c r="I119" s="21"/>
      <c r="J119" s="21"/>
      <c r="K119" s="21"/>
      <c r="L119" s="21"/>
      <c r="M119" s="21"/>
      <c r="N119" s="487" t="b">
        <f t="shared" si="72"/>
        <v>0</v>
      </c>
      <c r="O119" s="485" t="str">
        <f t="array" ref="O119">XLOOKUP(Q119,Advancements!$I$2:$I164,Advancements!$C$2:$C164)</f>
        <v/>
      </c>
      <c r="P119" s="485" t="str">
        <f t="array" ref="P119">XLOOKUP(Q119,Advancements!$I$2:$I164,Advancements!$H$2:$H164)</f>
        <v/>
      </c>
      <c r="Q119" s="486" t="s">
        <v>4846</v>
      </c>
      <c r="R119" s="21"/>
      <c r="S119" s="21"/>
      <c r="T119" s="21"/>
      <c r="U119" s="21"/>
      <c r="V119" s="21"/>
      <c r="W119" s="21"/>
      <c r="X119" s="21"/>
      <c r="Y119" s="21"/>
      <c r="Z119" s="21"/>
      <c r="AA119" s="21"/>
      <c r="AB119" s="21"/>
      <c r="AC119" s="21"/>
      <c r="AD119" s="21"/>
      <c r="AE119" s="21"/>
      <c r="AF119" s="21"/>
      <c r="AG119" s="21"/>
      <c r="AH119" s="21"/>
      <c r="AI119" s="21"/>
      <c r="AJ119" s="21"/>
      <c r="AK119" s="21"/>
      <c r="AL119" s="21"/>
      <c r="AM119" s="21"/>
      <c r="AN119" s="21"/>
      <c r="AO119" s="21"/>
      <c r="AP119" s="21"/>
      <c r="AQ119" s="21"/>
      <c r="AR119" s="21"/>
      <c r="AS119" s="21"/>
      <c r="AT119" s="21"/>
      <c r="AU119" s="21"/>
      <c r="AV119" s="21"/>
      <c r="AW119" s="21"/>
      <c r="AX119" s="21"/>
      <c r="AY119" s="21"/>
      <c r="AZ119" s="21"/>
      <c r="BA119" s="21"/>
      <c r="BB119" s="21"/>
      <c r="BC119" s="21"/>
      <c r="BD119" s="21"/>
      <c r="BE119" s="21"/>
      <c r="BF119" s="21"/>
      <c r="BG119" s="21"/>
      <c r="BH119" s="21"/>
      <c r="BI119" s="21"/>
      <c r="BJ119" s="21"/>
      <c r="BK119" s="21"/>
      <c r="BL119" s="21"/>
      <c r="BM119" s="21"/>
      <c r="BN119" s="21"/>
      <c r="BO119" s="21"/>
      <c r="BP119" s="21"/>
      <c r="BQ119" s="21"/>
      <c r="BR119" s="21"/>
      <c r="BS119" s="21"/>
      <c r="BT119" s="21"/>
      <c r="BU119" s="21"/>
      <c r="BV119" s="21"/>
      <c r="BW119" s="21"/>
      <c r="BX119" s="21"/>
      <c r="BY119" s="21"/>
      <c r="BZ119" s="21"/>
      <c r="CA119" s="21"/>
      <c r="CB119" s="21"/>
      <c r="CC119" s="21"/>
      <c r="CD119" s="21"/>
      <c r="CE119" s="21"/>
      <c r="CF119" s="21"/>
      <c r="CG119" s="21"/>
      <c r="CH119" s="21"/>
      <c r="CI119" s="21"/>
      <c r="CJ119" s="21"/>
      <c r="CK119" s="21"/>
      <c r="CL119" s="21"/>
      <c r="CM119" s="21"/>
      <c r="CN119" s="21"/>
      <c r="CO119" s="21"/>
      <c r="CP119" s="21"/>
      <c r="CQ119" s="21"/>
      <c r="CR119" s="21"/>
      <c r="CS119" s="21"/>
      <c r="CT119" s="21"/>
      <c r="CU119" s="21"/>
      <c r="CV119" s="21"/>
      <c r="CW119" s="21"/>
      <c r="CX119" s="21"/>
      <c r="CY119" s="21"/>
      <c r="CZ119" s="21"/>
      <c r="DA119" s="21"/>
      <c r="DB119" s="21"/>
      <c r="DC119" s="21"/>
    </row>
    <row r="120">
      <c r="A120" s="21"/>
      <c r="B120" s="21"/>
      <c r="C120" s="21"/>
      <c r="D120" s="21"/>
      <c r="E120" s="21"/>
      <c r="F120" s="21"/>
      <c r="G120" s="21"/>
      <c r="H120" s="21"/>
      <c r="I120" s="21"/>
      <c r="J120" s="21"/>
      <c r="K120" s="21"/>
      <c r="L120" s="21"/>
      <c r="M120" s="21"/>
      <c r="N120" s="21"/>
      <c r="O120" s="21"/>
      <c r="P120" s="21"/>
      <c r="Q120" s="21"/>
      <c r="R120" s="21"/>
      <c r="S120" s="21"/>
      <c r="T120" s="21"/>
      <c r="U120" s="21"/>
      <c r="V120" s="21"/>
      <c r="W120" s="21"/>
      <c r="X120" s="21"/>
      <c r="Y120" s="21"/>
      <c r="Z120" s="21"/>
      <c r="AA120" s="21"/>
      <c r="AB120" s="21"/>
      <c r="AC120" s="21"/>
      <c r="AD120" s="21"/>
      <c r="AE120" s="21"/>
      <c r="AF120" s="21"/>
      <c r="AG120" s="21"/>
      <c r="AH120" s="21"/>
      <c r="AI120" s="21"/>
      <c r="AJ120" s="21"/>
      <c r="AK120" s="21"/>
      <c r="AL120" s="21"/>
      <c r="AM120" s="21"/>
      <c r="AN120" s="21"/>
      <c r="AO120" s="21"/>
      <c r="AP120" s="21"/>
      <c r="AQ120" s="21"/>
      <c r="AR120" s="21"/>
      <c r="AS120" s="21"/>
      <c r="AT120" s="21"/>
      <c r="AU120" s="21"/>
      <c r="AV120" s="21"/>
      <c r="AW120" s="21"/>
      <c r="AX120" s="21"/>
      <c r="AY120" s="21"/>
      <c r="AZ120" s="21"/>
      <c r="BA120" s="21"/>
      <c r="BB120" s="21"/>
      <c r="BC120" s="21"/>
      <c r="BD120" s="21"/>
      <c r="BE120" s="21"/>
      <c r="BF120" s="21"/>
      <c r="BG120" s="21"/>
      <c r="BH120" s="21"/>
      <c r="BI120" s="21"/>
      <c r="BJ120" s="21"/>
      <c r="BK120" s="21"/>
      <c r="BL120" s="21"/>
      <c r="BM120" s="21"/>
      <c r="BN120" s="21"/>
      <c r="BO120" s="21"/>
      <c r="BP120" s="21"/>
      <c r="BQ120" s="21"/>
      <c r="BR120" s="21"/>
      <c r="BS120" s="21"/>
      <c r="BT120" s="21"/>
      <c r="BU120" s="21"/>
      <c r="BV120" s="21"/>
      <c r="BW120" s="21"/>
      <c r="BX120" s="21"/>
      <c r="BY120" s="21"/>
      <c r="BZ120" s="21"/>
      <c r="CA120" s="21"/>
      <c r="CB120" s="21"/>
      <c r="CC120" s="21"/>
      <c r="CD120" s="21"/>
      <c r="CE120" s="21"/>
      <c r="CF120" s="21"/>
      <c r="CG120" s="21"/>
      <c r="CH120" s="21"/>
      <c r="CI120" s="21"/>
      <c r="CJ120" s="21"/>
      <c r="CK120" s="21"/>
      <c r="CL120" s="21"/>
      <c r="CM120" s="21"/>
      <c r="CN120" s="21"/>
      <c r="CO120" s="21"/>
      <c r="CP120" s="21"/>
      <c r="CQ120" s="21"/>
      <c r="CR120" s="21"/>
      <c r="CS120" s="21"/>
      <c r="CT120" s="21"/>
      <c r="CU120" s="21"/>
      <c r="CV120" s="21"/>
      <c r="CW120" s="21"/>
      <c r="CX120" s="21"/>
      <c r="CY120" s="21"/>
      <c r="CZ120" s="21"/>
      <c r="DA120" s="21"/>
      <c r="DB120" s="21"/>
      <c r="DC120" s="21"/>
    </row>
    <row r="121">
      <c r="A121" s="21"/>
      <c r="B121" s="488" t="s">
        <v>7324</v>
      </c>
      <c r="C121" s="21"/>
      <c r="D121" s="489" t="b">
        <f>IFALLTRUE(D122:D126)</f>
        <v>0</v>
      </c>
      <c r="E121" s="490"/>
      <c r="F121" s="490" t="str">
        <f>GET_MOB_HEAD(G121)</f>
        <v/>
      </c>
      <c r="G121" s="491" t="s">
        <v>7325</v>
      </c>
      <c r="H121" s="21"/>
      <c r="I121" s="489" t="b">
        <f>IFALLTRUE(I122:I126)</f>
        <v>0</v>
      </c>
      <c r="J121" s="490"/>
      <c r="K121" s="490" t="str">
        <f>GET_MOB_HEAD(L121)</f>
        <v/>
      </c>
      <c r="L121" s="491" t="s">
        <v>7326</v>
      </c>
      <c r="M121" s="21"/>
      <c r="N121" s="489" t="b">
        <f>IFALLTRUE(N122:N126)</f>
        <v>0</v>
      </c>
      <c r="O121" s="490"/>
      <c r="P121" s="490" t="str">
        <f>GET_MOB_HEAD(Q121)</f>
        <v/>
      </c>
      <c r="Q121" s="491" t="s">
        <v>7327</v>
      </c>
      <c r="R121" s="21"/>
      <c r="S121" s="489" t="b">
        <f>IFALLTRUE(S122:S126)</f>
        <v>0</v>
      </c>
      <c r="T121" s="490"/>
      <c r="U121" s="490" t="str">
        <f>GET_MOB_HEAD(V121)</f>
        <v/>
      </c>
      <c r="V121" s="491" t="s">
        <v>7328</v>
      </c>
      <c r="W121" s="21"/>
      <c r="X121" s="489" t="b">
        <f>IFALLTRUE(X122:X126)</f>
        <v>0</v>
      </c>
      <c r="Y121" s="490"/>
      <c r="Z121" s="490" t="str">
        <f>GET_MOB_HEAD(AA121)</f>
        <v/>
      </c>
      <c r="AA121" s="491" t="s">
        <v>7329</v>
      </c>
      <c r="AB121" s="21"/>
      <c r="AC121" s="21"/>
      <c r="AD121" s="21"/>
      <c r="AE121" s="21"/>
      <c r="AF121" s="21"/>
      <c r="AG121" s="21"/>
      <c r="AH121" s="21"/>
      <c r="AI121" s="21"/>
      <c r="AJ121" s="21"/>
      <c r="AK121" s="21"/>
      <c r="AL121" s="21"/>
      <c r="AM121" s="21"/>
      <c r="AN121" s="21"/>
      <c r="AO121" s="21"/>
      <c r="AP121" s="21"/>
      <c r="AQ121" s="21"/>
      <c r="AR121" s="21"/>
      <c r="AS121" s="21"/>
      <c r="AT121" s="21"/>
      <c r="AU121" s="21"/>
      <c r="AV121" s="21"/>
      <c r="AW121" s="21"/>
      <c r="AX121" s="21"/>
      <c r="AY121" s="21"/>
      <c r="AZ121" s="21"/>
      <c r="BA121" s="21"/>
      <c r="BB121" s="21"/>
      <c r="BC121" s="21"/>
      <c r="BD121" s="21"/>
      <c r="BE121" s="21"/>
      <c r="BF121" s="21"/>
      <c r="BG121" s="21"/>
      <c r="BH121" s="21"/>
      <c r="BI121" s="21"/>
      <c r="BJ121" s="21"/>
      <c r="BK121" s="21"/>
      <c r="BL121" s="21"/>
      <c r="BM121" s="21"/>
      <c r="BN121" s="21"/>
      <c r="BO121" s="21"/>
      <c r="BP121" s="21"/>
      <c r="BQ121" s="21"/>
      <c r="BR121" s="21"/>
      <c r="BS121" s="21"/>
      <c r="BT121" s="21"/>
      <c r="BU121" s="21"/>
      <c r="BV121" s="21"/>
      <c r="BW121" s="21"/>
      <c r="BX121" s="21"/>
      <c r="BY121" s="21"/>
      <c r="BZ121" s="21"/>
      <c r="CA121" s="21"/>
      <c r="CB121" s="21"/>
      <c r="CC121" s="21"/>
      <c r="CD121" s="21"/>
      <c r="CE121" s="21"/>
      <c r="CF121" s="21"/>
      <c r="CG121" s="21"/>
      <c r="CH121" s="21"/>
      <c r="CI121" s="21"/>
      <c r="CJ121" s="21"/>
      <c r="CK121" s="21"/>
      <c r="CL121" s="21"/>
      <c r="CM121" s="21"/>
      <c r="CN121" s="21"/>
      <c r="CO121" s="21"/>
      <c r="CP121" s="21"/>
      <c r="CQ121" s="21"/>
      <c r="CR121" s="21"/>
      <c r="CS121" s="21"/>
      <c r="CT121" s="21"/>
      <c r="CU121" s="21"/>
      <c r="CV121" s="21"/>
      <c r="CW121" s="21"/>
      <c r="CX121" s="21"/>
      <c r="CY121" s="21"/>
      <c r="CZ121" s="21"/>
      <c r="DA121" s="21"/>
      <c r="DB121" s="21"/>
      <c r="DC121" s="21"/>
    </row>
    <row r="122">
      <c r="A122" s="21"/>
      <c r="B122" s="439"/>
      <c r="C122" s="21"/>
      <c r="D122" s="492" t="b">
        <f t="shared" ref="D122:D125" si="76">CHECK_MOB(G122,G$121)</f>
        <v>0</v>
      </c>
      <c r="E122" s="493" t="str">
        <f t="array" ref="E122">XLOOKUP(G122,Advancements!$I$2:$I164,Advancements!$C$2:$C164)</f>
        <v/>
      </c>
      <c r="F122" s="493" t="str">
        <f t="array" ref="F122">XLOOKUP(G122,Advancements!$I$2:$I164,Advancements!$H$2:$H164)</f>
        <v/>
      </c>
      <c r="G122" s="494" t="s">
        <v>2679</v>
      </c>
      <c r="H122" s="21"/>
      <c r="I122" s="492" t="b">
        <f t="shared" ref="I122:I128" si="77">CHECK_MOB(L122,L$121)</f>
        <v>0</v>
      </c>
      <c r="J122" s="493" t="str">
        <f t="array" ref="J122">XLOOKUP(L122,Advancements!$I$2:$I164,Advancements!$C$2:$C164)</f>
        <v/>
      </c>
      <c r="K122" s="493" t="str">
        <f t="array" ref="K122">XLOOKUP(L122,Advancements!$I$2:$I164,Advancements!$H$2:$H164)</f>
        <v/>
      </c>
      <c r="L122" s="494" t="s">
        <v>2679</v>
      </c>
      <c r="M122" s="21"/>
      <c r="N122" s="492" t="b">
        <f t="shared" ref="N122:N130" si="78">CHECK_MOB(Q122,Q$121)</f>
        <v>0</v>
      </c>
      <c r="O122" s="493" t="str">
        <f t="array" ref="O122">XLOOKUP(Q122,Advancements!$I$2:$I164,Advancements!$C$2:$C164)</f>
        <v/>
      </c>
      <c r="P122" s="493" t="str">
        <f t="array" ref="P122">XLOOKUP(Q122,Advancements!$I$2:$I164,Advancements!$H$2:$H164)</f>
        <v/>
      </c>
      <c r="Q122" s="494" t="s">
        <v>2679</v>
      </c>
      <c r="R122" s="21"/>
      <c r="S122" s="492" t="b">
        <f t="shared" ref="S122:S130" si="79">CHECK_MOB(V122,V$121)</f>
        <v>0</v>
      </c>
      <c r="T122" s="493" t="str">
        <f t="array" ref="T122">XLOOKUP(V122,Advancements!$I$2:$I164,Advancements!$C$2:$C164)</f>
        <v/>
      </c>
      <c r="U122" s="493" t="str">
        <f t="array" ref="U122">XLOOKUP(V122,Advancements!$I$2:$I164,Advancements!$H$2:$H164)</f>
        <v/>
      </c>
      <c r="V122" s="494" t="s">
        <v>2679</v>
      </c>
      <c r="W122" s="21"/>
      <c r="X122" s="492" t="b">
        <f t="shared" ref="X122:X127" si="80">CHECK_MOB(AA122,AA$121)</f>
        <v>0</v>
      </c>
      <c r="Y122" s="493" t="str">
        <f t="array" ref="Y122">XLOOKUP(AA122,Advancements!$I$2:$I164,Advancements!$C$2:$C164)</f>
        <v/>
      </c>
      <c r="Z122" s="493" t="str">
        <f t="array" ref="Z122">XLOOKUP(AA122,Advancements!$I$2:$I164,Advancements!$H$2:$H164)</f>
        <v/>
      </c>
      <c r="AA122" s="494" t="s">
        <v>63</v>
      </c>
      <c r="AB122" s="21"/>
      <c r="AC122" s="21"/>
      <c r="AD122" s="21"/>
      <c r="AE122" s="21"/>
      <c r="AF122" s="21"/>
      <c r="AG122" s="21"/>
      <c r="AH122" s="21"/>
      <c r="AI122" s="21"/>
      <c r="AJ122" s="21"/>
      <c r="AK122" s="21"/>
      <c r="AL122" s="21"/>
      <c r="AM122" s="21"/>
      <c r="AN122" s="21"/>
      <c r="AO122" s="21"/>
      <c r="AP122" s="21"/>
      <c r="AQ122" s="21"/>
      <c r="AR122" s="21"/>
      <c r="AS122" s="21"/>
      <c r="AT122" s="21"/>
      <c r="AU122" s="21"/>
      <c r="AV122" s="21"/>
      <c r="AW122" s="21"/>
      <c r="AX122" s="21"/>
      <c r="AY122" s="21"/>
      <c r="AZ122" s="21"/>
      <c r="BA122" s="21"/>
      <c r="BB122" s="21"/>
      <c r="BC122" s="21"/>
      <c r="BD122" s="21"/>
      <c r="BE122" s="21"/>
      <c r="BF122" s="21"/>
      <c r="BG122" s="21"/>
      <c r="BH122" s="21"/>
      <c r="BI122" s="21"/>
      <c r="BJ122" s="21"/>
      <c r="BK122" s="21"/>
      <c r="BL122" s="21"/>
      <c r="BM122" s="21"/>
      <c r="BN122" s="21"/>
      <c r="BO122" s="21"/>
      <c r="BP122" s="21"/>
      <c r="BQ122" s="21"/>
      <c r="BR122" s="21"/>
      <c r="BS122" s="21"/>
      <c r="BT122" s="21"/>
      <c r="BU122" s="21"/>
      <c r="BV122" s="21"/>
      <c r="BW122" s="21"/>
      <c r="BX122" s="21"/>
      <c r="BY122" s="21"/>
      <c r="BZ122" s="21"/>
      <c r="CA122" s="21"/>
      <c r="CB122" s="21"/>
      <c r="CC122" s="21"/>
      <c r="CD122" s="21"/>
      <c r="CE122" s="21"/>
      <c r="CF122" s="21"/>
      <c r="CG122" s="21"/>
      <c r="CH122" s="21"/>
      <c r="CI122" s="21"/>
      <c r="CJ122" s="21"/>
      <c r="CK122" s="21"/>
      <c r="CL122" s="21"/>
      <c r="CM122" s="21"/>
      <c r="CN122" s="21"/>
      <c r="CO122" s="21"/>
      <c r="CP122" s="21"/>
      <c r="CQ122" s="21"/>
      <c r="CR122" s="21"/>
      <c r="CS122" s="21"/>
      <c r="CT122" s="21"/>
      <c r="CU122" s="21"/>
      <c r="CV122" s="21"/>
      <c r="CW122" s="21"/>
      <c r="CX122" s="21"/>
      <c r="CY122" s="21"/>
      <c r="CZ122" s="21"/>
      <c r="DA122" s="21"/>
      <c r="DB122" s="21"/>
      <c r="DC122" s="21"/>
    </row>
    <row r="123">
      <c r="A123" s="21"/>
      <c r="B123" s="439"/>
      <c r="C123" s="21"/>
      <c r="D123" s="495" t="b">
        <f t="shared" si="76"/>
        <v>0</v>
      </c>
      <c r="E123" s="496" t="str">
        <f t="array" ref="E123">XLOOKUP(G123,Advancements!$I$2:$I164,Advancements!$C$2:$C164)</f>
        <v/>
      </c>
      <c r="F123" s="496" t="str">
        <f t="array" ref="F123">XLOOKUP(G123,Advancements!$I$2:$I164,Advancements!$H$2:$H164)</f>
        <v/>
      </c>
      <c r="G123" s="497" t="s">
        <v>59</v>
      </c>
      <c r="H123" s="21"/>
      <c r="I123" s="495" t="b">
        <f t="shared" si="77"/>
        <v>0</v>
      </c>
      <c r="J123" s="496" t="str">
        <f t="array" ref="J123">XLOOKUP(L123,Advancements!$I$2:$I164,Advancements!$C$2:$C164)</f>
        <v/>
      </c>
      <c r="K123" s="496" t="str">
        <f t="array" ref="K123">XLOOKUP(L123,Advancements!$I$2:$I164,Advancements!$H$2:$H164)</f>
        <v/>
      </c>
      <c r="L123" s="497" t="s">
        <v>3616</v>
      </c>
      <c r="M123" s="21"/>
      <c r="N123" s="495" t="b">
        <f t="shared" si="78"/>
        <v>0</v>
      </c>
      <c r="O123" s="496" t="str">
        <f t="array" ref="O123">XLOOKUP(Q123,Advancements!$I$2:$I164,Advancements!$C$2:$C164)</f>
        <v/>
      </c>
      <c r="P123" s="496" t="str">
        <f t="array" ref="P123">XLOOKUP(Q123,Advancements!$I$2:$I164,Advancements!$H$2:$H164)</f>
        <v/>
      </c>
      <c r="Q123" s="497" t="s">
        <v>3616</v>
      </c>
      <c r="R123" s="21"/>
      <c r="S123" s="495" t="b">
        <f t="shared" si="79"/>
        <v>0</v>
      </c>
      <c r="T123" s="496" t="str">
        <f t="array" ref="T123">XLOOKUP(V123,Advancements!$I$2:$I164,Advancements!$C$2:$C164)</f>
        <v/>
      </c>
      <c r="U123" s="496" t="str">
        <f t="array" ref="U123">XLOOKUP(V123,Advancements!$I$2:$I164,Advancements!$H$2:$H164)</f>
        <v/>
      </c>
      <c r="V123" s="497" t="s">
        <v>3616</v>
      </c>
      <c r="W123" s="21"/>
      <c r="X123" s="495" t="b">
        <f t="shared" si="80"/>
        <v>0</v>
      </c>
      <c r="Y123" s="496" t="str">
        <f t="array" ref="Y123">XLOOKUP(AA123,Advancements!$I$2:$I164,Advancements!$C$2:$C164)</f>
        <v/>
      </c>
      <c r="Z123" s="496" t="str">
        <f t="array" ref="Z123">XLOOKUP(AA123,Advancements!$I$2:$I164,Advancements!$H$2:$H164)</f>
        <v/>
      </c>
      <c r="AA123" s="497" t="s">
        <v>2618</v>
      </c>
      <c r="AB123" s="21"/>
      <c r="AC123" s="21"/>
      <c r="AD123" s="21"/>
      <c r="AE123" s="21"/>
      <c r="AF123" s="21"/>
      <c r="AG123" s="21"/>
      <c r="AH123" s="21"/>
      <c r="AI123" s="21"/>
      <c r="AJ123" s="21"/>
      <c r="AK123" s="21"/>
      <c r="AL123" s="21"/>
      <c r="AM123" s="21"/>
      <c r="AN123" s="21"/>
      <c r="AO123" s="21"/>
      <c r="AP123" s="21"/>
      <c r="AQ123" s="21"/>
      <c r="AR123" s="21"/>
      <c r="AS123" s="21"/>
      <c r="AT123" s="21"/>
      <c r="AU123" s="21"/>
      <c r="AV123" s="21"/>
      <c r="AW123" s="21"/>
      <c r="AX123" s="21"/>
      <c r="AY123" s="21"/>
      <c r="AZ123" s="21"/>
      <c r="BA123" s="21"/>
      <c r="BB123" s="21"/>
      <c r="BC123" s="21"/>
      <c r="BD123" s="21"/>
      <c r="BE123" s="21"/>
      <c r="BF123" s="21"/>
      <c r="BG123" s="21"/>
      <c r="BH123" s="21"/>
      <c r="BI123" s="21"/>
      <c r="BJ123" s="21"/>
      <c r="BK123" s="21"/>
      <c r="BL123" s="21"/>
      <c r="BM123" s="21"/>
      <c r="BN123" s="21"/>
      <c r="BO123" s="21"/>
      <c r="BP123" s="21"/>
      <c r="BQ123" s="21"/>
      <c r="BR123" s="21"/>
      <c r="BS123" s="21"/>
      <c r="BT123" s="21"/>
      <c r="BU123" s="21"/>
      <c r="BV123" s="21"/>
      <c r="BW123" s="21"/>
      <c r="BX123" s="21"/>
      <c r="BY123" s="21"/>
      <c r="BZ123" s="21"/>
      <c r="CA123" s="21"/>
      <c r="CB123" s="21"/>
      <c r="CC123" s="21"/>
      <c r="CD123" s="21"/>
      <c r="CE123" s="21"/>
      <c r="CF123" s="21"/>
      <c r="CG123" s="21"/>
      <c r="CH123" s="21"/>
      <c r="CI123" s="21"/>
      <c r="CJ123" s="21"/>
      <c r="CK123" s="21"/>
      <c r="CL123" s="21"/>
      <c r="CM123" s="21"/>
      <c r="CN123" s="21"/>
      <c r="CO123" s="21"/>
      <c r="CP123" s="21"/>
      <c r="CQ123" s="21"/>
      <c r="CR123" s="21"/>
      <c r="CS123" s="21"/>
      <c r="CT123" s="21"/>
      <c r="CU123" s="21"/>
      <c r="CV123" s="21"/>
      <c r="CW123" s="21"/>
      <c r="CX123" s="21"/>
      <c r="CY123" s="21"/>
      <c r="CZ123" s="21"/>
      <c r="DA123" s="21"/>
      <c r="DB123" s="21"/>
      <c r="DC123" s="21"/>
    </row>
    <row r="124">
      <c r="A124" s="21"/>
      <c r="B124" s="439"/>
      <c r="C124" s="21"/>
      <c r="D124" s="495" t="b">
        <f t="shared" si="76"/>
        <v>0</v>
      </c>
      <c r="E124" s="496" t="str">
        <f t="array" ref="E124">XLOOKUP(G124,Advancements!$I$2:$I164,Advancements!$C$2:$C164)</f>
        <v/>
      </c>
      <c r="F124" s="496" t="str">
        <f t="array" ref="F124">XLOOKUP(G124,Advancements!$I$2:$I164,Advancements!$H$2:$H164)</f>
        <v/>
      </c>
      <c r="G124" s="497" t="s">
        <v>36</v>
      </c>
      <c r="H124" s="21"/>
      <c r="I124" s="495" t="b">
        <f t="shared" si="77"/>
        <v>0</v>
      </c>
      <c r="J124" s="496" t="str">
        <f t="array" ref="J124">XLOOKUP(L124,Advancements!$I$2:$I164,Advancements!$C$2:$C164)</f>
        <v/>
      </c>
      <c r="K124" s="496" t="str">
        <f t="array" ref="K124">XLOOKUP(L124,Advancements!$I$2:$I164,Advancements!$H$2:$H164)</f>
        <v/>
      </c>
      <c r="L124" s="497" t="s">
        <v>2738</v>
      </c>
      <c r="M124" s="21"/>
      <c r="N124" s="495" t="b">
        <f t="shared" si="78"/>
        <v>0</v>
      </c>
      <c r="O124" s="496" t="str">
        <f t="array" ref="O124">XLOOKUP(Q124,Advancements!$I$2:$I164,Advancements!$C$2:$C164)</f>
        <v/>
      </c>
      <c r="P124" s="496" t="str">
        <f t="array" ref="P124">XLOOKUP(Q124,Advancements!$I$2:$I164,Advancements!$H$2:$H164)</f>
        <v/>
      </c>
      <c r="Q124" s="497" t="s">
        <v>63</v>
      </c>
      <c r="R124" s="21"/>
      <c r="S124" s="495" t="b">
        <f t="shared" si="79"/>
        <v>0</v>
      </c>
      <c r="T124" s="496" t="str">
        <f t="array" ref="T124">XLOOKUP(V124,Advancements!$I$2:$I164,Advancements!$C$2:$C164)</f>
        <v/>
      </c>
      <c r="U124" s="496" t="str">
        <f t="array" ref="U124">XLOOKUP(V124,Advancements!$I$2:$I164,Advancements!$H$2:$H164)</f>
        <v/>
      </c>
      <c r="V124" s="497" t="s">
        <v>63</v>
      </c>
      <c r="W124" s="21"/>
      <c r="X124" s="495" t="b">
        <f t="shared" si="80"/>
        <v>0</v>
      </c>
      <c r="Y124" s="496" t="str">
        <f t="array" ref="Y124">XLOOKUP(AA124,Advancements!$I$2:$I164,Advancements!$C$2:$C164)</f>
        <v/>
      </c>
      <c r="Z124" s="496" t="str">
        <f t="array" ref="Z124">XLOOKUP(AA124,Advancements!$I$2:$I164,Advancements!$H$2:$H164)</f>
        <v/>
      </c>
      <c r="AA124" s="497" t="s">
        <v>59</v>
      </c>
      <c r="AB124" s="21"/>
      <c r="AC124" s="21"/>
      <c r="AD124" s="21"/>
      <c r="AE124" s="21"/>
      <c r="AF124" s="21"/>
      <c r="AG124" s="21"/>
      <c r="AH124" s="21"/>
      <c r="AI124" s="21"/>
      <c r="AJ124" s="21"/>
      <c r="AK124" s="21"/>
      <c r="AL124" s="21"/>
      <c r="AM124" s="21"/>
      <c r="AN124" s="21"/>
      <c r="AO124" s="21"/>
      <c r="AP124" s="21"/>
      <c r="AQ124" s="21"/>
      <c r="AR124" s="21"/>
      <c r="AS124" s="21"/>
      <c r="AT124" s="21"/>
      <c r="AU124" s="21"/>
      <c r="AV124" s="21"/>
      <c r="AW124" s="21"/>
      <c r="AX124" s="21"/>
      <c r="AY124" s="21"/>
      <c r="AZ124" s="21"/>
      <c r="BA124" s="21"/>
      <c r="BB124" s="21"/>
      <c r="BC124" s="21"/>
      <c r="BD124" s="21"/>
      <c r="BE124" s="21"/>
      <c r="BF124" s="21"/>
      <c r="BG124" s="21"/>
      <c r="BH124" s="21"/>
      <c r="BI124" s="21"/>
      <c r="BJ124" s="21"/>
      <c r="BK124" s="21"/>
      <c r="BL124" s="21"/>
      <c r="BM124" s="21"/>
      <c r="BN124" s="21"/>
      <c r="BO124" s="21"/>
      <c r="BP124" s="21"/>
      <c r="BQ124" s="21"/>
      <c r="BR124" s="21"/>
      <c r="BS124" s="21"/>
      <c r="BT124" s="21"/>
      <c r="BU124" s="21"/>
      <c r="BV124" s="21"/>
      <c r="BW124" s="21"/>
      <c r="BX124" s="21"/>
      <c r="BY124" s="21"/>
      <c r="BZ124" s="21"/>
      <c r="CA124" s="21"/>
      <c r="CB124" s="21"/>
      <c r="CC124" s="21"/>
      <c r="CD124" s="21"/>
      <c r="CE124" s="21"/>
      <c r="CF124" s="21"/>
      <c r="CG124" s="21"/>
      <c r="CH124" s="21"/>
      <c r="CI124" s="21"/>
      <c r="CJ124" s="21"/>
      <c r="CK124" s="21"/>
      <c r="CL124" s="21"/>
      <c r="CM124" s="21"/>
      <c r="CN124" s="21"/>
      <c r="CO124" s="21"/>
      <c r="CP124" s="21"/>
      <c r="CQ124" s="21"/>
      <c r="CR124" s="21"/>
      <c r="CS124" s="21"/>
      <c r="CT124" s="21"/>
      <c r="CU124" s="21"/>
      <c r="CV124" s="21"/>
      <c r="CW124" s="21"/>
      <c r="CX124" s="21"/>
      <c r="CY124" s="21"/>
      <c r="CZ124" s="21"/>
      <c r="DA124" s="21"/>
      <c r="DB124" s="21"/>
      <c r="DC124" s="21"/>
    </row>
    <row r="125">
      <c r="A125" s="21"/>
      <c r="B125" s="439"/>
      <c r="C125" s="21"/>
      <c r="D125" s="508" t="b">
        <f t="shared" si="76"/>
        <v>0</v>
      </c>
      <c r="E125" s="506" t="str">
        <f t="array" ref="E125">XLOOKUP(G125,Advancements!$I$2:$I164,Advancements!$C$2:$C164)</f>
        <v/>
      </c>
      <c r="F125" s="506" t="str">
        <f t="array" ref="F125">XLOOKUP(G125,Advancements!$I$2:$I164,Advancements!$H$2:$H164)</f>
        <v/>
      </c>
      <c r="G125" s="507" t="s">
        <v>4846</v>
      </c>
      <c r="H125" s="21"/>
      <c r="I125" s="495" t="b">
        <f t="shared" si="77"/>
        <v>0</v>
      </c>
      <c r="J125" s="496" t="str">
        <f t="array" ref="J125">XLOOKUP(L125,Advancements!$I$2:$I164,Advancements!$C$2:$C164)</f>
        <v/>
      </c>
      <c r="K125" s="496" t="str">
        <f t="array" ref="K125">XLOOKUP(L125,Advancements!$I$2:$I164,Advancements!$H$2:$H164)</f>
        <v/>
      </c>
      <c r="L125" s="497" t="s">
        <v>59</v>
      </c>
      <c r="M125" s="21"/>
      <c r="N125" s="495" t="b">
        <f t="shared" si="78"/>
        <v>0</v>
      </c>
      <c r="O125" s="496" t="str">
        <f t="array" ref="O125">XLOOKUP(Q125,Advancements!$I$2:$I164,Advancements!$C$2:$C164)</f>
        <v/>
      </c>
      <c r="P125" s="496" t="str">
        <f t="array" ref="P125">XLOOKUP(Q125,Advancements!$I$2:$I164,Advancements!$H$2:$H164)</f>
        <v/>
      </c>
      <c r="Q125" s="497" t="s">
        <v>2738</v>
      </c>
      <c r="R125" s="21"/>
      <c r="S125" s="495" t="b">
        <f t="shared" si="79"/>
        <v>0</v>
      </c>
      <c r="T125" s="496" t="str">
        <f t="array" ref="T125">XLOOKUP(V125,Advancements!$I$2:$I164,Advancements!$C$2:$C164)</f>
        <v/>
      </c>
      <c r="U125" s="496" t="str">
        <f t="array" ref="U125">XLOOKUP(V125,Advancements!$I$2:$I164,Advancements!$H$2:$H164)</f>
        <v/>
      </c>
      <c r="V125" s="497" t="s">
        <v>2738</v>
      </c>
      <c r="W125" s="21"/>
      <c r="X125" s="495" t="b">
        <f t="shared" si="80"/>
        <v>0</v>
      </c>
      <c r="Y125" s="496" t="str">
        <f t="array" ref="Y125">XLOOKUP(AA125,Advancements!$I$2:$I164,Advancements!$C$2:$C164)</f>
        <v/>
      </c>
      <c r="Z125" s="496" t="str">
        <f t="array" ref="Z125">XLOOKUP(AA125,Advancements!$I$2:$I164,Advancements!$H$2:$H164)</f>
        <v/>
      </c>
      <c r="AA125" s="497" t="s">
        <v>55</v>
      </c>
      <c r="AB125" s="21"/>
      <c r="AC125" s="21"/>
      <c r="AD125" s="21"/>
      <c r="AE125" s="21"/>
      <c r="AF125" s="21"/>
      <c r="AG125" s="21"/>
      <c r="AH125" s="21"/>
      <c r="AI125" s="21"/>
      <c r="AJ125" s="21"/>
      <c r="AK125" s="21"/>
      <c r="AL125" s="21"/>
      <c r="AM125" s="21"/>
      <c r="AN125" s="21"/>
      <c r="AO125" s="21"/>
      <c r="AP125" s="21"/>
      <c r="AQ125" s="21"/>
      <c r="AR125" s="21"/>
      <c r="AS125" s="21"/>
      <c r="AT125" s="21"/>
      <c r="AU125" s="21"/>
      <c r="AV125" s="21"/>
      <c r="AW125" s="21"/>
      <c r="AX125" s="21"/>
      <c r="AY125" s="21"/>
      <c r="AZ125" s="21"/>
      <c r="BA125" s="21"/>
      <c r="BB125" s="21"/>
      <c r="BC125" s="21"/>
      <c r="BD125" s="21"/>
      <c r="BE125" s="21"/>
      <c r="BF125" s="21"/>
      <c r="BG125" s="21"/>
      <c r="BH125" s="21"/>
      <c r="BI125" s="21"/>
      <c r="BJ125" s="21"/>
      <c r="BK125" s="21"/>
      <c r="BL125" s="21"/>
      <c r="BM125" s="21"/>
      <c r="BN125" s="21"/>
      <c r="BO125" s="21"/>
      <c r="BP125" s="21"/>
      <c r="BQ125" s="21"/>
      <c r="BR125" s="21"/>
      <c r="BS125" s="21"/>
      <c r="BT125" s="21"/>
      <c r="BU125" s="21"/>
      <c r="BV125" s="21"/>
      <c r="BW125" s="21"/>
      <c r="BX125" s="21"/>
      <c r="BY125" s="21"/>
      <c r="BZ125" s="21"/>
      <c r="CA125" s="21"/>
      <c r="CB125" s="21"/>
      <c r="CC125" s="21"/>
      <c r="CD125" s="21"/>
      <c r="CE125" s="21"/>
      <c r="CF125" s="21"/>
      <c r="CG125" s="21"/>
      <c r="CH125" s="21"/>
      <c r="CI125" s="21"/>
      <c r="CJ125" s="21"/>
      <c r="CK125" s="21"/>
      <c r="CL125" s="21"/>
      <c r="CM125" s="21"/>
      <c r="CN125" s="21"/>
      <c r="CO125" s="21"/>
      <c r="CP125" s="21"/>
      <c r="CQ125" s="21"/>
      <c r="CR125" s="21"/>
      <c r="CS125" s="21"/>
      <c r="CT125" s="21"/>
      <c r="CU125" s="21"/>
      <c r="CV125" s="21"/>
      <c r="CW125" s="21"/>
      <c r="CX125" s="21"/>
      <c r="CY125" s="21"/>
      <c r="CZ125" s="21"/>
      <c r="DA125" s="21"/>
      <c r="DB125" s="21"/>
      <c r="DC125" s="21"/>
    </row>
    <row r="126">
      <c r="A126" s="21"/>
      <c r="B126" s="439"/>
      <c r="C126" s="21"/>
      <c r="D126" s="21"/>
      <c r="E126" s="21"/>
      <c r="F126" s="21"/>
      <c r="G126" s="21"/>
      <c r="H126" s="21"/>
      <c r="I126" s="495" t="b">
        <f t="shared" si="77"/>
        <v>0</v>
      </c>
      <c r="J126" s="496" t="str">
        <f t="array" ref="J126">XLOOKUP(L126,Advancements!$I$2:$I164,Advancements!$C$2:$C164)</f>
        <v/>
      </c>
      <c r="K126" s="496" t="str">
        <f t="array" ref="K126">XLOOKUP(L126,Advancements!$I$2:$I164,Advancements!$H$2:$H164)</f>
        <v/>
      </c>
      <c r="L126" s="497" t="s">
        <v>55</v>
      </c>
      <c r="M126" s="21"/>
      <c r="N126" s="495" t="b">
        <f t="shared" si="78"/>
        <v>0</v>
      </c>
      <c r="O126" s="496" t="str">
        <f t="array" ref="O126">XLOOKUP(Q126,Advancements!$I$2:$I164,Advancements!$C$2:$C164)</f>
        <v/>
      </c>
      <c r="P126" s="496" t="str">
        <f t="array" ref="P126">XLOOKUP(Q126,Advancements!$I$2:$I164,Advancements!$H$2:$H164)</f>
        <v/>
      </c>
      <c r="Q126" s="497" t="s">
        <v>59</v>
      </c>
      <c r="R126" s="21"/>
      <c r="S126" s="495" t="b">
        <f t="shared" si="79"/>
        <v>0</v>
      </c>
      <c r="T126" s="496" t="str">
        <f t="array" ref="T126">XLOOKUP(V126,Advancements!$I$2:$I164,Advancements!$C$2:$C164)</f>
        <v/>
      </c>
      <c r="U126" s="496" t="str">
        <f t="array" ref="U126">XLOOKUP(V126,Advancements!$I$2:$I164,Advancements!$H$2:$H164)</f>
        <v/>
      </c>
      <c r="V126" s="497" t="s">
        <v>59</v>
      </c>
      <c r="W126" s="21"/>
      <c r="X126" s="495" t="b">
        <f t="shared" si="80"/>
        <v>0</v>
      </c>
      <c r="Y126" s="496" t="str">
        <f t="array" ref="Y126">XLOOKUP(AA126,Advancements!$I$2:$I164,Advancements!$C$2:$C164)</f>
        <v/>
      </c>
      <c r="Z126" s="496" t="str">
        <f t="array" ref="Z126">XLOOKUP(AA126,Advancements!$I$2:$I164,Advancements!$H$2:$H164)</f>
        <v/>
      </c>
      <c r="AA126" s="497" t="s">
        <v>67</v>
      </c>
      <c r="AB126" s="21"/>
      <c r="AC126" s="21"/>
      <c r="AD126" s="21"/>
      <c r="AE126" s="21"/>
      <c r="AF126" s="21"/>
      <c r="AG126" s="21"/>
      <c r="AH126" s="21"/>
      <c r="AI126" s="21"/>
      <c r="AJ126" s="21"/>
      <c r="AK126" s="21"/>
      <c r="AL126" s="21"/>
      <c r="AM126" s="21"/>
      <c r="AN126" s="21"/>
      <c r="AO126" s="21"/>
      <c r="AP126" s="21"/>
      <c r="AQ126" s="21"/>
      <c r="AR126" s="21"/>
      <c r="AS126" s="21"/>
      <c r="AT126" s="21"/>
      <c r="AU126" s="21"/>
      <c r="AV126" s="21"/>
      <c r="AW126" s="21"/>
      <c r="AX126" s="21"/>
      <c r="AY126" s="21"/>
      <c r="AZ126" s="21"/>
      <c r="BA126" s="21"/>
      <c r="BB126" s="21"/>
      <c r="BC126" s="21"/>
      <c r="BD126" s="21"/>
      <c r="BE126" s="21"/>
      <c r="BF126" s="21"/>
      <c r="BG126" s="21"/>
      <c r="BH126" s="21"/>
      <c r="BI126" s="21"/>
      <c r="BJ126" s="21"/>
      <c r="BK126" s="21"/>
      <c r="BL126" s="21"/>
      <c r="BM126" s="21"/>
      <c r="BN126" s="21"/>
      <c r="BO126" s="21"/>
      <c r="BP126" s="21"/>
      <c r="BQ126" s="21"/>
      <c r="BR126" s="21"/>
      <c r="BS126" s="21"/>
      <c r="BT126" s="21"/>
      <c r="BU126" s="21"/>
      <c r="BV126" s="21"/>
      <c r="BW126" s="21"/>
      <c r="BX126" s="21"/>
      <c r="BY126" s="21"/>
      <c r="BZ126" s="21"/>
      <c r="CA126" s="21"/>
      <c r="CB126" s="21"/>
      <c r="CC126" s="21"/>
      <c r="CD126" s="21"/>
      <c r="CE126" s="21"/>
      <c r="CF126" s="21"/>
      <c r="CG126" s="21"/>
      <c r="CH126" s="21"/>
      <c r="CI126" s="21"/>
      <c r="CJ126" s="21"/>
      <c r="CK126" s="21"/>
      <c r="CL126" s="21"/>
      <c r="CM126" s="21"/>
      <c r="CN126" s="21"/>
      <c r="CO126" s="21"/>
      <c r="CP126" s="21"/>
      <c r="CQ126" s="21"/>
      <c r="CR126" s="21"/>
      <c r="CS126" s="21"/>
      <c r="CT126" s="21"/>
      <c r="CU126" s="21"/>
      <c r="CV126" s="21"/>
      <c r="CW126" s="21"/>
      <c r="CX126" s="21"/>
      <c r="CY126" s="21"/>
      <c r="CZ126" s="21"/>
      <c r="DA126" s="21"/>
      <c r="DB126" s="21"/>
      <c r="DC126" s="21"/>
    </row>
    <row r="127">
      <c r="A127" s="21"/>
      <c r="B127" s="439"/>
      <c r="C127" s="21"/>
      <c r="D127" s="21"/>
      <c r="E127" s="21"/>
      <c r="F127" s="21"/>
      <c r="G127" s="21"/>
      <c r="H127" s="21"/>
      <c r="I127" s="495" t="b">
        <f t="shared" si="77"/>
        <v>0</v>
      </c>
      <c r="J127" s="496" t="str">
        <f t="array" ref="J127">XLOOKUP(L127,Advancements!$I$2:$I164,Advancements!$C$2:$C164)</f>
        <v/>
      </c>
      <c r="K127" s="496" t="str">
        <f t="array" ref="K127">XLOOKUP(L127,Advancements!$I$2:$I164,Advancements!$H$2:$H164)</f>
        <v/>
      </c>
      <c r="L127" s="497" t="s">
        <v>36</v>
      </c>
      <c r="M127" s="21"/>
      <c r="N127" s="495" t="b">
        <f t="shared" si="78"/>
        <v>0</v>
      </c>
      <c r="O127" s="496" t="str">
        <f t="array" ref="O127">XLOOKUP(Q127,Advancements!$I$2:$I164,Advancements!$C$2:$C164)</f>
        <v/>
      </c>
      <c r="P127" s="496" t="str">
        <f t="array" ref="P127">XLOOKUP(Q127,Advancements!$I$2:$I164,Advancements!$H$2:$H164)</f>
        <v/>
      </c>
      <c r="Q127" s="497" t="s">
        <v>55</v>
      </c>
      <c r="R127" s="21"/>
      <c r="S127" s="495" t="b">
        <f t="shared" si="79"/>
        <v>0</v>
      </c>
      <c r="T127" s="496" t="str">
        <f t="array" ref="T127">XLOOKUP(V127,Advancements!$I$2:$I164,Advancements!$C$2:$C164)</f>
        <v/>
      </c>
      <c r="U127" s="496" t="str">
        <f t="array" ref="U127">XLOOKUP(V127,Advancements!$I$2:$I164,Advancements!$H$2:$H164)</f>
        <v/>
      </c>
      <c r="V127" s="497" t="s">
        <v>55</v>
      </c>
      <c r="W127" s="21"/>
      <c r="X127" s="508" t="b">
        <f t="shared" si="80"/>
        <v>0</v>
      </c>
      <c r="Y127" s="506" t="str">
        <f t="array" ref="Y127">XLOOKUP(AA127,Advancements!$I$2:$I164,Advancements!$C$2:$C164)</f>
        <v/>
      </c>
      <c r="Z127" s="506" t="str">
        <f t="array" ref="Z127">XLOOKUP(AA127,Advancements!$I$2:$I164,Advancements!$H$2:$H164)</f>
        <v/>
      </c>
      <c r="AA127" s="507" t="s">
        <v>4846</v>
      </c>
      <c r="AB127" s="21"/>
      <c r="AC127" s="21"/>
      <c r="AD127" s="21"/>
      <c r="AE127" s="21"/>
      <c r="AF127" s="21"/>
      <c r="AG127" s="21"/>
      <c r="AH127" s="21"/>
      <c r="AI127" s="21"/>
      <c r="AJ127" s="21"/>
      <c r="AK127" s="21"/>
      <c r="AL127" s="21"/>
      <c r="AM127" s="21"/>
      <c r="AN127" s="21"/>
      <c r="AO127" s="21"/>
      <c r="AP127" s="21"/>
      <c r="AQ127" s="21"/>
      <c r="AR127" s="21"/>
      <c r="AS127" s="21"/>
      <c r="AT127" s="21"/>
      <c r="AU127" s="21"/>
      <c r="AV127" s="21"/>
      <c r="AW127" s="21"/>
      <c r="AX127" s="21"/>
      <c r="AY127" s="21"/>
      <c r="AZ127" s="21"/>
      <c r="BA127" s="21"/>
      <c r="BB127" s="21"/>
      <c r="BC127" s="21"/>
      <c r="BD127" s="21"/>
      <c r="BE127" s="21"/>
      <c r="BF127" s="21"/>
      <c r="BG127" s="21"/>
      <c r="BH127" s="21"/>
      <c r="BI127" s="21"/>
      <c r="BJ127" s="21"/>
      <c r="BK127" s="21"/>
      <c r="BL127" s="21"/>
      <c r="BM127" s="21"/>
      <c r="BN127" s="21"/>
      <c r="BO127" s="21"/>
      <c r="BP127" s="21"/>
      <c r="BQ127" s="21"/>
      <c r="BR127" s="21"/>
      <c r="BS127" s="21"/>
      <c r="BT127" s="21"/>
      <c r="BU127" s="21"/>
      <c r="BV127" s="21"/>
      <c r="BW127" s="21"/>
      <c r="BX127" s="21"/>
      <c r="BY127" s="21"/>
      <c r="BZ127" s="21"/>
      <c r="CA127" s="21"/>
      <c r="CB127" s="21"/>
      <c r="CC127" s="21"/>
      <c r="CD127" s="21"/>
      <c r="CE127" s="21"/>
      <c r="CF127" s="21"/>
      <c r="CG127" s="21"/>
      <c r="CH127" s="21"/>
      <c r="CI127" s="21"/>
      <c r="CJ127" s="21"/>
      <c r="CK127" s="21"/>
      <c r="CL127" s="21"/>
      <c r="CM127" s="21"/>
      <c r="CN127" s="21"/>
      <c r="CO127" s="21"/>
      <c r="CP127" s="21"/>
      <c r="CQ127" s="21"/>
      <c r="CR127" s="21"/>
      <c r="CS127" s="21"/>
      <c r="CT127" s="21"/>
      <c r="CU127" s="21"/>
      <c r="CV127" s="21"/>
      <c r="CW127" s="21"/>
      <c r="CX127" s="21"/>
      <c r="CY127" s="21"/>
      <c r="CZ127" s="21"/>
      <c r="DA127" s="21"/>
      <c r="DB127" s="21"/>
      <c r="DC127" s="21"/>
    </row>
    <row r="128">
      <c r="A128" s="21"/>
      <c r="B128" s="439"/>
      <c r="C128" s="21"/>
      <c r="D128" s="21"/>
      <c r="E128" s="21"/>
      <c r="F128" s="21"/>
      <c r="G128" s="21"/>
      <c r="H128" s="21"/>
      <c r="I128" s="508" t="b">
        <f t="shared" si="77"/>
        <v>0</v>
      </c>
      <c r="J128" s="506" t="str">
        <f t="array" ref="J128">XLOOKUP(L128,Advancements!$I$2:$I164,Advancements!$C$2:$C164)</f>
        <v/>
      </c>
      <c r="K128" s="506" t="str">
        <f t="array" ref="K128">XLOOKUP(L128,Advancements!$I$2:$I164,Advancements!$H$2:$H164)</f>
        <v/>
      </c>
      <c r="L128" s="507" t="s">
        <v>4846</v>
      </c>
      <c r="M128" s="21"/>
      <c r="N128" s="495" t="b">
        <f t="shared" si="78"/>
        <v>0</v>
      </c>
      <c r="O128" s="496" t="str">
        <f t="array" ref="O128">XLOOKUP(Q128,Advancements!$I$2:$I164,Advancements!$C$2:$C164)</f>
        <v/>
      </c>
      <c r="P128" s="496" t="str">
        <f t="array" ref="P128">XLOOKUP(Q128,Advancements!$I$2:$I164,Advancements!$H$2:$H164)</f>
        <v/>
      </c>
      <c r="Q128" s="497" t="s">
        <v>67</v>
      </c>
      <c r="R128" s="21"/>
      <c r="S128" s="495" t="b">
        <f t="shared" si="79"/>
        <v>0</v>
      </c>
      <c r="T128" s="496" t="str">
        <f t="array" ref="T128">XLOOKUP(V128,Advancements!$I$2:$I164,Advancements!$C$2:$C164)</f>
        <v/>
      </c>
      <c r="U128" s="496" t="str">
        <f t="array" ref="U128">XLOOKUP(V128,Advancements!$I$2:$I164,Advancements!$H$2:$H164)</f>
        <v/>
      </c>
      <c r="V128" s="497" t="s">
        <v>67</v>
      </c>
      <c r="W128" s="21"/>
      <c r="X128" s="21"/>
      <c r="Y128" s="21"/>
      <c r="Z128" s="21"/>
      <c r="AA128" s="21"/>
      <c r="AB128" s="21"/>
      <c r="AC128" s="21"/>
      <c r="AD128" s="21"/>
      <c r="AE128" s="21"/>
      <c r="AF128" s="21"/>
      <c r="AG128" s="21"/>
      <c r="AH128" s="21"/>
      <c r="AI128" s="21"/>
      <c r="AJ128" s="21"/>
      <c r="AK128" s="21"/>
      <c r="AL128" s="21"/>
      <c r="AM128" s="21"/>
      <c r="AN128" s="21"/>
      <c r="AO128" s="21"/>
      <c r="AP128" s="21"/>
      <c r="AQ128" s="21"/>
      <c r="AR128" s="21"/>
      <c r="AS128" s="21"/>
      <c r="AT128" s="21"/>
      <c r="AU128" s="21"/>
      <c r="AV128" s="21"/>
      <c r="AW128" s="21"/>
      <c r="AX128" s="21"/>
      <c r="AY128" s="21"/>
      <c r="AZ128" s="21"/>
      <c r="BA128" s="21"/>
      <c r="BB128" s="21"/>
      <c r="BC128" s="21"/>
      <c r="BD128" s="21"/>
      <c r="BE128" s="21"/>
      <c r="BF128" s="21"/>
      <c r="BG128" s="21"/>
      <c r="BH128" s="21"/>
      <c r="BI128" s="21"/>
      <c r="BJ128" s="21"/>
      <c r="BK128" s="21"/>
      <c r="BL128" s="21"/>
      <c r="BM128" s="21"/>
      <c r="BN128" s="21"/>
      <c r="BO128" s="21"/>
      <c r="BP128" s="21"/>
      <c r="BQ128" s="21"/>
      <c r="BR128" s="21"/>
      <c r="BS128" s="21"/>
      <c r="BT128" s="21"/>
      <c r="BU128" s="21"/>
      <c r="BV128" s="21"/>
      <c r="BW128" s="21"/>
      <c r="BX128" s="21"/>
      <c r="BY128" s="21"/>
      <c r="BZ128" s="21"/>
      <c r="CA128" s="21"/>
      <c r="CB128" s="21"/>
      <c r="CC128" s="21"/>
      <c r="CD128" s="21"/>
      <c r="CE128" s="21"/>
      <c r="CF128" s="21"/>
      <c r="CG128" s="21"/>
      <c r="CH128" s="21"/>
      <c r="CI128" s="21"/>
      <c r="CJ128" s="21"/>
      <c r="CK128" s="21"/>
      <c r="CL128" s="21"/>
      <c r="CM128" s="21"/>
      <c r="CN128" s="21"/>
      <c r="CO128" s="21"/>
      <c r="CP128" s="21"/>
      <c r="CQ128" s="21"/>
      <c r="CR128" s="21"/>
      <c r="CS128" s="21"/>
      <c r="CT128" s="21"/>
      <c r="CU128" s="21"/>
      <c r="CV128" s="21"/>
      <c r="CW128" s="21"/>
      <c r="CX128" s="21"/>
      <c r="CY128" s="21"/>
      <c r="CZ128" s="21"/>
      <c r="DA128" s="21"/>
      <c r="DB128" s="21"/>
      <c r="DC128" s="21"/>
    </row>
    <row r="129">
      <c r="A129" s="21"/>
      <c r="B129" s="439"/>
      <c r="C129" s="21"/>
      <c r="D129" s="21"/>
      <c r="E129" s="21"/>
      <c r="F129" s="21"/>
      <c r="G129" s="21"/>
      <c r="H129" s="21"/>
      <c r="I129" s="21"/>
      <c r="J129" s="21"/>
      <c r="K129" s="21"/>
      <c r="L129" s="21"/>
      <c r="M129" s="21"/>
      <c r="N129" s="495" t="b">
        <f t="shared" si="78"/>
        <v>0</v>
      </c>
      <c r="O129" s="496" t="str">
        <f t="array" ref="O129">XLOOKUP(Q129,Advancements!$I$2:$I164,Advancements!$C$2:$C164)</f>
        <v/>
      </c>
      <c r="P129" s="496" t="str">
        <f t="array" ref="P129">XLOOKUP(Q129,Advancements!$I$2:$I164,Advancements!$H$2:$H164)</f>
        <v/>
      </c>
      <c r="Q129" s="497" t="s">
        <v>36</v>
      </c>
      <c r="R129" s="21"/>
      <c r="S129" s="495" t="b">
        <f t="shared" si="79"/>
        <v>0</v>
      </c>
      <c r="T129" s="496" t="str">
        <f t="array" ref="T129">XLOOKUP(V129,Advancements!$I$2:$I164,Advancements!$C$2:$C164)</f>
        <v/>
      </c>
      <c r="U129" s="496" t="str">
        <f t="array" ref="U129">XLOOKUP(V129,Advancements!$I$2:$I164,Advancements!$H$2:$H164)</f>
        <v/>
      </c>
      <c r="V129" s="497" t="s">
        <v>36</v>
      </c>
      <c r="W129" s="21"/>
      <c r="X129" s="21"/>
      <c r="Y129" s="21"/>
      <c r="Z129" s="21"/>
      <c r="AA129" s="21"/>
      <c r="AB129" s="21"/>
      <c r="AC129" s="21"/>
      <c r="AD129" s="21"/>
      <c r="AE129" s="21"/>
      <c r="AF129" s="21"/>
      <c r="AG129" s="21"/>
      <c r="AH129" s="21"/>
      <c r="AI129" s="21"/>
      <c r="AJ129" s="21"/>
      <c r="AK129" s="21"/>
      <c r="AL129" s="21"/>
      <c r="AM129" s="21"/>
      <c r="AN129" s="21"/>
      <c r="AO129" s="21"/>
      <c r="AP129" s="21"/>
      <c r="AQ129" s="21"/>
      <c r="AR129" s="21"/>
      <c r="AS129" s="21"/>
      <c r="AT129" s="21"/>
      <c r="AU129" s="21"/>
      <c r="AV129" s="21"/>
      <c r="AW129" s="21"/>
      <c r="AX129" s="21"/>
      <c r="AY129" s="21"/>
      <c r="AZ129" s="21"/>
      <c r="BA129" s="21"/>
      <c r="BB129" s="21"/>
      <c r="BC129" s="21"/>
      <c r="BD129" s="21"/>
      <c r="BE129" s="21"/>
      <c r="BF129" s="21"/>
      <c r="BG129" s="21"/>
      <c r="BH129" s="21"/>
      <c r="BI129" s="21"/>
      <c r="BJ129" s="21"/>
      <c r="BK129" s="21"/>
      <c r="BL129" s="21"/>
      <c r="BM129" s="21"/>
      <c r="BN129" s="21"/>
      <c r="BO129" s="21"/>
      <c r="BP129" s="21"/>
      <c r="BQ129" s="21"/>
      <c r="BR129" s="21"/>
      <c r="BS129" s="21"/>
      <c r="BT129" s="21"/>
      <c r="BU129" s="21"/>
      <c r="BV129" s="21"/>
      <c r="BW129" s="21"/>
      <c r="BX129" s="21"/>
      <c r="BY129" s="21"/>
      <c r="BZ129" s="21"/>
      <c r="CA129" s="21"/>
      <c r="CB129" s="21"/>
      <c r="CC129" s="21"/>
      <c r="CD129" s="21"/>
      <c r="CE129" s="21"/>
      <c r="CF129" s="21"/>
      <c r="CG129" s="21"/>
      <c r="CH129" s="21"/>
      <c r="CI129" s="21"/>
      <c r="CJ129" s="21"/>
      <c r="CK129" s="21"/>
      <c r="CL129" s="21"/>
      <c r="CM129" s="21"/>
      <c r="CN129" s="21"/>
      <c r="CO129" s="21"/>
      <c r="CP129" s="21"/>
      <c r="CQ129" s="21"/>
      <c r="CR129" s="21"/>
      <c r="CS129" s="21"/>
      <c r="CT129" s="21"/>
      <c r="CU129" s="21"/>
      <c r="CV129" s="21"/>
      <c r="CW129" s="21"/>
      <c r="CX129" s="21"/>
      <c r="CY129" s="21"/>
      <c r="CZ129" s="21"/>
      <c r="DA129" s="21"/>
      <c r="DB129" s="21"/>
      <c r="DC129" s="21"/>
    </row>
    <row r="130">
      <c r="A130" s="21"/>
      <c r="B130" s="468"/>
      <c r="C130" s="21"/>
      <c r="D130" s="21"/>
      <c r="E130" s="21"/>
      <c r="F130" s="21"/>
      <c r="G130" s="21"/>
      <c r="H130" s="21"/>
      <c r="I130" s="21"/>
      <c r="J130" s="21"/>
      <c r="K130" s="21"/>
      <c r="L130" s="21"/>
      <c r="M130" s="21"/>
      <c r="N130" s="508" t="b">
        <f t="shared" si="78"/>
        <v>0</v>
      </c>
      <c r="O130" s="506" t="str">
        <f t="array" ref="O130">XLOOKUP(Q130,Advancements!$I$2:$I164,Advancements!$C$2:$C164)</f>
        <v/>
      </c>
      <c r="P130" s="506" t="str">
        <f t="array" ref="P130">XLOOKUP(Q130,Advancements!$I$2:$I164,Advancements!$H$2:$H164)</f>
        <v/>
      </c>
      <c r="Q130" s="507" t="s">
        <v>4846</v>
      </c>
      <c r="R130" s="21"/>
      <c r="S130" s="508" t="b">
        <f t="shared" si="79"/>
        <v>0</v>
      </c>
      <c r="T130" s="506" t="str">
        <f t="array" ref="T130">XLOOKUP(V130,Advancements!$I$2:$I164,Advancements!$C$2:$C164)</f>
        <v/>
      </c>
      <c r="U130" s="506" t="str">
        <f t="array" ref="U130">XLOOKUP(V130,Advancements!$I$2:$I164,Advancements!$H$2:$H164)</f>
        <v/>
      </c>
      <c r="V130" s="507" t="s">
        <v>4846</v>
      </c>
      <c r="W130" s="21"/>
      <c r="X130" s="21"/>
      <c r="Y130" s="21"/>
      <c r="Z130" s="21"/>
      <c r="AA130" s="21"/>
      <c r="AB130" s="21"/>
      <c r="AC130" s="21"/>
      <c r="AD130" s="21"/>
      <c r="AE130" s="21"/>
      <c r="AF130" s="21"/>
      <c r="AG130" s="21"/>
      <c r="AH130" s="21"/>
      <c r="AI130" s="21"/>
      <c r="AJ130" s="21"/>
      <c r="AK130" s="21"/>
      <c r="AL130" s="21"/>
      <c r="AM130" s="21"/>
      <c r="AN130" s="21"/>
      <c r="AO130" s="21"/>
      <c r="AP130" s="21"/>
      <c r="AQ130" s="21"/>
      <c r="AR130" s="21"/>
      <c r="AS130" s="21"/>
      <c r="AT130" s="21"/>
      <c r="AU130" s="21"/>
      <c r="AV130" s="21"/>
      <c r="AW130" s="21"/>
      <c r="AX130" s="21"/>
      <c r="AY130" s="21"/>
      <c r="AZ130" s="21"/>
      <c r="BA130" s="21"/>
      <c r="BB130" s="21"/>
      <c r="BC130" s="21"/>
      <c r="BD130" s="21"/>
      <c r="BE130" s="21"/>
      <c r="BF130" s="21"/>
      <c r="BG130" s="21"/>
      <c r="BH130" s="21"/>
      <c r="BI130" s="21"/>
      <c r="BJ130" s="21"/>
      <c r="BK130" s="21"/>
      <c r="BL130" s="21"/>
      <c r="BM130" s="21"/>
      <c r="BN130" s="21"/>
      <c r="BO130" s="21"/>
      <c r="BP130" s="21"/>
      <c r="BQ130" s="21"/>
      <c r="BR130" s="21"/>
      <c r="BS130" s="21"/>
      <c r="BT130" s="21"/>
      <c r="BU130" s="21"/>
      <c r="BV130" s="21"/>
      <c r="BW130" s="21"/>
      <c r="BX130" s="21"/>
      <c r="BY130" s="21"/>
      <c r="BZ130" s="21"/>
      <c r="CA130" s="21"/>
      <c r="CB130" s="21"/>
      <c r="CC130" s="21"/>
      <c r="CD130" s="21"/>
      <c r="CE130" s="21"/>
      <c r="CF130" s="21"/>
      <c r="CG130" s="21"/>
      <c r="CH130" s="21"/>
      <c r="CI130" s="21"/>
      <c r="CJ130" s="21"/>
      <c r="CK130" s="21"/>
      <c r="CL130" s="21"/>
      <c r="CM130" s="21"/>
      <c r="CN130" s="21"/>
      <c r="CO130" s="21"/>
      <c r="CP130" s="21"/>
      <c r="CQ130" s="21"/>
      <c r="CR130" s="21"/>
      <c r="CS130" s="21"/>
      <c r="CT130" s="21"/>
      <c r="CU130" s="21"/>
      <c r="CV130" s="21"/>
      <c r="CW130" s="21"/>
      <c r="CX130" s="21"/>
      <c r="CY130" s="21"/>
      <c r="CZ130" s="21"/>
      <c r="DA130" s="21"/>
      <c r="DB130" s="21"/>
      <c r="DC130" s="21"/>
    </row>
    <row r="131">
      <c r="A131" s="21"/>
      <c r="B131" s="21"/>
      <c r="C131" s="21"/>
      <c r="D131" s="21"/>
      <c r="E131" s="21"/>
      <c r="F131" s="21"/>
      <c r="G131" s="21"/>
      <c r="H131" s="21"/>
      <c r="I131" s="21"/>
      <c r="J131" s="21"/>
      <c r="K131" s="21"/>
      <c r="L131" s="21"/>
      <c r="M131" s="21"/>
      <c r="N131" s="21"/>
      <c r="O131" s="21"/>
      <c r="P131" s="21"/>
      <c r="Q131" s="21"/>
      <c r="R131" s="21"/>
      <c r="S131" s="21"/>
      <c r="T131" s="21"/>
      <c r="U131" s="21"/>
      <c r="V131" s="21"/>
      <c r="W131" s="21"/>
      <c r="X131" s="21"/>
      <c r="Y131" s="21"/>
      <c r="Z131" s="21"/>
      <c r="AA131" s="21"/>
      <c r="AB131" s="21"/>
      <c r="AC131" s="21"/>
      <c r="AD131" s="21"/>
      <c r="AE131" s="21"/>
      <c r="AF131" s="21"/>
      <c r="AG131" s="21"/>
      <c r="AH131" s="21"/>
      <c r="AI131" s="21"/>
      <c r="AJ131" s="21"/>
      <c r="AK131" s="21"/>
      <c r="AL131" s="21"/>
      <c r="AM131" s="21"/>
      <c r="AN131" s="21"/>
      <c r="AO131" s="21"/>
      <c r="AP131" s="21"/>
      <c r="AQ131" s="21"/>
      <c r="AR131" s="21"/>
      <c r="AS131" s="21"/>
      <c r="AT131" s="21"/>
      <c r="AU131" s="21"/>
      <c r="AV131" s="21"/>
      <c r="AW131" s="21"/>
      <c r="AX131" s="21"/>
      <c r="AY131" s="21"/>
      <c r="AZ131" s="21"/>
      <c r="BA131" s="21"/>
      <c r="BB131" s="21"/>
      <c r="BC131" s="21"/>
      <c r="BD131" s="21"/>
      <c r="BE131" s="21"/>
      <c r="BF131" s="21"/>
      <c r="BG131" s="21"/>
      <c r="BH131" s="21"/>
      <c r="BI131" s="21"/>
      <c r="BJ131" s="21"/>
      <c r="BK131" s="21"/>
      <c r="BL131" s="21"/>
      <c r="BM131" s="21"/>
      <c r="BN131" s="21"/>
      <c r="BO131" s="21"/>
      <c r="BP131" s="21"/>
      <c r="BQ131" s="21"/>
      <c r="BR131" s="21"/>
      <c r="BS131" s="21"/>
      <c r="BT131" s="21"/>
      <c r="BU131" s="21"/>
      <c r="BV131" s="21"/>
      <c r="BW131" s="21"/>
      <c r="BX131" s="21"/>
      <c r="BY131" s="21"/>
      <c r="BZ131" s="21"/>
      <c r="CA131" s="21"/>
      <c r="CB131" s="21"/>
      <c r="CC131" s="21"/>
      <c r="CD131" s="21"/>
      <c r="CE131" s="21"/>
      <c r="CF131" s="21"/>
      <c r="CG131" s="21"/>
      <c r="CH131" s="21"/>
      <c r="CI131" s="21"/>
      <c r="CJ131" s="21"/>
      <c r="CK131" s="21"/>
      <c r="CL131" s="21"/>
      <c r="CM131" s="21"/>
      <c r="CN131" s="21"/>
      <c r="CO131" s="21"/>
      <c r="CP131" s="21"/>
      <c r="CQ131" s="21"/>
      <c r="CR131" s="21"/>
      <c r="CS131" s="21"/>
      <c r="CT131" s="21"/>
      <c r="CU131" s="21"/>
      <c r="CV131" s="21"/>
      <c r="CW131" s="21"/>
      <c r="CX131" s="21"/>
      <c r="CY131" s="21"/>
      <c r="CZ131" s="21"/>
      <c r="DA131" s="21"/>
      <c r="DB131" s="21"/>
      <c r="DC131" s="21"/>
    </row>
    <row r="132">
      <c r="A132" s="21"/>
      <c r="B132" s="509" t="s">
        <v>7330</v>
      </c>
      <c r="C132" s="21"/>
      <c r="D132" s="510" t="b">
        <f>IFALLTRUE(D133:D137)</f>
        <v>0</v>
      </c>
      <c r="E132" s="511"/>
      <c r="F132" s="511" t="str">
        <f>GET_MOB_HEAD(G132)</f>
        <v/>
      </c>
      <c r="G132" s="512" t="s">
        <v>7331</v>
      </c>
      <c r="H132" s="21"/>
      <c r="I132" s="510" t="b">
        <f>IFALLTRUE(I133:I137)</f>
        <v>0</v>
      </c>
      <c r="J132" s="511"/>
      <c r="K132" s="511" t="str">
        <f>GET_MOB_HEAD(L132)</f>
        <v/>
      </c>
      <c r="L132" s="512" t="s">
        <v>7332</v>
      </c>
      <c r="M132" s="21"/>
      <c r="N132" s="510" t="b">
        <f>IFALLTRUE(N133:N137)</f>
        <v>0</v>
      </c>
      <c r="O132" s="511"/>
      <c r="P132" s="511" t="str">
        <f>GET_MOB_HEAD(Q132)</f>
        <v/>
      </c>
      <c r="Q132" s="512" t="s">
        <v>7333</v>
      </c>
      <c r="R132" s="21"/>
      <c r="S132" s="510" t="b">
        <f>IFALLTRUE(S133:S137)</f>
        <v>0</v>
      </c>
      <c r="T132" s="511"/>
      <c r="U132" s="511" t="str">
        <f>GET_MOB_HEAD(V132)</f>
        <v/>
      </c>
      <c r="V132" s="512" t="s">
        <v>7334</v>
      </c>
      <c r="W132" s="21"/>
      <c r="X132" s="510" t="b">
        <f>IFALLTRUE(X133:X137)</f>
        <v>0</v>
      </c>
      <c r="Y132" s="511"/>
      <c r="Z132" s="511" t="str">
        <f>GET_MOB_HEAD(AA132)</f>
        <v/>
      </c>
      <c r="AA132" s="512" t="s">
        <v>7335</v>
      </c>
      <c r="AB132" s="21"/>
      <c r="AC132" s="510" t="b">
        <f>IFALLTRUE(AC133:AC137)</f>
        <v>0</v>
      </c>
      <c r="AD132" s="511"/>
      <c r="AE132" s="511" t="str">
        <f>GET_MOB_HEAD(AF132)</f>
        <v/>
      </c>
      <c r="AF132" s="512" t="s">
        <v>7336</v>
      </c>
      <c r="AG132" s="21"/>
      <c r="AH132" s="21"/>
      <c r="AI132" s="21"/>
      <c r="AJ132" s="21"/>
      <c r="AK132" s="21"/>
      <c r="AL132" s="21"/>
      <c r="AM132" s="21"/>
      <c r="AN132" s="21"/>
      <c r="AO132" s="21"/>
      <c r="AP132" s="21"/>
      <c r="AQ132" s="21"/>
      <c r="AR132" s="21"/>
      <c r="AS132" s="21"/>
      <c r="AT132" s="21"/>
      <c r="AU132" s="21"/>
      <c r="AV132" s="21"/>
      <c r="AW132" s="21"/>
      <c r="AX132" s="21"/>
      <c r="AY132" s="21"/>
      <c r="AZ132" s="21"/>
      <c r="BA132" s="21"/>
      <c r="BB132" s="21"/>
      <c r="BC132" s="21"/>
      <c r="BD132" s="21"/>
      <c r="BE132" s="21"/>
      <c r="BF132" s="21"/>
      <c r="BG132" s="21"/>
      <c r="BH132" s="21"/>
      <c r="BI132" s="21"/>
      <c r="BJ132" s="21"/>
      <c r="BK132" s="21"/>
      <c r="BL132" s="21"/>
      <c r="BM132" s="21"/>
      <c r="BN132" s="21"/>
      <c r="BO132" s="21"/>
      <c r="BP132" s="21"/>
      <c r="BQ132" s="21"/>
      <c r="BR132" s="21"/>
      <c r="BS132" s="21"/>
      <c r="BT132" s="21"/>
      <c r="BU132" s="21"/>
      <c r="BV132" s="21"/>
      <c r="BW132" s="21"/>
      <c r="BX132" s="21"/>
      <c r="BY132" s="21"/>
      <c r="BZ132" s="21"/>
      <c r="CA132" s="21"/>
      <c r="CB132" s="21"/>
      <c r="CC132" s="21"/>
      <c r="CD132" s="21"/>
      <c r="CE132" s="21"/>
      <c r="CF132" s="21"/>
      <c r="CG132" s="21"/>
      <c r="CH132" s="21"/>
      <c r="CI132" s="21"/>
      <c r="CJ132" s="21"/>
      <c r="CK132" s="21"/>
      <c r="CL132" s="21"/>
      <c r="CM132" s="21"/>
      <c r="CN132" s="21"/>
      <c r="CO132" s="21"/>
      <c r="CP132" s="21"/>
      <c r="CQ132" s="21"/>
      <c r="CR132" s="21"/>
      <c r="CS132" s="21"/>
      <c r="CT132" s="21"/>
      <c r="CU132" s="21"/>
      <c r="CV132" s="21"/>
      <c r="CW132" s="21"/>
      <c r="CX132" s="21"/>
      <c r="CY132" s="21"/>
      <c r="CZ132" s="21"/>
      <c r="DA132" s="21"/>
      <c r="DB132" s="21"/>
      <c r="DC132" s="21"/>
    </row>
    <row r="133">
      <c r="A133" s="21"/>
      <c r="B133" s="439"/>
      <c r="C133" s="21"/>
      <c r="D133" s="515" t="b">
        <f t="shared" ref="D133:D141" si="81">CHECK_MOB(G133,G$132)</f>
        <v>0</v>
      </c>
      <c r="E133" s="516" t="str">
        <f t="array" ref="E133">XLOOKUP(G133,Advancements!$I$2:$I164,Advancements!$C$2:$C164)</f>
        <v/>
      </c>
      <c r="F133" s="516" t="str">
        <f t="array" ref="F133">XLOOKUP(G133,Advancements!$I$2:$I164,Advancements!$H$2:$H164)</f>
        <v/>
      </c>
      <c r="G133" s="517" t="s">
        <v>63</v>
      </c>
      <c r="H133" s="21"/>
      <c r="I133" s="515" t="b">
        <f t="shared" ref="I133:I141" si="82">CHECK_MOB(L133,L$132)</f>
        <v>0</v>
      </c>
      <c r="J133" s="516" t="str">
        <f t="array" ref="J133">XLOOKUP(L133,Advancements!$I$2:$I164,Advancements!$C$2:$C164)</f>
        <v/>
      </c>
      <c r="K133" s="516" t="str">
        <f t="array" ref="K133">XLOOKUP(L133,Advancements!$I$2:$I164,Advancements!$H$2:$H164)</f>
        <v/>
      </c>
      <c r="L133" s="517" t="s">
        <v>2679</v>
      </c>
      <c r="M133" s="21"/>
      <c r="N133" s="515" t="b">
        <f t="shared" ref="N133:N142" si="83">CHECK_MOB(Q133,Q$132)</f>
        <v>0</v>
      </c>
      <c r="O133" s="516" t="str">
        <f t="array" ref="O133">XLOOKUP(Q133,Advancements!$I$2:$I164,Advancements!$C$2:$C164)</f>
        <v/>
      </c>
      <c r="P133" s="516" t="str">
        <f t="array" ref="P133">XLOOKUP(Q133,Advancements!$I$2:$I164,Advancements!$H$2:$H164)</f>
        <v/>
      </c>
      <c r="Q133" s="517" t="s">
        <v>2679</v>
      </c>
      <c r="R133" s="21"/>
      <c r="S133" s="515" t="b">
        <f t="shared" ref="S133:S138" si="84">CHECK_MOB(V133,V$132)</f>
        <v>0</v>
      </c>
      <c r="T133" s="516" t="str">
        <f t="array" ref="T133">XLOOKUP(V133,Advancements!$I$2:$I164,Advancements!$C$2:$C164)</f>
        <v/>
      </c>
      <c r="U133" s="516" t="str">
        <f t="array" ref="U133">XLOOKUP(V133,Advancements!$I$2:$I164,Advancements!$H$2:$H164)</f>
        <v/>
      </c>
      <c r="V133" s="517" t="s">
        <v>63</v>
      </c>
      <c r="W133" s="21"/>
      <c r="X133" s="515" t="b">
        <f t="shared" ref="X133:X141" si="85">CHECK_MOB(AA133,AA$132)</f>
        <v>0</v>
      </c>
      <c r="Y133" s="516" t="str">
        <f t="array" ref="Y133">XLOOKUP(AA133,Advancements!$I$2:$I164,Advancements!$C$2:$C164)</f>
        <v/>
      </c>
      <c r="Z133" s="516" t="str">
        <f t="array" ref="Z133">XLOOKUP(AA133,Advancements!$I$2:$I164,Advancements!$H$2:$H164)</f>
        <v/>
      </c>
      <c r="AA133" s="517" t="s">
        <v>2679</v>
      </c>
      <c r="AB133" s="21"/>
      <c r="AC133" s="515" t="b">
        <f t="shared" ref="AC133:AC141" si="86">CHECK_MOB(AF133,AF$132)</f>
        <v>0</v>
      </c>
      <c r="AD133" s="516" t="str">
        <f t="array" ref="AD133">XLOOKUP(AF133,Advancements!$I$2:$I164,Advancements!$C$2:$C164)</f>
        <v/>
      </c>
      <c r="AE133" s="516" t="str">
        <f t="array" ref="AE133">XLOOKUP(AF133,Advancements!$I$2:$I164,Advancements!$H$2:$H164)</f>
        <v/>
      </c>
      <c r="AF133" s="517" t="s">
        <v>2679</v>
      </c>
      <c r="AG133" s="21"/>
      <c r="AH133" s="21"/>
      <c r="AI133" s="21"/>
      <c r="AJ133" s="21"/>
      <c r="AK133" s="21"/>
      <c r="AL133" s="21"/>
      <c r="AM133" s="21"/>
      <c r="AN133" s="21"/>
      <c r="AO133" s="21"/>
      <c r="AP133" s="21"/>
      <c r="AQ133" s="21"/>
      <c r="AR133" s="21"/>
      <c r="AS133" s="21"/>
      <c r="AT133" s="21"/>
      <c r="AU133" s="21"/>
      <c r="AV133" s="21"/>
      <c r="AW133" s="21"/>
      <c r="AX133" s="21"/>
      <c r="AY133" s="21"/>
      <c r="AZ133" s="21"/>
      <c r="BA133" s="21"/>
      <c r="BB133" s="21"/>
      <c r="BC133" s="21"/>
      <c r="BD133" s="21"/>
      <c r="BE133" s="21"/>
      <c r="BF133" s="21"/>
      <c r="BG133" s="21"/>
      <c r="BH133" s="21"/>
      <c r="BI133" s="21"/>
      <c r="BJ133" s="21"/>
      <c r="BK133" s="21"/>
      <c r="BL133" s="21"/>
      <c r="BM133" s="21"/>
      <c r="BN133" s="21"/>
      <c r="BO133" s="21"/>
      <c r="BP133" s="21"/>
      <c r="BQ133" s="21"/>
      <c r="BR133" s="21"/>
      <c r="BS133" s="21"/>
      <c r="BT133" s="21"/>
      <c r="BU133" s="21"/>
      <c r="BV133" s="21"/>
      <c r="BW133" s="21"/>
      <c r="BX133" s="21"/>
      <c r="BY133" s="21"/>
      <c r="BZ133" s="21"/>
      <c r="CA133" s="21"/>
      <c r="CB133" s="21"/>
      <c r="CC133" s="21"/>
      <c r="CD133" s="21"/>
      <c r="CE133" s="21"/>
      <c r="CF133" s="21"/>
      <c r="CG133" s="21"/>
      <c r="CH133" s="21"/>
      <c r="CI133" s="21"/>
      <c r="CJ133" s="21"/>
      <c r="CK133" s="21"/>
      <c r="CL133" s="21"/>
      <c r="CM133" s="21"/>
      <c r="CN133" s="21"/>
      <c r="CO133" s="21"/>
      <c r="CP133" s="21"/>
      <c r="CQ133" s="21"/>
      <c r="CR133" s="21"/>
      <c r="CS133" s="21"/>
      <c r="CT133" s="21"/>
      <c r="CU133" s="21"/>
      <c r="CV133" s="21"/>
      <c r="CW133" s="21"/>
      <c r="CX133" s="21"/>
      <c r="CY133" s="21"/>
      <c r="CZ133" s="21"/>
      <c r="DA133" s="21"/>
      <c r="DB133" s="21"/>
      <c r="DC133" s="21"/>
    </row>
    <row r="134">
      <c r="A134" s="21"/>
      <c r="B134" s="439"/>
      <c r="C134" s="21"/>
      <c r="D134" s="523" t="b">
        <f t="shared" si="81"/>
        <v>0</v>
      </c>
      <c r="E134" s="524" t="str">
        <f t="array" ref="E134">XLOOKUP(G134,Advancements!$I$2:$I164,Advancements!$C$2:$C164)</f>
        <v/>
      </c>
      <c r="F134" s="524" t="str">
        <f t="array" ref="F134">XLOOKUP(G134,Advancements!$I$2:$I164,Advancements!$H$2:$H164)</f>
        <v/>
      </c>
      <c r="G134" s="525" t="s">
        <v>2618</v>
      </c>
      <c r="H134" s="21"/>
      <c r="I134" s="523" t="b">
        <f t="shared" si="82"/>
        <v>0</v>
      </c>
      <c r="J134" s="524" t="str">
        <f t="array" ref="J134">XLOOKUP(L134,Advancements!$I$2:$I164,Advancements!$C$2:$C164)</f>
        <v/>
      </c>
      <c r="K134" s="524" t="str">
        <f t="array" ref="K134">XLOOKUP(L134,Advancements!$I$2:$I164,Advancements!$H$2:$H164)</f>
        <v/>
      </c>
      <c r="L134" s="525" t="s">
        <v>3616</v>
      </c>
      <c r="M134" s="21"/>
      <c r="N134" s="523" t="b">
        <f t="shared" si="83"/>
        <v>0</v>
      </c>
      <c r="O134" s="524" t="str">
        <f t="array" ref="O134">XLOOKUP(Q134,Advancements!$I$2:$I164,Advancements!$C$2:$C164)</f>
        <v/>
      </c>
      <c r="P134" s="524" t="str">
        <f t="array" ref="P134">XLOOKUP(Q134,Advancements!$I$2:$I164,Advancements!$H$2:$H164)</f>
        <v/>
      </c>
      <c r="Q134" s="525" t="s">
        <v>3616</v>
      </c>
      <c r="R134" s="21"/>
      <c r="S134" s="523" t="b">
        <f t="shared" si="84"/>
        <v>0</v>
      </c>
      <c r="T134" s="524" t="str">
        <f t="array" ref="T134">XLOOKUP(V134,Advancements!$I$2:$I164,Advancements!$C$2:$C164)</f>
        <v/>
      </c>
      <c r="U134" s="524" t="str">
        <f t="array" ref="U134">XLOOKUP(V134,Advancements!$I$2:$I164,Advancements!$H$2:$H164)</f>
        <v/>
      </c>
      <c r="V134" s="525" t="s">
        <v>59</v>
      </c>
      <c r="W134" s="21"/>
      <c r="X134" s="523" t="b">
        <f t="shared" si="85"/>
        <v>0</v>
      </c>
      <c r="Y134" s="524" t="str">
        <f t="array" ref="Y134">XLOOKUP(AA134,Advancements!$I$2:$I164,Advancements!$C$2:$C164)</f>
        <v/>
      </c>
      <c r="Z134" s="524" t="str">
        <f t="array" ref="Z134">XLOOKUP(AA134,Advancements!$I$2:$I164,Advancements!$H$2:$H164)</f>
        <v/>
      </c>
      <c r="AA134" s="525" t="s">
        <v>3616</v>
      </c>
      <c r="AB134" s="21"/>
      <c r="AC134" s="523" t="b">
        <f t="shared" si="86"/>
        <v>0</v>
      </c>
      <c r="AD134" s="524" t="str">
        <f t="array" ref="AD134">XLOOKUP(AF134,Advancements!$I$2:$I164,Advancements!$C$2:$C164)</f>
        <v/>
      </c>
      <c r="AE134" s="524" t="str">
        <f t="array" ref="AE134">XLOOKUP(AF134,Advancements!$I$2:$I164,Advancements!$H$2:$H164)</f>
        <v/>
      </c>
      <c r="AF134" s="525" t="s">
        <v>3616</v>
      </c>
      <c r="AG134" s="21"/>
      <c r="AH134" s="21"/>
      <c r="AI134" s="21"/>
      <c r="AJ134" s="21"/>
      <c r="AK134" s="21"/>
      <c r="AL134" s="21"/>
      <c r="AM134" s="21"/>
      <c r="AN134" s="21"/>
      <c r="AO134" s="21"/>
      <c r="AP134" s="21"/>
      <c r="AQ134" s="21"/>
      <c r="AR134" s="21"/>
      <c r="AS134" s="21"/>
      <c r="AT134" s="21"/>
      <c r="AU134" s="21"/>
      <c r="AV134" s="21"/>
      <c r="AW134" s="21"/>
      <c r="AX134" s="21"/>
      <c r="AY134" s="21"/>
      <c r="AZ134" s="21"/>
      <c r="BA134" s="21"/>
      <c r="BB134" s="21"/>
      <c r="BC134" s="21"/>
      <c r="BD134" s="21"/>
      <c r="BE134" s="21"/>
      <c r="BF134" s="21"/>
      <c r="BG134" s="21"/>
      <c r="BH134" s="21"/>
      <c r="BI134" s="21"/>
      <c r="BJ134" s="21"/>
      <c r="BK134" s="21"/>
      <c r="BL134" s="21"/>
      <c r="BM134" s="21"/>
      <c r="BN134" s="21"/>
      <c r="BO134" s="21"/>
      <c r="BP134" s="21"/>
      <c r="BQ134" s="21"/>
      <c r="BR134" s="21"/>
      <c r="BS134" s="21"/>
      <c r="BT134" s="21"/>
      <c r="BU134" s="21"/>
      <c r="BV134" s="21"/>
      <c r="BW134" s="21"/>
      <c r="BX134" s="21"/>
      <c r="BY134" s="21"/>
      <c r="BZ134" s="21"/>
      <c r="CA134" s="21"/>
      <c r="CB134" s="21"/>
      <c r="CC134" s="21"/>
      <c r="CD134" s="21"/>
      <c r="CE134" s="21"/>
      <c r="CF134" s="21"/>
      <c r="CG134" s="21"/>
      <c r="CH134" s="21"/>
      <c r="CI134" s="21"/>
      <c r="CJ134" s="21"/>
      <c r="CK134" s="21"/>
      <c r="CL134" s="21"/>
      <c r="CM134" s="21"/>
      <c r="CN134" s="21"/>
      <c r="CO134" s="21"/>
      <c r="CP134" s="21"/>
      <c r="CQ134" s="21"/>
      <c r="CR134" s="21"/>
      <c r="CS134" s="21"/>
      <c r="CT134" s="21"/>
      <c r="CU134" s="21"/>
      <c r="CV134" s="21"/>
      <c r="CW134" s="21"/>
      <c r="CX134" s="21"/>
      <c r="CY134" s="21"/>
      <c r="CZ134" s="21"/>
      <c r="DA134" s="21"/>
      <c r="DB134" s="21"/>
      <c r="DC134" s="21"/>
    </row>
    <row r="135">
      <c r="A135" s="21"/>
      <c r="B135" s="439"/>
      <c r="C135" s="21"/>
      <c r="D135" s="523" t="b">
        <f t="shared" si="81"/>
        <v>0</v>
      </c>
      <c r="E135" s="524" t="str">
        <f t="array" ref="E135">XLOOKUP(G135,Advancements!$I$2:$I164,Advancements!$C$2:$C164)</f>
        <v/>
      </c>
      <c r="F135" s="524" t="str">
        <f t="array" ref="F135">XLOOKUP(G135,Advancements!$I$2:$I164,Advancements!$H$2:$H164)</f>
        <v/>
      </c>
      <c r="G135" s="525" t="s">
        <v>59</v>
      </c>
      <c r="H135" s="21"/>
      <c r="I135" s="523" t="b">
        <f t="shared" si="82"/>
        <v>0</v>
      </c>
      <c r="J135" s="524" t="str">
        <f t="array" ref="J135">XLOOKUP(L135,Advancements!$I$2:$I164,Advancements!$C$2:$C164)</f>
        <v/>
      </c>
      <c r="K135" s="524" t="str">
        <f t="array" ref="K135">XLOOKUP(L135,Advancements!$I$2:$I164,Advancements!$H$2:$H164)</f>
        <v/>
      </c>
      <c r="L135" s="525" t="s">
        <v>63</v>
      </c>
      <c r="M135" s="21"/>
      <c r="N135" s="523" t="b">
        <f t="shared" si="83"/>
        <v>0</v>
      </c>
      <c r="O135" s="524" t="str">
        <f t="array" ref="O135">XLOOKUP(Q135,Advancements!$I$2:$I164,Advancements!$C$2:$C164)</f>
        <v/>
      </c>
      <c r="P135" s="524" t="str">
        <f t="array" ref="P135">XLOOKUP(Q135,Advancements!$I$2:$I164,Advancements!$H$2:$H164)</f>
        <v/>
      </c>
      <c r="Q135" s="525" t="s">
        <v>63</v>
      </c>
      <c r="R135" s="21"/>
      <c r="S135" s="523" t="b">
        <f t="shared" si="84"/>
        <v>0</v>
      </c>
      <c r="T135" s="524" t="str">
        <f t="array" ref="T135">XLOOKUP(V135,Advancements!$I$2:$I164,Advancements!$C$2:$C164)</f>
        <v/>
      </c>
      <c r="U135" s="524" t="str">
        <f t="array" ref="U135">XLOOKUP(V135,Advancements!$I$2:$I164,Advancements!$H$2:$H164)</f>
        <v/>
      </c>
      <c r="V135" s="525" t="s">
        <v>2016</v>
      </c>
      <c r="W135" s="21"/>
      <c r="X135" s="523" t="b">
        <f t="shared" si="85"/>
        <v>0</v>
      </c>
      <c r="Y135" s="524" t="str">
        <f t="array" ref="Y135">XLOOKUP(AA135,Advancements!$I$2:$I164,Advancements!$C$2:$C164)</f>
        <v/>
      </c>
      <c r="Z135" s="524" t="str">
        <f t="array" ref="Z135">XLOOKUP(AA135,Advancements!$I$2:$I164,Advancements!$H$2:$H164)</f>
        <v/>
      </c>
      <c r="AA135" s="525" t="s">
        <v>63</v>
      </c>
      <c r="AB135" s="21"/>
      <c r="AC135" s="523" t="b">
        <f t="shared" si="86"/>
        <v>0</v>
      </c>
      <c r="AD135" s="524" t="str">
        <f t="array" ref="AD135">XLOOKUP(AF135,Advancements!$I$2:$I164,Advancements!$C$2:$C164)</f>
        <v/>
      </c>
      <c r="AE135" s="524" t="str">
        <f t="array" ref="AE135">XLOOKUP(AF135,Advancements!$I$2:$I164,Advancements!$H$2:$H164)</f>
        <v/>
      </c>
      <c r="AF135" s="525" t="s">
        <v>63</v>
      </c>
      <c r="AG135" s="21"/>
      <c r="AH135" s="21"/>
      <c r="AI135" s="21"/>
      <c r="AJ135" s="21"/>
      <c r="AK135" s="21"/>
      <c r="AL135" s="21"/>
      <c r="AM135" s="21"/>
      <c r="AN135" s="21"/>
      <c r="AO135" s="21"/>
      <c r="AP135" s="21"/>
      <c r="AQ135" s="21"/>
      <c r="AR135" s="21"/>
      <c r="AS135" s="21"/>
      <c r="AT135" s="21"/>
      <c r="AU135" s="21"/>
      <c r="AV135" s="21"/>
      <c r="AW135" s="21"/>
      <c r="AX135" s="21"/>
      <c r="AY135" s="21"/>
      <c r="AZ135" s="21"/>
      <c r="BA135" s="21"/>
      <c r="BB135" s="21"/>
      <c r="BC135" s="21"/>
      <c r="BD135" s="21"/>
      <c r="BE135" s="21"/>
      <c r="BF135" s="21"/>
      <c r="BG135" s="21"/>
      <c r="BH135" s="21"/>
      <c r="BI135" s="21"/>
      <c r="BJ135" s="21"/>
      <c r="BK135" s="21"/>
      <c r="BL135" s="21"/>
      <c r="BM135" s="21"/>
      <c r="BN135" s="21"/>
      <c r="BO135" s="21"/>
      <c r="BP135" s="21"/>
      <c r="BQ135" s="21"/>
      <c r="BR135" s="21"/>
      <c r="BS135" s="21"/>
      <c r="BT135" s="21"/>
      <c r="BU135" s="21"/>
      <c r="BV135" s="21"/>
      <c r="BW135" s="21"/>
      <c r="BX135" s="21"/>
      <c r="BY135" s="21"/>
      <c r="BZ135" s="21"/>
      <c r="CA135" s="21"/>
      <c r="CB135" s="21"/>
      <c r="CC135" s="21"/>
      <c r="CD135" s="21"/>
      <c r="CE135" s="21"/>
      <c r="CF135" s="21"/>
      <c r="CG135" s="21"/>
      <c r="CH135" s="21"/>
      <c r="CI135" s="21"/>
      <c r="CJ135" s="21"/>
      <c r="CK135" s="21"/>
      <c r="CL135" s="21"/>
      <c r="CM135" s="21"/>
      <c r="CN135" s="21"/>
      <c r="CO135" s="21"/>
      <c r="CP135" s="21"/>
      <c r="CQ135" s="21"/>
      <c r="CR135" s="21"/>
      <c r="CS135" s="21"/>
      <c r="CT135" s="21"/>
      <c r="CU135" s="21"/>
      <c r="CV135" s="21"/>
      <c r="CW135" s="21"/>
      <c r="CX135" s="21"/>
      <c r="CY135" s="21"/>
      <c r="CZ135" s="21"/>
      <c r="DA135" s="21"/>
      <c r="DB135" s="21"/>
      <c r="DC135" s="21"/>
    </row>
    <row r="136">
      <c r="A136" s="21"/>
      <c r="B136" s="439"/>
      <c r="C136" s="21"/>
      <c r="D136" s="523" t="b">
        <f t="shared" si="81"/>
        <v>0</v>
      </c>
      <c r="E136" s="524" t="str">
        <f t="array" ref="E136">XLOOKUP(G136,Advancements!$I$2:$I164,Advancements!$C$2:$C164)</f>
        <v/>
      </c>
      <c r="F136" s="524" t="str">
        <f t="array" ref="F136">XLOOKUP(G136,Advancements!$I$2:$I164,Advancements!$H$2:$H164)</f>
        <v/>
      </c>
      <c r="G136" s="525" t="s">
        <v>1718</v>
      </c>
      <c r="H136" s="21"/>
      <c r="I136" s="523" t="b">
        <f t="shared" si="82"/>
        <v>0</v>
      </c>
      <c r="J136" s="524" t="str">
        <f t="array" ref="J136">XLOOKUP(L136,Advancements!$I$2:$I164,Advancements!$C$2:$C164)</f>
        <v/>
      </c>
      <c r="K136" s="524" t="str">
        <f t="array" ref="K136">XLOOKUP(L136,Advancements!$I$2:$I164,Advancements!$H$2:$H164)</f>
        <v/>
      </c>
      <c r="L136" s="525" t="s">
        <v>2738</v>
      </c>
      <c r="M136" s="21"/>
      <c r="N136" s="523" t="b">
        <f t="shared" si="83"/>
        <v>0</v>
      </c>
      <c r="O136" s="524" t="str">
        <f t="array" ref="O136">XLOOKUP(Q136,Advancements!$I$2:$I164,Advancements!$C$2:$C164)</f>
        <v/>
      </c>
      <c r="P136" s="524" t="str">
        <f t="array" ref="P136">XLOOKUP(Q136,Advancements!$I$2:$I164,Advancements!$H$2:$H164)</f>
        <v/>
      </c>
      <c r="Q136" s="525" t="s">
        <v>2711</v>
      </c>
      <c r="R136" s="21"/>
      <c r="S136" s="523" t="b">
        <f t="shared" si="84"/>
        <v>0</v>
      </c>
      <c r="T136" s="524" t="str">
        <f t="array" ref="T136">XLOOKUP(V136,Advancements!$I$2:$I164,Advancements!$C$2:$C164)</f>
        <v/>
      </c>
      <c r="U136" s="524" t="str">
        <f t="array" ref="U136">XLOOKUP(V136,Advancements!$I$2:$I164,Advancements!$H$2:$H164)</f>
        <v/>
      </c>
      <c r="V136" s="525" t="s">
        <v>55</v>
      </c>
      <c r="W136" s="21"/>
      <c r="X136" s="523" t="b">
        <f t="shared" si="85"/>
        <v>0</v>
      </c>
      <c r="Y136" s="524" t="str">
        <f t="array" ref="Y136">XLOOKUP(AA136,Advancements!$I$2:$I164,Advancements!$C$2:$C164)</f>
        <v/>
      </c>
      <c r="Z136" s="524" t="str">
        <f t="array" ref="Z136">XLOOKUP(AA136,Advancements!$I$2:$I164,Advancements!$H$2:$H164)</f>
        <v/>
      </c>
      <c r="AA136" s="525" t="s">
        <v>2738</v>
      </c>
      <c r="AB136" s="21"/>
      <c r="AC136" s="523" t="b">
        <f t="shared" si="86"/>
        <v>0</v>
      </c>
      <c r="AD136" s="524" t="str">
        <f t="array" ref="AD136">XLOOKUP(AF136,Advancements!$I$2:$I164,Advancements!$C$2:$C164)</f>
        <v/>
      </c>
      <c r="AE136" s="524" t="str">
        <f t="array" ref="AE136">XLOOKUP(AF136,Advancements!$I$2:$I164,Advancements!$H$2:$H164)</f>
        <v/>
      </c>
      <c r="AF136" s="525" t="s">
        <v>2738</v>
      </c>
      <c r="AG136" s="21"/>
      <c r="AH136" s="21"/>
      <c r="AI136" s="21"/>
      <c r="AJ136" s="21"/>
      <c r="AK136" s="21"/>
      <c r="AL136" s="21"/>
      <c r="AM136" s="21"/>
      <c r="AN136" s="21"/>
      <c r="AO136" s="21"/>
      <c r="AP136" s="21"/>
      <c r="AQ136" s="21"/>
      <c r="AR136" s="21"/>
      <c r="AS136" s="21"/>
      <c r="AT136" s="21"/>
      <c r="AU136" s="21"/>
      <c r="AV136" s="21"/>
      <c r="AW136" s="21"/>
      <c r="AX136" s="21"/>
      <c r="AY136" s="21"/>
      <c r="AZ136" s="21"/>
      <c r="BA136" s="21"/>
      <c r="BB136" s="21"/>
      <c r="BC136" s="21"/>
      <c r="BD136" s="21"/>
      <c r="BE136" s="21"/>
      <c r="BF136" s="21"/>
      <c r="BG136" s="21"/>
      <c r="BH136" s="21"/>
      <c r="BI136" s="21"/>
      <c r="BJ136" s="21"/>
      <c r="BK136" s="21"/>
      <c r="BL136" s="21"/>
      <c r="BM136" s="21"/>
      <c r="BN136" s="21"/>
      <c r="BO136" s="21"/>
      <c r="BP136" s="21"/>
      <c r="BQ136" s="21"/>
      <c r="BR136" s="21"/>
      <c r="BS136" s="21"/>
      <c r="BT136" s="21"/>
      <c r="BU136" s="21"/>
      <c r="BV136" s="21"/>
      <c r="BW136" s="21"/>
      <c r="BX136" s="21"/>
      <c r="BY136" s="21"/>
      <c r="BZ136" s="21"/>
      <c r="CA136" s="21"/>
      <c r="CB136" s="21"/>
      <c r="CC136" s="21"/>
      <c r="CD136" s="21"/>
      <c r="CE136" s="21"/>
      <c r="CF136" s="21"/>
      <c r="CG136" s="21"/>
      <c r="CH136" s="21"/>
      <c r="CI136" s="21"/>
      <c r="CJ136" s="21"/>
      <c r="CK136" s="21"/>
      <c r="CL136" s="21"/>
      <c r="CM136" s="21"/>
      <c r="CN136" s="21"/>
      <c r="CO136" s="21"/>
      <c r="CP136" s="21"/>
      <c r="CQ136" s="21"/>
      <c r="CR136" s="21"/>
      <c r="CS136" s="21"/>
      <c r="CT136" s="21"/>
      <c r="CU136" s="21"/>
      <c r="CV136" s="21"/>
      <c r="CW136" s="21"/>
      <c r="CX136" s="21"/>
      <c r="CY136" s="21"/>
      <c r="CZ136" s="21"/>
      <c r="DA136" s="21"/>
      <c r="DB136" s="21"/>
      <c r="DC136" s="21"/>
    </row>
    <row r="137">
      <c r="A137" s="21"/>
      <c r="B137" s="439"/>
      <c r="C137" s="21"/>
      <c r="D137" s="523" t="b">
        <f t="shared" si="81"/>
        <v>0</v>
      </c>
      <c r="E137" s="524" t="str">
        <f t="array" ref="E137">XLOOKUP(G137,Advancements!$I$2:$I164,Advancements!$C$2:$C164)</f>
        <v/>
      </c>
      <c r="F137" s="524" t="str">
        <f t="array" ref="F137">XLOOKUP(G137,Advancements!$I$2:$I164,Advancements!$H$2:$H164)</f>
        <v/>
      </c>
      <c r="G137" s="525" t="s">
        <v>2016</v>
      </c>
      <c r="H137" s="21"/>
      <c r="I137" s="523" t="b">
        <f t="shared" si="82"/>
        <v>0</v>
      </c>
      <c r="J137" s="524" t="str">
        <f t="array" ref="J137">XLOOKUP(L137,Advancements!$I$2:$I164,Advancements!$C$2:$C164)</f>
        <v/>
      </c>
      <c r="K137" s="524" t="str">
        <f t="array" ref="K137">XLOOKUP(L137,Advancements!$I$2:$I164,Advancements!$H$2:$H164)</f>
        <v/>
      </c>
      <c r="L137" s="525" t="s">
        <v>59</v>
      </c>
      <c r="M137" s="21"/>
      <c r="N137" s="523" t="b">
        <f t="shared" si="83"/>
        <v>0</v>
      </c>
      <c r="O137" s="524" t="str">
        <f t="array" ref="O137">XLOOKUP(Q137,Advancements!$I$2:$I164,Advancements!$C$2:$C164)</f>
        <v/>
      </c>
      <c r="P137" s="524" t="str">
        <f t="array" ref="P137">XLOOKUP(Q137,Advancements!$I$2:$I164,Advancements!$H$2:$H164)</f>
        <v/>
      </c>
      <c r="Q137" s="525" t="s">
        <v>2738</v>
      </c>
      <c r="R137" s="21"/>
      <c r="S137" s="523" t="b">
        <f t="shared" si="84"/>
        <v>0</v>
      </c>
      <c r="T137" s="524" t="str">
        <f t="array" ref="T137">XLOOKUP(V137,Advancements!$I$2:$I164,Advancements!$C$2:$C164)</f>
        <v/>
      </c>
      <c r="U137" s="524" t="str">
        <f t="array" ref="U137">XLOOKUP(V137,Advancements!$I$2:$I164,Advancements!$H$2:$H164)</f>
        <v/>
      </c>
      <c r="V137" s="525" t="s">
        <v>67</v>
      </c>
      <c r="W137" s="21"/>
      <c r="X137" s="523" t="b">
        <f t="shared" si="85"/>
        <v>0</v>
      </c>
      <c r="Y137" s="524" t="str">
        <f t="array" ref="Y137">XLOOKUP(AA137,Advancements!$I$2:$I164,Advancements!$C$2:$C164)</f>
        <v/>
      </c>
      <c r="Z137" s="524" t="str">
        <f t="array" ref="Z137">XLOOKUP(AA137,Advancements!$I$2:$I164,Advancements!$H$2:$H164)</f>
        <v/>
      </c>
      <c r="AA137" s="525" t="s">
        <v>59</v>
      </c>
      <c r="AB137" s="21"/>
      <c r="AC137" s="523" t="b">
        <f t="shared" si="86"/>
        <v>0</v>
      </c>
      <c r="AD137" s="524" t="str">
        <f t="array" ref="AD137">XLOOKUP(AF137,Advancements!$I$2:$I164,Advancements!$C$2:$C164)</f>
        <v/>
      </c>
      <c r="AE137" s="524" t="str">
        <f t="array" ref="AE137">XLOOKUP(AF137,Advancements!$I$2:$I164,Advancements!$H$2:$H164)</f>
        <v/>
      </c>
      <c r="AF137" s="525" t="s">
        <v>59</v>
      </c>
      <c r="AG137" s="21"/>
      <c r="AH137" s="21"/>
      <c r="AI137" s="21"/>
      <c r="AJ137" s="21"/>
      <c r="AK137" s="21"/>
      <c r="AL137" s="21"/>
      <c r="AM137" s="21"/>
      <c r="AN137" s="21"/>
      <c r="AO137" s="21"/>
      <c r="AP137" s="21"/>
      <c r="AQ137" s="21"/>
      <c r="AR137" s="21"/>
      <c r="AS137" s="21"/>
      <c r="AT137" s="21"/>
      <c r="AU137" s="21"/>
      <c r="AV137" s="21"/>
      <c r="AW137" s="21"/>
      <c r="AX137" s="21"/>
      <c r="AY137" s="21"/>
      <c r="AZ137" s="21"/>
      <c r="BA137" s="21"/>
      <c r="BB137" s="21"/>
      <c r="BC137" s="21"/>
      <c r="BD137" s="21"/>
      <c r="BE137" s="21"/>
      <c r="BF137" s="21"/>
      <c r="BG137" s="21"/>
      <c r="BH137" s="21"/>
      <c r="BI137" s="21"/>
      <c r="BJ137" s="21"/>
      <c r="BK137" s="21"/>
      <c r="BL137" s="21"/>
      <c r="BM137" s="21"/>
      <c r="BN137" s="21"/>
      <c r="BO137" s="21"/>
      <c r="BP137" s="21"/>
      <c r="BQ137" s="21"/>
      <c r="BR137" s="21"/>
      <c r="BS137" s="21"/>
      <c r="BT137" s="21"/>
      <c r="BU137" s="21"/>
      <c r="BV137" s="21"/>
      <c r="BW137" s="21"/>
      <c r="BX137" s="21"/>
      <c r="BY137" s="21"/>
      <c r="BZ137" s="21"/>
      <c r="CA137" s="21"/>
      <c r="CB137" s="21"/>
      <c r="CC137" s="21"/>
      <c r="CD137" s="21"/>
      <c r="CE137" s="21"/>
      <c r="CF137" s="21"/>
      <c r="CG137" s="21"/>
      <c r="CH137" s="21"/>
      <c r="CI137" s="21"/>
      <c r="CJ137" s="21"/>
      <c r="CK137" s="21"/>
      <c r="CL137" s="21"/>
      <c r="CM137" s="21"/>
      <c r="CN137" s="21"/>
      <c r="CO137" s="21"/>
      <c r="CP137" s="21"/>
      <c r="CQ137" s="21"/>
      <c r="CR137" s="21"/>
      <c r="CS137" s="21"/>
      <c r="CT137" s="21"/>
      <c r="CU137" s="21"/>
      <c r="CV137" s="21"/>
      <c r="CW137" s="21"/>
      <c r="CX137" s="21"/>
      <c r="CY137" s="21"/>
      <c r="CZ137" s="21"/>
      <c r="DA137" s="21"/>
      <c r="DB137" s="21"/>
      <c r="DC137" s="21"/>
    </row>
    <row r="138">
      <c r="A138" s="21"/>
      <c r="B138" s="439"/>
      <c r="C138" s="21"/>
      <c r="D138" s="523" t="b">
        <f t="shared" si="81"/>
        <v>0</v>
      </c>
      <c r="E138" s="524" t="str">
        <f t="array" ref="E138">XLOOKUP(G138,Advancements!$I$2:$I164,Advancements!$C$2:$C164)</f>
        <v/>
      </c>
      <c r="F138" s="524" t="str">
        <f t="array" ref="F138">XLOOKUP(G138,Advancements!$I$2:$I164,Advancements!$H$2:$H164)</f>
        <v/>
      </c>
      <c r="G138" s="525" t="s">
        <v>55</v>
      </c>
      <c r="H138" s="21"/>
      <c r="I138" s="523" t="b">
        <f t="shared" si="82"/>
        <v>0</v>
      </c>
      <c r="J138" s="524" t="str">
        <f t="array" ref="J138">XLOOKUP(L138,Advancements!$I$2:$I164,Advancements!$C$2:$C164)</f>
        <v/>
      </c>
      <c r="K138" s="524" t="str">
        <f t="array" ref="K138">XLOOKUP(L138,Advancements!$I$2:$I164,Advancements!$H$2:$H164)</f>
        <v/>
      </c>
      <c r="L138" s="525" t="s">
        <v>55</v>
      </c>
      <c r="M138" s="21"/>
      <c r="N138" s="523" t="b">
        <f t="shared" si="83"/>
        <v>0</v>
      </c>
      <c r="O138" s="524" t="str">
        <f t="array" ref="O138">XLOOKUP(Q138,Advancements!$I$2:$I164,Advancements!$C$2:$C164)</f>
        <v/>
      </c>
      <c r="P138" s="524" t="str">
        <f t="array" ref="P138">XLOOKUP(Q138,Advancements!$I$2:$I164,Advancements!$H$2:$H164)</f>
        <v/>
      </c>
      <c r="Q138" s="525" t="s">
        <v>59</v>
      </c>
      <c r="R138" s="21"/>
      <c r="S138" s="520" t="b">
        <f t="shared" si="84"/>
        <v>0</v>
      </c>
      <c r="T138" s="521" t="str">
        <f t="array" ref="T138">XLOOKUP(V138,Advancements!$I$2:$I164,Advancements!$C$2:$C164)</f>
        <v/>
      </c>
      <c r="U138" s="521" t="str">
        <f t="array" ref="U138">XLOOKUP(V138,Advancements!$I$2:$I164,Advancements!$H$2:$H164)</f>
        <v/>
      </c>
      <c r="V138" s="527" t="s">
        <v>4846</v>
      </c>
      <c r="W138" s="21"/>
      <c r="X138" s="523" t="b">
        <f t="shared" si="85"/>
        <v>0</v>
      </c>
      <c r="Y138" s="524" t="str">
        <f t="array" ref="Y138">XLOOKUP(AA138,Advancements!$I$2:$I164,Advancements!$C$2:$C164)</f>
        <v/>
      </c>
      <c r="Z138" s="524" t="str">
        <f t="array" ref="Z138">XLOOKUP(AA138,Advancements!$I$2:$I164,Advancements!$H$2:$H164)</f>
        <v/>
      </c>
      <c r="AA138" s="525" t="s">
        <v>55</v>
      </c>
      <c r="AB138" s="21"/>
      <c r="AC138" s="523" t="b">
        <f t="shared" si="86"/>
        <v>0</v>
      </c>
      <c r="AD138" s="524" t="str">
        <f t="array" ref="AD138">XLOOKUP(AF138,Advancements!$I$2:$I164,Advancements!$C$2:$C164)</f>
        <v/>
      </c>
      <c r="AE138" s="524" t="str">
        <f t="array" ref="AE138">XLOOKUP(AF138,Advancements!$I$2:$I164,Advancements!$H$2:$H164)</f>
        <v/>
      </c>
      <c r="AF138" s="525" t="s">
        <v>55</v>
      </c>
      <c r="AG138" s="21"/>
      <c r="AH138" s="21"/>
      <c r="AI138" s="21"/>
      <c r="AJ138" s="21"/>
      <c r="AK138" s="21"/>
      <c r="AL138" s="21"/>
      <c r="AM138" s="21"/>
      <c r="AN138" s="21"/>
      <c r="AO138" s="21"/>
      <c r="AP138" s="21"/>
      <c r="AQ138" s="21"/>
      <c r="AR138" s="21"/>
      <c r="AS138" s="21"/>
      <c r="AT138" s="21"/>
      <c r="AU138" s="21"/>
      <c r="AV138" s="21"/>
      <c r="AW138" s="21"/>
      <c r="AX138" s="21"/>
      <c r="AY138" s="21"/>
      <c r="AZ138" s="21"/>
      <c r="BA138" s="21"/>
      <c r="BB138" s="21"/>
      <c r="BC138" s="21"/>
      <c r="BD138" s="21"/>
      <c r="BE138" s="21"/>
      <c r="BF138" s="21"/>
      <c r="BG138" s="21"/>
      <c r="BH138" s="21"/>
      <c r="BI138" s="21"/>
      <c r="BJ138" s="21"/>
      <c r="BK138" s="21"/>
      <c r="BL138" s="21"/>
      <c r="BM138" s="21"/>
      <c r="BN138" s="21"/>
      <c r="BO138" s="21"/>
      <c r="BP138" s="21"/>
      <c r="BQ138" s="21"/>
      <c r="BR138" s="21"/>
      <c r="BS138" s="21"/>
      <c r="BT138" s="21"/>
      <c r="BU138" s="21"/>
      <c r="BV138" s="21"/>
      <c r="BW138" s="21"/>
      <c r="BX138" s="21"/>
      <c r="BY138" s="21"/>
      <c r="BZ138" s="21"/>
      <c r="CA138" s="21"/>
      <c r="CB138" s="21"/>
      <c r="CC138" s="21"/>
      <c r="CD138" s="21"/>
      <c r="CE138" s="21"/>
      <c r="CF138" s="21"/>
      <c r="CG138" s="21"/>
      <c r="CH138" s="21"/>
      <c r="CI138" s="21"/>
      <c r="CJ138" s="21"/>
      <c r="CK138" s="21"/>
      <c r="CL138" s="21"/>
      <c r="CM138" s="21"/>
      <c r="CN138" s="21"/>
      <c r="CO138" s="21"/>
      <c r="CP138" s="21"/>
      <c r="CQ138" s="21"/>
      <c r="CR138" s="21"/>
      <c r="CS138" s="21"/>
      <c r="CT138" s="21"/>
      <c r="CU138" s="21"/>
      <c r="CV138" s="21"/>
      <c r="CW138" s="21"/>
      <c r="CX138" s="21"/>
      <c r="CY138" s="21"/>
      <c r="CZ138" s="21"/>
      <c r="DA138" s="21"/>
      <c r="DB138" s="21"/>
      <c r="DC138" s="21"/>
    </row>
    <row r="139">
      <c r="A139" s="21"/>
      <c r="B139" s="439"/>
      <c r="C139" s="21"/>
      <c r="D139" s="523" t="b">
        <f t="shared" si="81"/>
        <v>0</v>
      </c>
      <c r="E139" s="524" t="str">
        <f t="array" ref="E139">XLOOKUP(G139,Advancements!$I$2:$I164,Advancements!$C$2:$C164)</f>
        <v/>
      </c>
      <c r="F139" s="524" t="str">
        <f t="array" ref="F139">XLOOKUP(G139,Advancements!$I$2:$I164,Advancements!$H$2:$H164)</f>
        <v/>
      </c>
      <c r="G139" s="525" t="s">
        <v>2707</v>
      </c>
      <c r="H139" s="21"/>
      <c r="I139" s="523" t="b">
        <f t="shared" si="82"/>
        <v>0</v>
      </c>
      <c r="J139" s="524" t="str">
        <f t="array" ref="J139">XLOOKUP(L139,Advancements!$I$2:$I164,Advancements!$C$2:$C164)</f>
        <v/>
      </c>
      <c r="K139" s="524" t="str">
        <f t="array" ref="K139">XLOOKUP(L139,Advancements!$I$2:$I164,Advancements!$H$2:$H164)</f>
        <v/>
      </c>
      <c r="L139" s="525" t="s">
        <v>67</v>
      </c>
      <c r="M139" s="21"/>
      <c r="N139" s="523" t="b">
        <f t="shared" si="83"/>
        <v>0</v>
      </c>
      <c r="O139" s="524" t="str">
        <f t="array" ref="O139">XLOOKUP(Q139,Advancements!$I$2:$I164,Advancements!$C$2:$C164)</f>
        <v/>
      </c>
      <c r="P139" s="524" t="str">
        <f t="array" ref="P139">XLOOKUP(Q139,Advancements!$I$2:$I164,Advancements!$H$2:$H164)</f>
        <v/>
      </c>
      <c r="Q139" s="525" t="s">
        <v>55</v>
      </c>
      <c r="R139" s="21"/>
      <c r="S139" s="21"/>
      <c r="T139" s="21"/>
      <c r="U139" s="21"/>
      <c r="V139" s="21"/>
      <c r="W139" s="21"/>
      <c r="X139" s="523" t="b">
        <f t="shared" si="85"/>
        <v>0</v>
      </c>
      <c r="Y139" s="524" t="str">
        <f t="array" ref="Y139">XLOOKUP(AA139,Advancements!$I$2:$I164,Advancements!$C$2:$C164)</f>
        <v/>
      </c>
      <c r="Z139" s="524" t="str">
        <f t="array" ref="Z139">XLOOKUP(AA139,Advancements!$I$2:$I164,Advancements!$H$2:$H164)</f>
        <v/>
      </c>
      <c r="AA139" s="525" t="s">
        <v>67</v>
      </c>
      <c r="AB139" s="21"/>
      <c r="AC139" s="523" t="b">
        <f t="shared" si="86"/>
        <v>0</v>
      </c>
      <c r="AD139" s="524" t="str">
        <f t="array" ref="AD139">XLOOKUP(AF139,Advancements!$I$2:$I164,Advancements!$C$2:$C164)</f>
        <v/>
      </c>
      <c r="AE139" s="524" t="str">
        <f t="array" ref="AE139">XLOOKUP(AF139,Advancements!$I$2:$I164,Advancements!$H$2:$H164)</f>
        <v/>
      </c>
      <c r="AF139" s="525" t="s">
        <v>67</v>
      </c>
      <c r="AG139" s="21"/>
      <c r="AH139" s="21"/>
      <c r="AI139" s="21"/>
      <c r="AJ139" s="21"/>
      <c r="AK139" s="21"/>
      <c r="AL139" s="21"/>
      <c r="AM139" s="21"/>
      <c r="AN139" s="21"/>
      <c r="AO139" s="21"/>
      <c r="AP139" s="21"/>
      <c r="AQ139" s="21"/>
      <c r="AR139" s="21"/>
      <c r="AS139" s="21"/>
      <c r="AT139" s="21"/>
      <c r="AU139" s="21"/>
      <c r="AV139" s="21"/>
      <c r="AW139" s="21"/>
      <c r="AX139" s="21"/>
      <c r="AY139" s="21"/>
      <c r="AZ139" s="21"/>
      <c r="BA139" s="21"/>
      <c r="BB139" s="21"/>
      <c r="BC139" s="21"/>
      <c r="BD139" s="21"/>
      <c r="BE139" s="21"/>
      <c r="BF139" s="21"/>
      <c r="BG139" s="21"/>
      <c r="BH139" s="21"/>
      <c r="BI139" s="21"/>
      <c r="BJ139" s="21"/>
      <c r="BK139" s="21"/>
      <c r="BL139" s="21"/>
      <c r="BM139" s="21"/>
      <c r="BN139" s="21"/>
      <c r="BO139" s="21"/>
      <c r="BP139" s="21"/>
      <c r="BQ139" s="21"/>
      <c r="BR139" s="21"/>
      <c r="BS139" s="21"/>
      <c r="BT139" s="21"/>
      <c r="BU139" s="21"/>
      <c r="BV139" s="21"/>
      <c r="BW139" s="21"/>
      <c r="BX139" s="21"/>
      <c r="BY139" s="21"/>
      <c r="BZ139" s="21"/>
      <c r="CA139" s="21"/>
      <c r="CB139" s="21"/>
      <c r="CC139" s="21"/>
      <c r="CD139" s="21"/>
      <c r="CE139" s="21"/>
      <c r="CF139" s="21"/>
      <c r="CG139" s="21"/>
      <c r="CH139" s="21"/>
      <c r="CI139" s="21"/>
      <c r="CJ139" s="21"/>
      <c r="CK139" s="21"/>
      <c r="CL139" s="21"/>
      <c r="CM139" s="21"/>
      <c r="CN139" s="21"/>
      <c r="CO139" s="21"/>
      <c r="CP139" s="21"/>
      <c r="CQ139" s="21"/>
      <c r="CR139" s="21"/>
      <c r="CS139" s="21"/>
      <c r="CT139" s="21"/>
      <c r="CU139" s="21"/>
      <c r="CV139" s="21"/>
      <c r="CW139" s="21"/>
      <c r="CX139" s="21"/>
      <c r="CY139" s="21"/>
      <c r="CZ139" s="21"/>
      <c r="DA139" s="21"/>
      <c r="DB139" s="21"/>
      <c r="DC139" s="21"/>
    </row>
    <row r="140">
      <c r="A140" s="21"/>
      <c r="B140" s="439"/>
      <c r="C140" s="21"/>
      <c r="D140" s="523" t="b">
        <f t="shared" si="81"/>
        <v>0</v>
      </c>
      <c r="E140" s="524" t="str">
        <f t="array" ref="E140">XLOOKUP(G140,Advancements!$I$2:$I164,Advancements!$C$2:$C164)</f>
        <v/>
      </c>
      <c r="F140" s="524" t="str">
        <f t="array" ref="F140">XLOOKUP(G140,Advancements!$I$2:$I164,Advancements!$H$2:$H164)</f>
        <v/>
      </c>
      <c r="G140" s="525" t="s">
        <v>67</v>
      </c>
      <c r="H140" s="21"/>
      <c r="I140" s="523" t="b">
        <f t="shared" si="82"/>
        <v>0</v>
      </c>
      <c r="J140" s="524" t="str">
        <f t="array" ref="J140">XLOOKUP(L140,Advancements!$I$2:$I164,Advancements!$C$2:$C164)</f>
        <v/>
      </c>
      <c r="K140" s="524" t="str">
        <f t="array" ref="K140">XLOOKUP(L140,Advancements!$I$2:$I164,Advancements!$H$2:$H164)</f>
        <v/>
      </c>
      <c r="L140" s="525" t="s">
        <v>36</v>
      </c>
      <c r="M140" s="21"/>
      <c r="N140" s="523" t="b">
        <f t="shared" si="83"/>
        <v>0</v>
      </c>
      <c r="O140" s="524" t="str">
        <f t="array" ref="O140">XLOOKUP(Q140,Advancements!$I$2:$I164,Advancements!$C$2:$C164)</f>
        <v/>
      </c>
      <c r="P140" s="524" t="str">
        <f t="array" ref="P140">XLOOKUP(Q140,Advancements!$I$2:$I164,Advancements!$H$2:$H164)</f>
        <v/>
      </c>
      <c r="Q140" s="525" t="s">
        <v>67</v>
      </c>
      <c r="R140" s="21"/>
      <c r="S140" s="21"/>
      <c r="T140" s="21"/>
      <c r="U140" s="21"/>
      <c r="V140" s="21"/>
      <c r="W140" s="21"/>
      <c r="X140" s="523" t="b">
        <f t="shared" si="85"/>
        <v>0</v>
      </c>
      <c r="Y140" s="524" t="str">
        <f t="array" ref="Y140">XLOOKUP(AA140,Advancements!$I$2:$I164,Advancements!$C$2:$C164)</f>
        <v/>
      </c>
      <c r="Z140" s="524" t="str">
        <f t="array" ref="Z140">XLOOKUP(AA140,Advancements!$I$2:$I164,Advancements!$H$2:$H164)</f>
        <v/>
      </c>
      <c r="AA140" s="525" t="s">
        <v>36</v>
      </c>
      <c r="AB140" s="21"/>
      <c r="AC140" s="523" t="b">
        <f t="shared" si="86"/>
        <v>0</v>
      </c>
      <c r="AD140" s="524" t="str">
        <f t="array" ref="AD140">XLOOKUP(AF140,Advancements!$I$2:$I164,Advancements!$C$2:$C164)</f>
        <v/>
      </c>
      <c r="AE140" s="524" t="str">
        <f t="array" ref="AE140">XLOOKUP(AF140,Advancements!$I$2:$I164,Advancements!$H$2:$H164)</f>
        <v/>
      </c>
      <c r="AF140" s="525" t="s">
        <v>36</v>
      </c>
      <c r="AG140" s="21"/>
      <c r="AH140" s="21"/>
      <c r="AI140" s="21"/>
      <c r="AJ140" s="21"/>
      <c r="AK140" s="21"/>
      <c r="AL140" s="21"/>
      <c r="AM140" s="21"/>
      <c r="AN140" s="21"/>
      <c r="AO140" s="21"/>
      <c r="AP140" s="21"/>
      <c r="AQ140" s="21"/>
      <c r="AR140" s="21"/>
      <c r="AS140" s="21"/>
      <c r="AT140" s="21"/>
      <c r="AU140" s="21"/>
      <c r="AV140" s="21"/>
      <c r="AW140" s="21"/>
      <c r="AX140" s="21"/>
      <c r="AY140" s="21"/>
      <c r="AZ140" s="21"/>
      <c r="BA140" s="21"/>
      <c r="BB140" s="21"/>
      <c r="BC140" s="21"/>
      <c r="BD140" s="21"/>
      <c r="BE140" s="21"/>
      <c r="BF140" s="21"/>
      <c r="BG140" s="21"/>
      <c r="BH140" s="21"/>
      <c r="BI140" s="21"/>
      <c r="BJ140" s="21"/>
      <c r="BK140" s="21"/>
      <c r="BL140" s="21"/>
      <c r="BM140" s="21"/>
      <c r="BN140" s="21"/>
      <c r="BO140" s="21"/>
      <c r="BP140" s="21"/>
      <c r="BQ140" s="21"/>
      <c r="BR140" s="21"/>
      <c r="BS140" s="21"/>
      <c r="BT140" s="21"/>
      <c r="BU140" s="21"/>
      <c r="BV140" s="21"/>
      <c r="BW140" s="21"/>
      <c r="BX140" s="21"/>
      <c r="BY140" s="21"/>
      <c r="BZ140" s="21"/>
      <c r="CA140" s="21"/>
      <c r="CB140" s="21"/>
      <c r="CC140" s="21"/>
      <c r="CD140" s="21"/>
      <c r="CE140" s="21"/>
      <c r="CF140" s="21"/>
      <c r="CG140" s="21"/>
      <c r="CH140" s="21"/>
      <c r="CI140" s="21"/>
      <c r="CJ140" s="21"/>
      <c r="CK140" s="21"/>
      <c r="CL140" s="21"/>
      <c r="CM140" s="21"/>
      <c r="CN140" s="21"/>
      <c r="CO140" s="21"/>
      <c r="CP140" s="21"/>
      <c r="CQ140" s="21"/>
      <c r="CR140" s="21"/>
      <c r="CS140" s="21"/>
      <c r="CT140" s="21"/>
      <c r="CU140" s="21"/>
      <c r="CV140" s="21"/>
      <c r="CW140" s="21"/>
      <c r="CX140" s="21"/>
      <c r="CY140" s="21"/>
      <c r="CZ140" s="21"/>
      <c r="DA140" s="21"/>
      <c r="DB140" s="21"/>
      <c r="DC140" s="21"/>
    </row>
    <row r="141">
      <c r="A141" s="21"/>
      <c r="B141" s="439"/>
      <c r="C141" s="21"/>
      <c r="D141" s="520" t="b">
        <f t="shared" si="81"/>
        <v>0</v>
      </c>
      <c r="E141" s="521" t="str">
        <f t="array" ref="E141">XLOOKUP(G141,Advancements!$I$2:$I164,Advancements!$C$2:$C164)</f>
        <v/>
      </c>
      <c r="F141" s="521" t="str">
        <f t="array" ref="F141">XLOOKUP(G141,Advancements!$I$2:$I164,Advancements!$H$2:$H164)</f>
        <v/>
      </c>
      <c r="G141" s="527" t="s">
        <v>4846</v>
      </c>
      <c r="H141" s="21"/>
      <c r="I141" s="520" t="b">
        <f t="shared" si="82"/>
        <v>0</v>
      </c>
      <c r="J141" s="521" t="str">
        <f t="array" ref="J141">XLOOKUP(L141,Advancements!$I$2:$I164,Advancements!$C$2:$C164)</f>
        <v/>
      </c>
      <c r="K141" s="521" t="str">
        <f t="array" ref="K141">XLOOKUP(L141,Advancements!$I$2:$I164,Advancements!$H$2:$H164)</f>
        <v/>
      </c>
      <c r="L141" s="527" t="s">
        <v>4846</v>
      </c>
      <c r="M141" s="21"/>
      <c r="N141" s="523" t="b">
        <f t="shared" si="83"/>
        <v>0</v>
      </c>
      <c r="O141" s="524" t="str">
        <f t="array" ref="O141">XLOOKUP(Q141,Advancements!$I$2:$I164,Advancements!$C$2:$C164)</f>
        <v/>
      </c>
      <c r="P141" s="524" t="str">
        <f t="array" ref="P141">XLOOKUP(Q141,Advancements!$I$2:$I164,Advancements!$H$2:$H164)</f>
        <v/>
      </c>
      <c r="Q141" s="525" t="s">
        <v>36</v>
      </c>
      <c r="R141" s="21"/>
      <c r="S141" s="21"/>
      <c r="T141" s="21"/>
      <c r="U141" s="21"/>
      <c r="V141" s="21"/>
      <c r="W141" s="21"/>
      <c r="X141" s="520" t="b">
        <f t="shared" si="85"/>
        <v>0</v>
      </c>
      <c r="Y141" s="521" t="str">
        <f t="array" ref="Y141">XLOOKUP(AA141,Advancements!$I$2:$I164,Advancements!$C$2:$C164)</f>
        <v/>
      </c>
      <c r="Z141" s="521" t="str">
        <f t="array" ref="Z141">XLOOKUP(AA141,Advancements!$I$2:$I164,Advancements!$H$2:$H164)</f>
        <v/>
      </c>
      <c r="AA141" s="527" t="s">
        <v>4846</v>
      </c>
      <c r="AB141" s="21"/>
      <c r="AC141" s="520" t="b">
        <f t="shared" si="86"/>
        <v>0</v>
      </c>
      <c r="AD141" s="521" t="str">
        <f t="array" ref="AD141">XLOOKUP(AF141,Advancements!$I$2:$I164,Advancements!$C$2:$C164)</f>
        <v/>
      </c>
      <c r="AE141" s="521" t="str">
        <f t="array" ref="AE141">XLOOKUP(AF141,Advancements!$I$2:$I164,Advancements!$H$2:$H164)</f>
        <v/>
      </c>
      <c r="AF141" s="527" t="s">
        <v>4846</v>
      </c>
      <c r="AG141" s="21"/>
      <c r="AH141" s="21"/>
      <c r="AI141" s="21"/>
      <c r="AJ141" s="21"/>
      <c r="AK141" s="21"/>
      <c r="AL141" s="21"/>
      <c r="AM141" s="21"/>
      <c r="AN141" s="21"/>
      <c r="AO141" s="21"/>
      <c r="AP141" s="21"/>
      <c r="AQ141" s="21"/>
      <c r="AR141" s="21"/>
      <c r="AS141" s="21"/>
      <c r="AT141" s="21"/>
      <c r="AU141" s="21"/>
      <c r="AV141" s="21"/>
      <c r="AW141" s="21"/>
      <c r="AX141" s="21"/>
      <c r="AY141" s="21"/>
      <c r="AZ141" s="21"/>
      <c r="BA141" s="21"/>
      <c r="BB141" s="21"/>
      <c r="BC141" s="21"/>
      <c r="BD141" s="21"/>
      <c r="BE141" s="21"/>
      <c r="BF141" s="21"/>
      <c r="BG141" s="21"/>
      <c r="BH141" s="21"/>
      <c r="BI141" s="21"/>
      <c r="BJ141" s="21"/>
      <c r="BK141" s="21"/>
      <c r="BL141" s="21"/>
      <c r="BM141" s="21"/>
      <c r="BN141" s="21"/>
      <c r="BO141" s="21"/>
      <c r="BP141" s="21"/>
      <c r="BQ141" s="21"/>
      <c r="BR141" s="21"/>
      <c r="BS141" s="21"/>
      <c r="BT141" s="21"/>
      <c r="BU141" s="21"/>
      <c r="BV141" s="21"/>
      <c r="BW141" s="21"/>
      <c r="BX141" s="21"/>
      <c r="BY141" s="21"/>
      <c r="BZ141" s="21"/>
      <c r="CA141" s="21"/>
      <c r="CB141" s="21"/>
      <c r="CC141" s="21"/>
      <c r="CD141" s="21"/>
      <c r="CE141" s="21"/>
      <c r="CF141" s="21"/>
      <c r="CG141" s="21"/>
      <c r="CH141" s="21"/>
      <c r="CI141" s="21"/>
      <c r="CJ141" s="21"/>
      <c r="CK141" s="21"/>
      <c r="CL141" s="21"/>
      <c r="CM141" s="21"/>
      <c r="CN141" s="21"/>
      <c r="CO141" s="21"/>
      <c r="CP141" s="21"/>
      <c r="CQ141" s="21"/>
      <c r="CR141" s="21"/>
      <c r="CS141" s="21"/>
      <c r="CT141" s="21"/>
      <c r="CU141" s="21"/>
      <c r="CV141" s="21"/>
      <c r="CW141" s="21"/>
      <c r="CX141" s="21"/>
      <c r="CY141" s="21"/>
      <c r="CZ141" s="21"/>
      <c r="DA141" s="21"/>
      <c r="DB141" s="21"/>
      <c r="DC141" s="21"/>
    </row>
    <row r="142">
      <c r="A142" s="21"/>
      <c r="B142" s="468"/>
      <c r="C142" s="21"/>
      <c r="D142" s="21"/>
      <c r="E142" s="21"/>
      <c r="F142" s="21"/>
      <c r="G142" s="21"/>
      <c r="H142" s="21"/>
      <c r="I142" s="21"/>
      <c r="J142" s="21"/>
      <c r="K142" s="21"/>
      <c r="L142" s="21"/>
      <c r="M142" s="21"/>
      <c r="N142" s="520" t="b">
        <f t="shared" si="83"/>
        <v>0</v>
      </c>
      <c r="O142" s="521" t="str">
        <f t="array" ref="O142">XLOOKUP(Q142,Advancements!$I$2:$I164,Advancements!$C$2:$C164)</f>
        <v/>
      </c>
      <c r="P142" s="521" t="str">
        <f t="array" ref="P142">XLOOKUP(Q142,Advancements!$I$2:$I164,Advancements!$H$2:$H164)</f>
        <v/>
      </c>
      <c r="Q142" s="527" t="s">
        <v>4846</v>
      </c>
      <c r="R142" s="21"/>
      <c r="S142" s="21"/>
      <c r="T142" s="21"/>
      <c r="U142" s="21"/>
      <c r="V142" s="21"/>
      <c r="W142" s="21"/>
      <c r="X142" s="21"/>
      <c r="Y142" s="21"/>
      <c r="Z142" s="21"/>
      <c r="AA142" s="21"/>
      <c r="AB142" s="21"/>
      <c r="AC142" s="21"/>
      <c r="AD142" s="21"/>
      <c r="AE142" s="21"/>
      <c r="AF142" s="21"/>
      <c r="AG142" s="21"/>
      <c r="AH142" s="21"/>
      <c r="AI142" s="21"/>
      <c r="AJ142" s="21"/>
      <c r="AK142" s="21"/>
      <c r="AL142" s="21"/>
      <c r="AM142" s="21"/>
      <c r="AN142" s="21"/>
      <c r="AO142" s="21"/>
      <c r="AP142" s="21"/>
      <c r="AQ142" s="21"/>
      <c r="AR142" s="21"/>
      <c r="AS142" s="21"/>
      <c r="AT142" s="21"/>
      <c r="AU142" s="21"/>
      <c r="AV142" s="21"/>
      <c r="AW142" s="21"/>
      <c r="AX142" s="21"/>
      <c r="AY142" s="21"/>
      <c r="AZ142" s="21"/>
      <c r="BA142" s="21"/>
      <c r="BB142" s="21"/>
      <c r="BC142" s="21"/>
      <c r="BD142" s="21"/>
      <c r="BE142" s="21"/>
      <c r="BF142" s="21"/>
      <c r="BG142" s="21"/>
      <c r="BH142" s="21"/>
      <c r="BI142" s="21"/>
      <c r="BJ142" s="21"/>
      <c r="BK142" s="21"/>
      <c r="BL142" s="21"/>
      <c r="BM142" s="21"/>
      <c r="BN142" s="21"/>
      <c r="BO142" s="21"/>
      <c r="BP142" s="21"/>
      <c r="BQ142" s="21"/>
      <c r="BR142" s="21"/>
      <c r="BS142" s="21"/>
      <c r="BT142" s="21"/>
      <c r="BU142" s="21"/>
      <c r="BV142" s="21"/>
      <c r="BW142" s="21"/>
      <c r="BX142" s="21"/>
      <c r="BY142" s="21"/>
      <c r="BZ142" s="21"/>
      <c r="CA142" s="21"/>
      <c r="CB142" s="21"/>
      <c r="CC142" s="21"/>
      <c r="CD142" s="21"/>
      <c r="CE142" s="21"/>
      <c r="CF142" s="21"/>
      <c r="CG142" s="21"/>
      <c r="CH142" s="21"/>
      <c r="CI142" s="21"/>
      <c r="CJ142" s="21"/>
      <c r="CK142" s="21"/>
      <c r="CL142" s="21"/>
      <c r="CM142" s="21"/>
      <c r="CN142" s="21"/>
      <c r="CO142" s="21"/>
      <c r="CP142" s="21"/>
      <c r="CQ142" s="21"/>
      <c r="CR142" s="21"/>
      <c r="CS142" s="21"/>
      <c r="CT142" s="21"/>
      <c r="CU142" s="21"/>
      <c r="CV142" s="21"/>
      <c r="CW142" s="21"/>
      <c r="CX142" s="21"/>
      <c r="CY142" s="21"/>
      <c r="CZ142" s="21"/>
      <c r="DA142" s="21"/>
      <c r="DB142" s="21"/>
      <c r="DC142" s="21"/>
    </row>
    <row r="143">
      <c r="A143" s="21"/>
      <c r="B143" s="21"/>
      <c r="C143" s="21"/>
      <c r="D143" s="21"/>
      <c r="E143" s="21"/>
      <c r="F143" s="21"/>
      <c r="G143" s="21"/>
      <c r="H143" s="21"/>
      <c r="I143" s="21"/>
      <c r="J143" s="21"/>
      <c r="K143" s="21"/>
      <c r="L143" s="21"/>
      <c r="M143" s="21"/>
      <c r="N143" s="21"/>
      <c r="O143" s="21"/>
      <c r="P143" s="21"/>
      <c r="Q143" s="21"/>
      <c r="R143" s="21"/>
      <c r="S143" s="21"/>
      <c r="T143" s="21"/>
      <c r="U143" s="21"/>
      <c r="V143" s="21"/>
      <c r="W143" s="21"/>
      <c r="X143" s="21"/>
      <c r="Y143" s="21"/>
      <c r="Z143" s="21"/>
      <c r="AA143" s="21"/>
      <c r="AB143" s="21"/>
      <c r="AC143" s="21"/>
      <c r="AD143" s="21"/>
      <c r="AE143" s="21"/>
      <c r="AF143" s="21"/>
      <c r="AG143" s="21"/>
      <c r="AH143" s="21"/>
      <c r="AI143" s="21"/>
      <c r="AJ143" s="21"/>
      <c r="AK143" s="21"/>
      <c r="AL143" s="21"/>
      <c r="AM143" s="21"/>
      <c r="AN143" s="21"/>
      <c r="AO143" s="21"/>
      <c r="AP143" s="21"/>
      <c r="AQ143" s="21"/>
      <c r="AR143" s="21"/>
      <c r="AS143" s="21"/>
      <c r="AT143" s="21"/>
      <c r="AU143" s="21"/>
      <c r="AV143" s="21"/>
      <c r="AW143" s="21"/>
      <c r="AX143" s="21"/>
      <c r="AY143" s="21"/>
      <c r="AZ143" s="21"/>
      <c r="BA143" s="21"/>
      <c r="BB143" s="21"/>
      <c r="BC143" s="21"/>
      <c r="BD143" s="21"/>
      <c r="BE143" s="21"/>
      <c r="BF143" s="21"/>
      <c r="BG143" s="21"/>
      <c r="BH143" s="21"/>
      <c r="BI143" s="21"/>
      <c r="BJ143" s="21"/>
      <c r="BK143" s="21"/>
      <c r="BL143" s="21"/>
      <c r="BM143" s="21"/>
      <c r="BN143" s="21"/>
      <c r="BO143" s="21"/>
      <c r="BP143" s="21"/>
      <c r="BQ143" s="21"/>
      <c r="BR143" s="21"/>
      <c r="BS143" s="21"/>
      <c r="BT143" s="21"/>
      <c r="BU143" s="21"/>
      <c r="BV143" s="21"/>
      <c r="BW143" s="21"/>
      <c r="BX143" s="21"/>
      <c r="BY143" s="21"/>
      <c r="BZ143" s="21"/>
      <c r="CA143" s="21"/>
      <c r="CB143" s="21"/>
      <c r="CC143" s="21"/>
      <c r="CD143" s="21"/>
      <c r="CE143" s="21"/>
      <c r="CF143" s="21"/>
      <c r="CG143" s="21"/>
      <c r="CH143" s="21"/>
      <c r="CI143" s="21"/>
      <c r="CJ143" s="21"/>
      <c r="CK143" s="21"/>
      <c r="CL143" s="21"/>
      <c r="CM143" s="21"/>
      <c r="CN143" s="21"/>
      <c r="CO143" s="21"/>
      <c r="CP143" s="21"/>
      <c r="CQ143" s="21"/>
      <c r="CR143" s="21"/>
      <c r="CS143" s="21"/>
      <c r="CT143" s="21"/>
      <c r="CU143" s="21"/>
      <c r="CV143" s="21"/>
      <c r="CW143" s="21"/>
      <c r="CX143" s="21"/>
      <c r="CY143" s="21"/>
      <c r="CZ143" s="21"/>
      <c r="DA143" s="21"/>
      <c r="DB143" s="21"/>
      <c r="DC143" s="21"/>
    </row>
    <row r="144">
      <c r="A144" s="21"/>
      <c r="B144" s="528" t="s">
        <v>7337</v>
      </c>
      <c r="C144" s="21"/>
      <c r="D144" s="529" t="b">
        <f>IFALLTRUE(D145:D149)</f>
        <v>0</v>
      </c>
      <c r="E144" s="530"/>
      <c r="F144" s="530" t="str">
        <f>GET_MOB_HEAD(G144)</f>
        <v/>
      </c>
      <c r="G144" s="531" t="s">
        <v>7338</v>
      </c>
      <c r="H144" s="21"/>
      <c r="I144" s="529" t="b">
        <f>IFALLTRUE(I145:I149)</f>
        <v>0</v>
      </c>
      <c r="J144" s="530"/>
      <c r="K144" s="530" t="str">
        <f>GET_MOB_HEAD(L144)</f>
        <v/>
      </c>
      <c r="L144" s="531" t="s">
        <v>7339</v>
      </c>
      <c r="M144" s="21"/>
      <c r="N144" s="529" t="b">
        <f>IFALLTRUE(N145:N149)</f>
        <v>0</v>
      </c>
      <c r="O144" s="530"/>
      <c r="P144" s="530" t="str">
        <f>GET_MOB_HEAD(Q144)</f>
        <v/>
      </c>
      <c r="Q144" s="531" t="s">
        <v>7340</v>
      </c>
      <c r="R144" s="21"/>
      <c r="S144" s="529" t="b">
        <f>IFALLTRUE(S145:S149)</f>
        <v>0</v>
      </c>
      <c r="T144" s="530"/>
      <c r="U144" s="530" t="str">
        <f>GET_MOB_HEAD(V144)</f>
        <v/>
      </c>
      <c r="V144" s="531" t="s">
        <v>7341</v>
      </c>
      <c r="W144" s="21"/>
      <c r="X144" s="529" t="b">
        <f>IFALLTRUE(X145:X149)</f>
        <v>0</v>
      </c>
      <c r="Y144" s="530"/>
      <c r="Z144" s="530" t="str">
        <f>GET_MOB_HEAD(AA144)</f>
        <v/>
      </c>
      <c r="AA144" s="531" t="s">
        <v>7342</v>
      </c>
      <c r="AB144" s="21"/>
      <c r="AC144" s="529" t="b">
        <f>IFALLTRUE(AC145:AC149)</f>
        <v>0</v>
      </c>
      <c r="AD144" s="530"/>
      <c r="AE144" s="530" t="str">
        <f>GET_MOB_HEAD(AF144)</f>
        <v/>
      </c>
      <c r="AF144" s="531" t="s">
        <v>7343</v>
      </c>
      <c r="AG144" s="21"/>
      <c r="AH144" s="21"/>
      <c r="AI144" s="21"/>
      <c r="AJ144" s="21"/>
      <c r="AK144" s="21"/>
      <c r="AL144" s="21"/>
      <c r="AM144" s="21"/>
      <c r="AN144" s="21"/>
      <c r="AO144" s="21"/>
      <c r="AP144" s="21"/>
      <c r="AQ144" s="21"/>
      <c r="AR144" s="21"/>
      <c r="AS144" s="21"/>
      <c r="AT144" s="21"/>
      <c r="AU144" s="21"/>
      <c r="AV144" s="21"/>
      <c r="AW144" s="21"/>
      <c r="AX144" s="21"/>
      <c r="AY144" s="21"/>
      <c r="AZ144" s="21"/>
      <c r="BA144" s="21"/>
      <c r="BB144" s="21"/>
      <c r="BC144" s="21"/>
      <c r="BD144" s="21"/>
      <c r="BE144" s="21"/>
      <c r="BF144" s="21"/>
      <c r="BG144" s="21"/>
      <c r="BH144" s="21"/>
      <c r="BI144" s="21"/>
      <c r="BJ144" s="21"/>
      <c r="BK144" s="21"/>
      <c r="BL144" s="21"/>
      <c r="BM144" s="21"/>
      <c r="BN144" s="21"/>
      <c r="BO144" s="21"/>
      <c r="BP144" s="21"/>
      <c r="BQ144" s="21"/>
      <c r="BR144" s="21"/>
      <c r="BS144" s="21"/>
      <c r="BT144" s="21"/>
      <c r="BU144" s="21"/>
      <c r="BV144" s="21"/>
      <c r="BW144" s="21"/>
      <c r="BX144" s="21"/>
      <c r="BY144" s="21"/>
      <c r="BZ144" s="21"/>
      <c r="CA144" s="21"/>
      <c r="CB144" s="21"/>
      <c r="CC144" s="21"/>
      <c r="CD144" s="21"/>
      <c r="CE144" s="21"/>
      <c r="CF144" s="21"/>
      <c r="CG144" s="21"/>
      <c r="CH144" s="21"/>
      <c r="CI144" s="21"/>
      <c r="CJ144" s="21"/>
      <c r="CK144" s="21"/>
      <c r="CL144" s="21"/>
      <c r="CM144" s="21"/>
      <c r="CN144" s="21"/>
      <c r="CO144" s="21"/>
      <c r="CP144" s="21"/>
      <c r="CQ144" s="21"/>
      <c r="CR144" s="21"/>
      <c r="CS144" s="21"/>
      <c r="CT144" s="21"/>
      <c r="CU144" s="21"/>
      <c r="CV144" s="21"/>
      <c r="CW144" s="21"/>
      <c r="CX144" s="21"/>
      <c r="CY144" s="21"/>
      <c r="CZ144" s="21"/>
      <c r="DA144" s="21"/>
      <c r="DB144" s="21"/>
      <c r="DC144" s="21"/>
    </row>
    <row r="145">
      <c r="A145" s="21"/>
      <c r="B145" s="439"/>
      <c r="C145" s="21"/>
      <c r="D145" s="535" t="b">
        <f t="shared" ref="D145:D152" si="87">CHECK_MOB(G145,G$144)</f>
        <v>0</v>
      </c>
      <c r="E145" s="536" t="str">
        <f t="array" ref="E145">XLOOKUP(G145,Advancements!$I$2:$I164,Advancements!$C$2:$C164)</f>
        <v/>
      </c>
      <c r="F145" s="536" t="str">
        <f t="array" ref="F145">XLOOKUP(G145,Advancements!$I$2:$I164,Advancements!$H$2:$H164)</f>
        <v/>
      </c>
      <c r="G145" s="537" t="s">
        <v>63</v>
      </c>
      <c r="H145" s="21"/>
      <c r="I145" s="535" t="b">
        <f t="shared" ref="I145:I152" si="88">CHECK_MOB(L145,L$144)</f>
        <v>0</v>
      </c>
      <c r="J145" s="536" t="str">
        <f t="array" ref="J145">XLOOKUP(L145,Advancements!$I$2:$I164,Advancements!$C$2:$C164)</f>
        <v/>
      </c>
      <c r="K145" s="536" t="str">
        <f t="array" ref="K145">XLOOKUP(L145,Advancements!$I$2:$I164,Advancements!$H$2:$H164)</f>
        <v/>
      </c>
      <c r="L145" s="537" t="s">
        <v>63</v>
      </c>
      <c r="M145" s="21"/>
      <c r="N145" s="535" t="b">
        <f t="shared" ref="N145:N151" si="89">CHECK_MOB(Q145,Q$144)</f>
        <v>0</v>
      </c>
      <c r="O145" s="536" t="str">
        <f t="array" ref="O145">XLOOKUP(Q145,Advancements!$I$2:$I164,Advancements!$C$2:$C164)</f>
        <v/>
      </c>
      <c r="P145" s="536" t="str">
        <f t="array" ref="P145">XLOOKUP(Q145,Advancements!$I$2:$I164,Advancements!$H$2:$H164)</f>
        <v/>
      </c>
      <c r="Q145" s="537" t="s">
        <v>63</v>
      </c>
      <c r="R145" s="21"/>
      <c r="S145" s="535" t="b">
        <f t="shared" ref="S145:S152" si="90">CHECK_MOB(V145,V$144)</f>
        <v>0</v>
      </c>
      <c r="T145" s="536" t="str">
        <f t="array" ref="T145">XLOOKUP(V145,Advancements!$I$2:$I164,Advancements!$C$2:$C164)</f>
        <v/>
      </c>
      <c r="U145" s="536" t="str">
        <f t="array" ref="U145">XLOOKUP(V145,Advancements!$I$2:$I164,Advancements!$H$2:$H164)</f>
        <v/>
      </c>
      <c r="V145" s="537" t="s">
        <v>63</v>
      </c>
      <c r="W145" s="21"/>
      <c r="X145" s="535" t="b">
        <f t="shared" ref="X145:X152" si="91">CHECK_MOB(AA145,AA$144)</f>
        <v>0</v>
      </c>
      <c r="Y145" s="536" t="str">
        <f t="array" ref="Y145">XLOOKUP(AA145,Advancements!$I$2:$I164,Advancements!$C$2:$C164)</f>
        <v/>
      </c>
      <c r="Z145" s="536" t="str">
        <f t="array" ref="Z145">XLOOKUP(AA145,Advancements!$I$2:$I164,Advancements!$H$2:$H164)</f>
        <v/>
      </c>
      <c r="AA145" s="537" t="s">
        <v>63</v>
      </c>
      <c r="AB145" s="21"/>
      <c r="AC145" s="535" t="b">
        <f t="shared" ref="AC145:AC152" si="92">CHECK_MOB(AF145,AF$144)</f>
        <v>0</v>
      </c>
      <c r="AD145" s="536" t="str">
        <f t="array" ref="AD145">XLOOKUP(AF145,Advancements!$I$2:$I164,Advancements!$C$2:$C164)</f>
        <v/>
      </c>
      <c r="AE145" s="536" t="str">
        <f t="array" ref="AE145">XLOOKUP(AF145,Advancements!$I$2:$I164,Advancements!$H$2:$H164)</f>
        <v/>
      </c>
      <c r="AF145" s="537" t="s">
        <v>63</v>
      </c>
      <c r="AG145" s="21"/>
      <c r="AH145" s="21"/>
      <c r="AI145" s="21"/>
      <c r="AJ145" s="21"/>
      <c r="AK145" s="21"/>
      <c r="AL145" s="21"/>
      <c r="AM145" s="21"/>
      <c r="AN145" s="21"/>
      <c r="AO145" s="21"/>
      <c r="AP145" s="21"/>
      <c r="AQ145" s="21"/>
      <c r="AR145" s="21"/>
      <c r="AS145" s="21"/>
      <c r="AT145" s="21"/>
      <c r="AU145" s="21"/>
      <c r="AV145" s="21"/>
      <c r="AW145" s="21"/>
      <c r="AX145" s="21"/>
      <c r="AY145" s="21"/>
      <c r="AZ145" s="21"/>
      <c r="BA145" s="21"/>
      <c r="BB145" s="21"/>
      <c r="BC145" s="21"/>
      <c r="BD145" s="21"/>
      <c r="BE145" s="21"/>
      <c r="BF145" s="21"/>
      <c r="BG145" s="21"/>
      <c r="BH145" s="21"/>
      <c r="BI145" s="21"/>
      <c r="BJ145" s="21"/>
      <c r="BK145" s="21"/>
      <c r="BL145" s="21"/>
      <c r="BM145" s="21"/>
      <c r="BN145" s="21"/>
      <c r="BO145" s="21"/>
      <c r="BP145" s="21"/>
      <c r="BQ145" s="21"/>
      <c r="BR145" s="21"/>
      <c r="BS145" s="21"/>
      <c r="BT145" s="21"/>
      <c r="BU145" s="21"/>
      <c r="BV145" s="21"/>
      <c r="BW145" s="21"/>
      <c r="BX145" s="21"/>
      <c r="BY145" s="21"/>
      <c r="BZ145" s="21"/>
      <c r="CA145" s="21"/>
      <c r="CB145" s="21"/>
      <c r="CC145" s="21"/>
      <c r="CD145" s="21"/>
      <c r="CE145" s="21"/>
      <c r="CF145" s="21"/>
      <c r="CG145" s="21"/>
      <c r="CH145" s="21"/>
      <c r="CI145" s="21"/>
      <c r="CJ145" s="21"/>
      <c r="CK145" s="21"/>
      <c r="CL145" s="21"/>
      <c r="CM145" s="21"/>
      <c r="CN145" s="21"/>
      <c r="CO145" s="21"/>
      <c r="CP145" s="21"/>
      <c r="CQ145" s="21"/>
      <c r="CR145" s="21"/>
      <c r="CS145" s="21"/>
      <c r="CT145" s="21"/>
      <c r="CU145" s="21"/>
      <c r="CV145" s="21"/>
      <c r="CW145" s="21"/>
      <c r="CX145" s="21"/>
      <c r="CY145" s="21"/>
      <c r="CZ145" s="21"/>
      <c r="DA145" s="21"/>
      <c r="DB145" s="21"/>
      <c r="DC145" s="21"/>
    </row>
    <row r="146">
      <c r="A146" s="21"/>
      <c r="B146" s="439"/>
      <c r="C146" s="21"/>
      <c r="D146" s="538" t="b">
        <f t="shared" si="87"/>
        <v>0</v>
      </c>
      <c r="E146" s="539" t="str">
        <f t="array" ref="E146">XLOOKUP(G146,Advancements!$I$2:$I164,Advancements!$C$2:$C164)</f>
        <v/>
      </c>
      <c r="F146" s="539" t="str">
        <f t="array" ref="F146">XLOOKUP(G146,Advancements!$I$2:$I164,Advancements!$H$2:$H164)</f>
        <v/>
      </c>
      <c r="G146" s="540" t="s">
        <v>2618</v>
      </c>
      <c r="H146" s="21"/>
      <c r="I146" s="538" t="b">
        <f t="shared" si="88"/>
        <v>0</v>
      </c>
      <c r="J146" s="539" t="str">
        <f t="array" ref="J146">XLOOKUP(L146,Advancements!$I$2:$I164,Advancements!$C$2:$C164)</f>
        <v/>
      </c>
      <c r="K146" s="539" t="str">
        <f t="array" ref="K146">XLOOKUP(L146,Advancements!$I$2:$I164,Advancements!$H$2:$H164)</f>
        <v/>
      </c>
      <c r="L146" s="540" t="s">
        <v>2618</v>
      </c>
      <c r="M146" s="21"/>
      <c r="N146" s="538" t="b">
        <f t="shared" si="89"/>
        <v>0</v>
      </c>
      <c r="O146" s="539" t="str">
        <f t="array" ref="O146">XLOOKUP(Q146,Advancements!$I$2:$I164,Advancements!$C$2:$C164)</f>
        <v/>
      </c>
      <c r="P146" s="539" t="str">
        <f t="array" ref="P146">XLOOKUP(Q146,Advancements!$I$2:$I164,Advancements!$H$2:$H164)</f>
        <v/>
      </c>
      <c r="Q146" s="540" t="s">
        <v>2618</v>
      </c>
      <c r="R146" s="21"/>
      <c r="S146" s="538" t="b">
        <f t="shared" si="90"/>
        <v>0</v>
      </c>
      <c r="T146" s="539" t="str">
        <f t="array" ref="T146">XLOOKUP(V146,Advancements!$I$2:$I164,Advancements!$C$2:$C164)</f>
        <v/>
      </c>
      <c r="U146" s="539" t="str">
        <f t="array" ref="U146">XLOOKUP(V146,Advancements!$I$2:$I164,Advancements!$H$2:$H164)</f>
        <v/>
      </c>
      <c r="V146" s="540" t="s">
        <v>2618</v>
      </c>
      <c r="W146" s="21"/>
      <c r="X146" s="538" t="b">
        <f t="shared" si="91"/>
        <v>0</v>
      </c>
      <c r="Y146" s="539" t="str">
        <f t="array" ref="Y146">XLOOKUP(AA146,Advancements!$I$2:$I164,Advancements!$C$2:$C164)</f>
        <v/>
      </c>
      <c r="Z146" s="539" t="str">
        <f t="array" ref="Z146">XLOOKUP(AA146,Advancements!$I$2:$I164,Advancements!$H$2:$H164)</f>
        <v/>
      </c>
      <c r="AA146" s="540" t="s">
        <v>2618</v>
      </c>
      <c r="AB146" s="21"/>
      <c r="AC146" s="538" t="b">
        <f t="shared" si="92"/>
        <v>0</v>
      </c>
      <c r="AD146" s="539" t="str">
        <f t="array" ref="AD146">XLOOKUP(AF146,Advancements!$I$2:$I164,Advancements!$C$2:$C164)</f>
        <v/>
      </c>
      <c r="AE146" s="539" t="str">
        <f t="array" ref="AE146">XLOOKUP(AF146,Advancements!$I$2:$I164,Advancements!$H$2:$H164)</f>
        <v/>
      </c>
      <c r="AF146" s="540" t="s">
        <v>2618</v>
      </c>
      <c r="AG146" s="21"/>
      <c r="AH146" s="21"/>
      <c r="AI146" s="21"/>
      <c r="AJ146" s="21"/>
      <c r="AK146" s="21"/>
      <c r="AL146" s="21"/>
      <c r="AM146" s="21"/>
      <c r="AN146" s="21"/>
      <c r="AO146" s="21"/>
      <c r="AP146" s="21"/>
      <c r="AQ146" s="21"/>
      <c r="AR146" s="21"/>
      <c r="AS146" s="21"/>
      <c r="AT146" s="21"/>
      <c r="AU146" s="21"/>
      <c r="AV146" s="21"/>
      <c r="AW146" s="21"/>
      <c r="AX146" s="21"/>
      <c r="AY146" s="21"/>
      <c r="AZ146" s="21"/>
      <c r="BA146" s="21"/>
      <c r="BB146" s="21"/>
      <c r="BC146" s="21"/>
      <c r="BD146" s="21"/>
      <c r="BE146" s="21"/>
      <c r="BF146" s="21"/>
      <c r="BG146" s="21"/>
      <c r="BH146" s="21"/>
      <c r="BI146" s="21"/>
      <c r="BJ146" s="21"/>
      <c r="BK146" s="21"/>
      <c r="BL146" s="21"/>
      <c r="BM146" s="21"/>
      <c r="BN146" s="21"/>
      <c r="BO146" s="21"/>
      <c r="BP146" s="21"/>
      <c r="BQ146" s="21"/>
      <c r="BR146" s="21"/>
      <c r="BS146" s="21"/>
      <c r="BT146" s="21"/>
      <c r="BU146" s="21"/>
      <c r="BV146" s="21"/>
      <c r="BW146" s="21"/>
      <c r="BX146" s="21"/>
      <c r="BY146" s="21"/>
      <c r="BZ146" s="21"/>
      <c r="CA146" s="21"/>
      <c r="CB146" s="21"/>
      <c r="CC146" s="21"/>
      <c r="CD146" s="21"/>
      <c r="CE146" s="21"/>
      <c r="CF146" s="21"/>
      <c r="CG146" s="21"/>
      <c r="CH146" s="21"/>
      <c r="CI146" s="21"/>
      <c r="CJ146" s="21"/>
      <c r="CK146" s="21"/>
      <c r="CL146" s="21"/>
      <c r="CM146" s="21"/>
      <c r="CN146" s="21"/>
      <c r="CO146" s="21"/>
      <c r="CP146" s="21"/>
      <c r="CQ146" s="21"/>
      <c r="CR146" s="21"/>
      <c r="CS146" s="21"/>
      <c r="CT146" s="21"/>
      <c r="CU146" s="21"/>
      <c r="CV146" s="21"/>
      <c r="CW146" s="21"/>
      <c r="CX146" s="21"/>
      <c r="CY146" s="21"/>
      <c r="CZ146" s="21"/>
      <c r="DA146" s="21"/>
      <c r="DB146" s="21"/>
      <c r="DC146" s="21"/>
    </row>
    <row r="147">
      <c r="A147" s="21"/>
      <c r="B147" s="439"/>
      <c r="C147" s="21"/>
      <c r="D147" s="538" t="b">
        <f t="shared" si="87"/>
        <v>0</v>
      </c>
      <c r="E147" s="539" t="str">
        <f t="array" ref="E147">XLOOKUP(G147,Advancements!$I$2:$I164,Advancements!$C$2:$C164)</f>
        <v/>
      </c>
      <c r="F147" s="539" t="str">
        <f t="array" ref="F147">XLOOKUP(G147,Advancements!$I$2:$I164,Advancements!$H$2:$H164)</f>
        <v/>
      </c>
      <c r="G147" s="540" t="s">
        <v>59</v>
      </c>
      <c r="H147" s="21"/>
      <c r="I147" s="538" t="b">
        <f t="shared" si="88"/>
        <v>0</v>
      </c>
      <c r="J147" s="539" t="str">
        <f t="array" ref="J147">XLOOKUP(L147,Advancements!$I$2:$I164,Advancements!$C$2:$C164)</f>
        <v/>
      </c>
      <c r="K147" s="539" t="str">
        <f t="array" ref="K147">XLOOKUP(L147,Advancements!$I$2:$I164,Advancements!$H$2:$H164)</f>
        <v/>
      </c>
      <c r="L147" s="540" t="s">
        <v>59</v>
      </c>
      <c r="M147" s="21"/>
      <c r="N147" s="538" t="b">
        <f t="shared" si="89"/>
        <v>0</v>
      </c>
      <c r="O147" s="539" t="str">
        <f t="array" ref="O147">XLOOKUP(Q147,Advancements!$I$2:$I164,Advancements!$C$2:$C164)</f>
        <v/>
      </c>
      <c r="P147" s="539" t="str">
        <f t="array" ref="P147">XLOOKUP(Q147,Advancements!$I$2:$I164,Advancements!$H$2:$H164)</f>
        <v/>
      </c>
      <c r="Q147" s="540" t="s">
        <v>59</v>
      </c>
      <c r="R147" s="21"/>
      <c r="S147" s="538" t="b">
        <f t="shared" si="90"/>
        <v>0</v>
      </c>
      <c r="T147" s="539" t="str">
        <f t="array" ref="T147">XLOOKUP(V147,Advancements!$I$2:$I164,Advancements!$C$2:$C164)</f>
        <v/>
      </c>
      <c r="U147" s="539" t="str">
        <f t="array" ref="U147">XLOOKUP(V147,Advancements!$I$2:$I164,Advancements!$H$2:$H164)</f>
        <v/>
      </c>
      <c r="V147" s="540" t="s">
        <v>59</v>
      </c>
      <c r="W147" s="21"/>
      <c r="X147" s="538" t="b">
        <f t="shared" si="91"/>
        <v>0</v>
      </c>
      <c r="Y147" s="539" t="str">
        <f t="array" ref="Y147">XLOOKUP(AA147,Advancements!$I$2:$I164,Advancements!$C$2:$C164)</f>
        <v/>
      </c>
      <c r="Z147" s="539" t="str">
        <f t="array" ref="Z147">XLOOKUP(AA147,Advancements!$I$2:$I164,Advancements!$H$2:$H164)</f>
        <v/>
      </c>
      <c r="AA147" s="540" t="s">
        <v>59</v>
      </c>
      <c r="AB147" s="21"/>
      <c r="AC147" s="538" t="b">
        <f t="shared" si="92"/>
        <v>0</v>
      </c>
      <c r="AD147" s="539" t="str">
        <f t="array" ref="AD147">XLOOKUP(AF147,Advancements!$I$2:$I164,Advancements!$C$2:$C164)</f>
        <v/>
      </c>
      <c r="AE147" s="539" t="str">
        <f t="array" ref="AE147">XLOOKUP(AF147,Advancements!$I$2:$I164,Advancements!$H$2:$H164)</f>
        <v/>
      </c>
      <c r="AF147" s="540" t="s">
        <v>59</v>
      </c>
      <c r="AG147" s="21"/>
      <c r="AH147" s="21"/>
      <c r="AI147" s="21"/>
      <c r="AJ147" s="21"/>
      <c r="AK147" s="21"/>
      <c r="AL147" s="21"/>
      <c r="AM147" s="21"/>
      <c r="AN147" s="21"/>
      <c r="AO147" s="21"/>
      <c r="AP147" s="21"/>
      <c r="AQ147" s="21"/>
      <c r="AR147" s="21"/>
      <c r="AS147" s="21"/>
      <c r="AT147" s="21"/>
      <c r="AU147" s="21"/>
      <c r="AV147" s="21"/>
      <c r="AW147" s="21"/>
      <c r="AX147" s="21"/>
      <c r="AY147" s="21"/>
      <c r="AZ147" s="21"/>
      <c r="BA147" s="21"/>
      <c r="BB147" s="21"/>
      <c r="BC147" s="21"/>
      <c r="BD147" s="21"/>
      <c r="BE147" s="21"/>
      <c r="BF147" s="21"/>
      <c r="BG147" s="21"/>
      <c r="BH147" s="21"/>
      <c r="BI147" s="21"/>
      <c r="BJ147" s="21"/>
      <c r="BK147" s="21"/>
      <c r="BL147" s="21"/>
      <c r="BM147" s="21"/>
      <c r="BN147" s="21"/>
      <c r="BO147" s="21"/>
      <c r="BP147" s="21"/>
      <c r="BQ147" s="21"/>
      <c r="BR147" s="21"/>
      <c r="BS147" s="21"/>
      <c r="BT147" s="21"/>
      <c r="BU147" s="21"/>
      <c r="BV147" s="21"/>
      <c r="BW147" s="21"/>
      <c r="BX147" s="21"/>
      <c r="BY147" s="21"/>
      <c r="BZ147" s="21"/>
      <c r="CA147" s="21"/>
      <c r="CB147" s="21"/>
      <c r="CC147" s="21"/>
      <c r="CD147" s="21"/>
      <c r="CE147" s="21"/>
      <c r="CF147" s="21"/>
      <c r="CG147" s="21"/>
      <c r="CH147" s="21"/>
      <c r="CI147" s="21"/>
      <c r="CJ147" s="21"/>
      <c r="CK147" s="21"/>
      <c r="CL147" s="21"/>
      <c r="CM147" s="21"/>
      <c r="CN147" s="21"/>
      <c r="CO147" s="21"/>
      <c r="CP147" s="21"/>
      <c r="CQ147" s="21"/>
      <c r="CR147" s="21"/>
      <c r="CS147" s="21"/>
      <c r="CT147" s="21"/>
      <c r="CU147" s="21"/>
      <c r="CV147" s="21"/>
      <c r="CW147" s="21"/>
      <c r="CX147" s="21"/>
      <c r="CY147" s="21"/>
      <c r="CZ147" s="21"/>
      <c r="DA147" s="21"/>
      <c r="DB147" s="21"/>
      <c r="DC147" s="21"/>
    </row>
    <row r="148">
      <c r="A148" s="21"/>
      <c r="B148" s="439"/>
      <c r="C148" s="21"/>
      <c r="D148" s="538" t="b">
        <f t="shared" si="87"/>
        <v>0</v>
      </c>
      <c r="E148" s="539" t="str">
        <f t="array" ref="E148">XLOOKUP(G148,Advancements!$I$2:$I164,Advancements!$C$2:$C164)</f>
        <v/>
      </c>
      <c r="F148" s="539" t="str">
        <f t="array" ref="F148">XLOOKUP(G148,Advancements!$I$2:$I164,Advancements!$H$2:$H164)</f>
        <v/>
      </c>
      <c r="G148" s="540" t="s">
        <v>1718</v>
      </c>
      <c r="H148" s="21"/>
      <c r="I148" s="538" t="b">
        <f t="shared" si="88"/>
        <v>0</v>
      </c>
      <c r="J148" s="539" t="str">
        <f t="array" ref="J148">XLOOKUP(L148,Advancements!$I$2:$I164,Advancements!$C$2:$C164)</f>
        <v/>
      </c>
      <c r="K148" s="539" t="str">
        <f t="array" ref="K148">XLOOKUP(L148,Advancements!$I$2:$I164,Advancements!$H$2:$H164)</f>
        <v/>
      </c>
      <c r="L148" s="540" t="s">
        <v>1718</v>
      </c>
      <c r="M148" s="21"/>
      <c r="N148" s="538" t="b">
        <f t="shared" si="89"/>
        <v>0</v>
      </c>
      <c r="O148" s="539" t="str">
        <f t="array" ref="O148">XLOOKUP(Q148,Advancements!$I$2:$I164,Advancements!$C$2:$C164)</f>
        <v/>
      </c>
      <c r="P148" s="539" t="str">
        <f t="array" ref="P148">XLOOKUP(Q148,Advancements!$I$2:$I164,Advancements!$H$2:$H164)</f>
        <v/>
      </c>
      <c r="Q148" s="540" t="s">
        <v>2016</v>
      </c>
      <c r="R148" s="21"/>
      <c r="S148" s="538" t="b">
        <f t="shared" si="90"/>
        <v>0</v>
      </c>
      <c r="T148" s="539" t="str">
        <f t="array" ref="T148">XLOOKUP(V148,Advancements!$I$2:$I164,Advancements!$C$2:$C164)</f>
        <v/>
      </c>
      <c r="U148" s="539" t="str">
        <f t="array" ref="U148">XLOOKUP(V148,Advancements!$I$2:$I164,Advancements!$H$2:$H164)</f>
        <v/>
      </c>
      <c r="V148" s="540" t="s">
        <v>1718</v>
      </c>
      <c r="W148" s="21"/>
      <c r="X148" s="538" t="b">
        <f t="shared" si="91"/>
        <v>0</v>
      </c>
      <c r="Y148" s="539" t="str">
        <f t="array" ref="Y148">XLOOKUP(AA148,Advancements!$I$2:$I164,Advancements!$C$2:$C164)</f>
        <v/>
      </c>
      <c r="Z148" s="539" t="str">
        <f t="array" ref="Z148">XLOOKUP(AA148,Advancements!$I$2:$I164,Advancements!$H$2:$H164)</f>
        <v/>
      </c>
      <c r="AA148" s="540" t="s">
        <v>1718</v>
      </c>
      <c r="AB148" s="21"/>
      <c r="AC148" s="538" t="b">
        <f t="shared" si="92"/>
        <v>0</v>
      </c>
      <c r="AD148" s="539" t="str">
        <f t="array" ref="AD148">XLOOKUP(AF148,Advancements!$I$2:$I164,Advancements!$C$2:$C164)</f>
        <v/>
      </c>
      <c r="AE148" s="539" t="str">
        <f t="array" ref="AE148">XLOOKUP(AF148,Advancements!$I$2:$I164,Advancements!$H$2:$H164)</f>
        <v/>
      </c>
      <c r="AF148" s="540" t="s">
        <v>2016</v>
      </c>
      <c r="AG148" s="21"/>
      <c r="AH148" s="21"/>
      <c r="AI148" s="21"/>
      <c r="AJ148" s="21"/>
      <c r="AK148" s="21"/>
      <c r="AL148" s="21"/>
      <c r="AM148" s="21"/>
      <c r="AN148" s="21"/>
      <c r="AO148" s="21"/>
      <c r="AP148" s="21"/>
      <c r="AQ148" s="21"/>
      <c r="AR148" s="21"/>
      <c r="AS148" s="21"/>
      <c r="AT148" s="21"/>
      <c r="AU148" s="21"/>
      <c r="AV148" s="21"/>
      <c r="AW148" s="21"/>
      <c r="AX148" s="21"/>
      <c r="AY148" s="21"/>
      <c r="AZ148" s="21"/>
      <c r="BA148" s="21"/>
      <c r="BB148" s="21"/>
      <c r="BC148" s="21"/>
      <c r="BD148" s="21"/>
      <c r="BE148" s="21"/>
      <c r="BF148" s="21"/>
      <c r="BG148" s="21"/>
      <c r="BH148" s="21"/>
      <c r="BI148" s="21"/>
      <c r="BJ148" s="21"/>
      <c r="BK148" s="21"/>
      <c r="BL148" s="21"/>
      <c r="BM148" s="21"/>
      <c r="BN148" s="21"/>
      <c r="BO148" s="21"/>
      <c r="BP148" s="21"/>
      <c r="BQ148" s="21"/>
      <c r="BR148" s="21"/>
      <c r="BS148" s="21"/>
      <c r="BT148" s="21"/>
      <c r="BU148" s="21"/>
      <c r="BV148" s="21"/>
      <c r="BW148" s="21"/>
      <c r="BX148" s="21"/>
      <c r="BY148" s="21"/>
      <c r="BZ148" s="21"/>
      <c r="CA148" s="21"/>
      <c r="CB148" s="21"/>
      <c r="CC148" s="21"/>
      <c r="CD148" s="21"/>
      <c r="CE148" s="21"/>
      <c r="CF148" s="21"/>
      <c r="CG148" s="21"/>
      <c r="CH148" s="21"/>
      <c r="CI148" s="21"/>
      <c r="CJ148" s="21"/>
      <c r="CK148" s="21"/>
      <c r="CL148" s="21"/>
      <c r="CM148" s="21"/>
      <c r="CN148" s="21"/>
      <c r="CO148" s="21"/>
      <c r="CP148" s="21"/>
      <c r="CQ148" s="21"/>
      <c r="CR148" s="21"/>
      <c r="CS148" s="21"/>
      <c r="CT148" s="21"/>
      <c r="CU148" s="21"/>
      <c r="CV148" s="21"/>
      <c r="CW148" s="21"/>
      <c r="CX148" s="21"/>
      <c r="CY148" s="21"/>
      <c r="CZ148" s="21"/>
      <c r="DA148" s="21"/>
      <c r="DB148" s="21"/>
      <c r="DC148" s="21"/>
    </row>
    <row r="149">
      <c r="A149" s="21"/>
      <c r="B149" s="439"/>
      <c r="C149" s="21"/>
      <c r="D149" s="538" t="b">
        <f t="shared" si="87"/>
        <v>0</v>
      </c>
      <c r="E149" s="539" t="str">
        <f t="array" ref="E149">XLOOKUP(G149,Advancements!$I$2:$I164,Advancements!$C$2:$C164)</f>
        <v/>
      </c>
      <c r="F149" s="539" t="str">
        <f t="array" ref="F149">XLOOKUP(G149,Advancements!$I$2:$I164,Advancements!$H$2:$H164)</f>
        <v/>
      </c>
      <c r="G149" s="540" t="s">
        <v>55</v>
      </c>
      <c r="H149" s="21"/>
      <c r="I149" s="538" t="b">
        <f t="shared" si="88"/>
        <v>0</v>
      </c>
      <c r="J149" s="539" t="str">
        <f t="array" ref="J149">XLOOKUP(L149,Advancements!$I$2:$I164,Advancements!$C$2:$C164)</f>
        <v/>
      </c>
      <c r="K149" s="539" t="str">
        <f t="array" ref="K149">XLOOKUP(L149,Advancements!$I$2:$I164,Advancements!$H$2:$H164)</f>
        <v/>
      </c>
      <c r="L149" s="540" t="s">
        <v>2016</v>
      </c>
      <c r="M149" s="21"/>
      <c r="N149" s="538" t="b">
        <f t="shared" si="89"/>
        <v>0</v>
      </c>
      <c r="O149" s="539" t="str">
        <f t="array" ref="O149">XLOOKUP(Q149,Advancements!$I$2:$I164,Advancements!$C$2:$C164)</f>
        <v/>
      </c>
      <c r="P149" s="539" t="str">
        <f t="array" ref="P149">XLOOKUP(Q149,Advancements!$I$2:$I164,Advancements!$H$2:$H164)</f>
        <v/>
      </c>
      <c r="Q149" s="540" t="s">
        <v>55</v>
      </c>
      <c r="R149" s="21"/>
      <c r="S149" s="538" t="b">
        <f t="shared" si="90"/>
        <v>0</v>
      </c>
      <c r="T149" s="539" t="str">
        <f t="array" ref="T149">XLOOKUP(V149,Advancements!$I$2:$I164,Advancements!$C$2:$C164)</f>
        <v/>
      </c>
      <c r="U149" s="539" t="str">
        <f t="array" ref="U149">XLOOKUP(V149,Advancements!$I$2:$I164,Advancements!$H$2:$H164)</f>
        <v/>
      </c>
      <c r="V149" s="540" t="s">
        <v>2016</v>
      </c>
      <c r="W149" s="21"/>
      <c r="X149" s="538" t="b">
        <f t="shared" si="91"/>
        <v>0</v>
      </c>
      <c r="Y149" s="539" t="str">
        <f t="array" ref="Y149">XLOOKUP(AA149,Advancements!$I$2:$I164,Advancements!$C$2:$C164)</f>
        <v/>
      </c>
      <c r="Z149" s="539" t="str">
        <f t="array" ref="Z149">XLOOKUP(AA149,Advancements!$I$2:$I164,Advancements!$H$2:$H164)</f>
        <v/>
      </c>
      <c r="AA149" s="540" t="s">
        <v>2016</v>
      </c>
      <c r="AB149" s="21"/>
      <c r="AC149" s="538" t="b">
        <f t="shared" si="92"/>
        <v>0</v>
      </c>
      <c r="AD149" s="539" t="str">
        <f t="array" ref="AD149">XLOOKUP(AF149,Advancements!$I$2:$I164,Advancements!$C$2:$C164)</f>
        <v/>
      </c>
      <c r="AE149" s="539" t="str">
        <f t="array" ref="AE149">XLOOKUP(AF149,Advancements!$I$2:$I164,Advancements!$H$2:$H164)</f>
        <v/>
      </c>
      <c r="AF149" s="540" t="s">
        <v>55</v>
      </c>
      <c r="AG149" s="21"/>
      <c r="AH149" s="21"/>
      <c r="AI149" s="21"/>
      <c r="AJ149" s="21"/>
      <c r="AK149" s="21"/>
      <c r="AL149" s="21"/>
      <c r="AM149" s="21"/>
      <c r="AN149" s="21"/>
      <c r="AO149" s="21"/>
      <c r="AP149" s="21"/>
      <c r="AQ149" s="21"/>
      <c r="AR149" s="21"/>
      <c r="AS149" s="21"/>
      <c r="AT149" s="21"/>
      <c r="AU149" s="21"/>
      <c r="AV149" s="21"/>
      <c r="AW149" s="21"/>
      <c r="AX149" s="21"/>
      <c r="AY149" s="21"/>
      <c r="AZ149" s="21"/>
      <c r="BA149" s="21"/>
      <c r="BB149" s="21"/>
      <c r="BC149" s="21"/>
      <c r="BD149" s="21"/>
      <c r="BE149" s="21"/>
      <c r="BF149" s="21"/>
      <c r="BG149" s="21"/>
      <c r="BH149" s="21"/>
      <c r="BI149" s="21"/>
      <c r="BJ149" s="21"/>
      <c r="BK149" s="21"/>
      <c r="BL149" s="21"/>
      <c r="BM149" s="21"/>
      <c r="BN149" s="21"/>
      <c r="BO149" s="21"/>
      <c r="BP149" s="21"/>
      <c r="BQ149" s="21"/>
      <c r="BR149" s="21"/>
      <c r="BS149" s="21"/>
      <c r="BT149" s="21"/>
      <c r="BU149" s="21"/>
      <c r="BV149" s="21"/>
      <c r="BW149" s="21"/>
      <c r="BX149" s="21"/>
      <c r="BY149" s="21"/>
      <c r="BZ149" s="21"/>
      <c r="CA149" s="21"/>
      <c r="CB149" s="21"/>
      <c r="CC149" s="21"/>
      <c r="CD149" s="21"/>
      <c r="CE149" s="21"/>
      <c r="CF149" s="21"/>
      <c r="CG149" s="21"/>
      <c r="CH149" s="21"/>
      <c r="CI149" s="21"/>
      <c r="CJ149" s="21"/>
      <c r="CK149" s="21"/>
      <c r="CL149" s="21"/>
      <c r="CM149" s="21"/>
      <c r="CN149" s="21"/>
      <c r="CO149" s="21"/>
      <c r="CP149" s="21"/>
      <c r="CQ149" s="21"/>
      <c r="CR149" s="21"/>
      <c r="CS149" s="21"/>
      <c r="CT149" s="21"/>
      <c r="CU149" s="21"/>
      <c r="CV149" s="21"/>
      <c r="CW149" s="21"/>
      <c r="CX149" s="21"/>
      <c r="CY149" s="21"/>
      <c r="CZ149" s="21"/>
      <c r="DA149" s="21"/>
      <c r="DB149" s="21"/>
      <c r="DC149" s="21"/>
    </row>
    <row r="150">
      <c r="A150" s="21"/>
      <c r="B150" s="439"/>
      <c r="C150" s="21"/>
      <c r="D150" s="538" t="b">
        <f t="shared" si="87"/>
        <v>0</v>
      </c>
      <c r="E150" s="539" t="str">
        <f t="array" ref="E150">XLOOKUP(G150,Advancements!$I$2:$I164,Advancements!$C$2:$C164)</f>
        <v/>
      </c>
      <c r="F150" s="539" t="str">
        <f t="array" ref="F150">XLOOKUP(G150,Advancements!$I$2:$I164,Advancements!$H$2:$H164)</f>
        <v/>
      </c>
      <c r="G150" s="540" t="s">
        <v>67</v>
      </c>
      <c r="H150" s="21"/>
      <c r="I150" s="538" t="b">
        <f t="shared" si="88"/>
        <v>0</v>
      </c>
      <c r="J150" s="539" t="str">
        <f t="array" ref="J150">XLOOKUP(L150,Advancements!$I$2:$I164,Advancements!$C$2:$C164)</f>
        <v/>
      </c>
      <c r="K150" s="539" t="str">
        <f t="array" ref="K150">XLOOKUP(L150,Advancements!$I$2:$I164,Advancements!$H$2:$H164)</f>
        <v/>
      </c>
      <c r="L150" s="540" t="s">
        <v>55</v>
      </c>
      <c r="M150" s="21"/>
      <c r="N150" s="538" t="b">
        <f t="shared" si="89"/>
        <v>0</v>
      </c>
      <c r="O150" s="539" t="str">
        <f t="array" ref="O150">XLOOKUP(Q150,Advancements!$I$2:$I164,Advancements!$C$2:$C164)</f>
        <v/>
      </c>
      <c r="P150" s="539" t="str">
        <f t="array" ref="P150">XLOOKUP(Q150,Advancements!$I$2:$I164,Advancements!$H$2:$H164)</f>
        <v/>
      </c>
      <c r="Q150" s="540" t="s">
        <v>67</v>
      </c>
      <c r="R150" s="21"/>
      <c r="S150" s="538" t="b">
        <f t="shared" si="90"/>
        <v>0</v>
      </c>
      <c r="T150" s="539" t="str">
        <f t="array" ref="T150">XLOOKUP(V150,Advancements!$I$2:$I164,Advancements!$C$2:$C164)</f>
        <v/>
      </c>
      <c r="U150" s="539" t="str">
        <f t="array" ref="U150">XLOOKUP(V150,Advancements!$I$2:$I164,Advancements!$H$2:$H164)</f>
        <v/>
      </c>
      <c r="V150" s="540" t="s">
        <v>55</v>
      </c>
      <c r="W150" s="21"/>
      <c r="X150" s="538" t="b">
        <f t="shared" si="91"/>
        <v>0</v>
      </c>
      <c r="Y150" s="539" t="str">
        <f t="array" ref="Y150">XLOOKUP(AA150,Advancements!$I$2:$I164,Advancements!$C$2:$C164)</f>
        <v/>
      </c>
      <c r="Z150" s="539" t="str">
        <f t="array" ref="Z150">XLOOKUP(AA150,Advancements!$I$2:$I164,Advancements!$H$2:$H164)</f>
        <v/>
      </c>
      <c r="AA150" s="540" t="s">
        <v>55</v>
      </c>
      <c r="AB150" s="21"/>
      <c r="AC150" s="538" t="b">
        <f t="shared" si="92"/>
        <v>0</v>
      </c>
      <c r="AD150" s="539" t="str">
        <f t="array" ref="AD150">XLOOKUP(AF150,Advancements!$I$2:$I164,Advancements!$C$2:$C164)</f>
        <v/>
      </c>
      <c r="AE150" s="539" t="str">
        <f t="array" ref="AE150">XLOOKUP(AF150,Advancements!$I$2:$I164,Advancements!$H$2:$H164)</f>
        <v/>
      </c>
      <c r="AF150" s="540" t="s">
        <v>67</v>
      </c>
      <c r="AG150" s="21"/>
      <c r="AH150" s="21"/>
      <c r="AI150" s="21"/>
      <c r="AJ150" s="21"/>
      <c r="AK150" s="21"/>
      <c r="AL150" s="21"/>
      <c r="AM150" s="21"/>
      <c r="AN150" s="21"/>
      <c r="AO150" s="21"/>
      <c r="AP150" s="21"/>
      <c r="AQ150" s="21"/>
      <c r="AR150" s="21"/>
      <c r="AS150" s="21"/>
      <c r="AT150" s="21"/>
      <c r="AU150" s="21"/>
      <c r="AV150" s="21"/>
      <c r="AW150" s="21"/>
      <c r="AX150" s="21"/>
      <c r="AY150" s="21"/>
      <c r="AZ150" s="21"/>
      <c r="BA150" s="21"/>
      <c r="BB150" s="21"/>
      <c r="BC150" s="21"/>
      <c r="BD150" s="21"/>
      <c r="BE150" s="21"/>
      <c r="BF150" s="21"/>
      <c r="BG150" s="21"/>
      <c r="BH150" s="21"/>
      <c r="BI150" s="21"/>
      <c r="BJ150" s="21"/>
      <c r="BK150" s="21"/>
      <c r="BL150" s="21"/>
      <c r="BM150" s="21"/>
      <c r="BN150" s="21"/>
      <c r="BO150" s="21"/>
      <c r="BP150" s="21"/>
      <c r="BQ150" s="21"/>
      <c r="BR150" s="21"/>
      <c r="BS150" s="21"/>
      <c r="BT150" s="21"/>
      <c r="BU150" s="21"/>
      <c r="BV150" s="21"/>
      <c r="BW150" s="21"/>
      <c r="BX150" s="21"/>
      <c r="BY150" s="21"/>
      <c r="BZ150" s="21"/>
      <c r="CA150" s="21"/>
      <c r="CB150" s="21"/>
      <c r="CC150" s="21"/>
      <c r="CD150" s="21"/>
      <c r="CE150" s="21"/>
      <c r="CF150" s="21"/>
      <c r="CG150" s="21"/>
      <c r="CH150" s="21"/>
      <c r="CI150" s="21"/>
      <c r="CJ150" s="21"/>
      <c r="CK150" s="21"/>
      <c r="CL150" s="21"/>
      <c r="CM150" s="21"/>
      <c r="CN150" s="21"/>
      <c r="CO150" s="21"/>
      <c r="CP150" s="21"/>
      <c r="CQ150" s="21"/>
      <c r="CR150" s="21"/>
      <c r="CS150" s="21"/>
      <c r="CT150" s="21"/>
      <c r="CU150" s="21"/>
      <c r="CV150" s="21"/>
      <c r="CW150" s="21"/>
      <c r="CX150" s="21"/>
      <c r="CY150" s="21"/>
      <c r="CZ150" s="21"/>
      <c r="DA150" s="21"/>
      <c r="DB150" s="21"/>
      <c r="DC150" s="21"/>
    </row>
    <row r="151">
      <c r="A151" s="21"/>
      <c r="B151" s="439"/>
      <c r="C151" s="21"/>
      <c r="D151" s="538" t="b">
        <f t="shared" si="87"/>
        <v>0</v>
      </c>
      <c r="E151" s="539" t="str">
        <f t="array" ref="E151">XLOOKUP(G151,Advancements!$I$2:$I164,Advancements!$C$2:$C164)</f>
        <v/>
      </c>
      <c r="F151" s="539" t="str">
        <f t="array" ref="F151">XLOOKUP(G151,Advancements!$I$2:$I164,Advancements!$H$2:$H164)</f>
        <v/>
      </c>
      <c r="G151" s="540" t="s">
        <v>36</v>
      </c>
      <c r="H151" s="21"/>
      <c r="I151" s="538" t="b">
        <f t="shared" si="88"/>
        <v>0</v>
      </c>
      <c r="J151" s="539" t="str">
        <f t="array" ref="J151">XLOOKUP(L151,Advancements!$I$2:$I164,Advancements!$C$2:$C164)</f>
        <v/>
      </c>
      <c r="K151" s="539" t="str">
        <f t="array" ref="K151">XLOOKUP(L151,Advancements!$I$2:$I164,Advancements!$H$2:$H164)</f>
        <v/>
      </c>
      <c r="L151" s="540" t="s">
        <v>67</v>
      </c>
      <c r="M151" s="21"/>
      <c r="N151" s="544" t="b">
        <f t="shared" si="89"/>
        <v>0</v>
      </c>
      <c r="O151" s="542" t="str">
        <f t="array" ref="O151">XLOOKUP(Q151,Advancements!$I$2:$I164,Advancements!$C$2:$C164)</f>
        <v/>
      </c>
      <c r="P151" s="542" t="str">
        <f t="array" ref="P151">XLOOKUP(Q151,Advancements!$I$2:$I164,Advancements!$H$2:$H164)</f>
        <v/>
      </c>
      <c r="Q151" s="543" t="s">
        <v>4846</v>
      </c>
      <c r="R151" s="21"/>
      <c r="S151" s="538" t="b">
        <f t="shared" si="90"/>
        <v>0</v>
      </c>
      <c r="T151" s="539" t="str">
        <f t="array" ref="T151">XLOOKUP(V151,Advancements!$I$2:$I164,Advancements!$C$2:$C164)</f>
        <v/>
      </c>
      <c r="U151" s="539" t="str">
        <f t="array" ref="U151">XLOOKUP(V151,Advancements!$I$2:$I164,Advancements!$H$2:$H164)</f>
        <v/>
      </c>
      <c r="V151" s="540" t="s">
        <v>67</v>
      </c>
      <c r="W151" s="21"/>
      <c r="X151" s="538" t="b">
        <f t="shared" si="91"/>
        <v>0</v>
      </c>
      <c r="Y151" s="539" t="str">
        <f t="array" ref="Y151">XLOOKUP(AA151,Advancements!$I$2:$I164,Advancements!$C$2:$C164)</f>
        <v/>
      </c>
      <c r="Z151" s="539" t="str">
        <f t="array" ref="Z151">XLOOKUP(AA151,Advancements!$I$2:$I164,Advancements!$H$2:$H164)</f>
        <v/>
      </c>
      <c r="AA151" s="540" t="s">
        <v>67</v>
      </c>
      <c r="AB151" s="21"/>
      <c r="AC151" s="538" t="b">
        <f t="shared" si="92"/>
        <v>0</v>
      </c>
      <c r="AD151" s="539" t="str">
        <f t="array" ref="AD151">XLOOKUP(AF151,Advancements!$I$2:$I164,Advancements!$C$2:$C164)</f>
        <v/>
      </c>
      <c r="AE151" s="539" t="str">
        <f t="array" ref="AE151">XLOOKUP(AF151,Advancements!$I$2:$I164,Advancements!$H$2:$H164)</f>
        <v/>
      </c>
      <c r="AF151" s="540" t="s">
        <v>36</v>
      </c>
      <c r="AG151" s="21"/>
      <c r="AH151" s="21"/>
      <c r="AI151" s="21"/>
      <c r="AJ151" s="21"/>
      <c r="AK151" s="21"/>
      <c r="AL151" s="21"/>
      <c r="AM151" s="21"/>
      <c r="AN151" s="21"/>
      <c r="AO151" s="21"/>
      <c r="AP151" s="21"/>
      <c r="AQ151" s="21"/>
      <c r="AR151" s="21"/>
      <c r="AS151" s="21"/>
      <c r="AT151" s="21"/>
      <c r="AU151" s="21"/>
      <c r="AV151" s="21"/>
      <c r="AW151" s="21"/>
      <c r="AX151" s="21"/>
      <c r="AY151" s="21"/>
      <c r="AZ151" s="21"/>
      <c r="BA151" s="21"/>
      <c r="BB151" s="21"/>
      <c r="BC151" s="21"/>
      <c r="BD151" s="21"/>
      <c r="BE151" s="21"/>
      <c r="BF151" s="21"/>
      <c r="BG151" s="21"/>
      <c r="BH151" s="21"/>
      <c r="BI151" s="21"/>
      <c r="BJ151" s="21"/>
      <c r="BK151" s="21"/>
      <c r="BL151" s="21"/>
      <c r="BM151" s="21"/>
      <c r="BN151" s="21"/>
      <c r="BO151" s="21"/>
      <c r="BP151" s="21"/>
      <c r="BQ151" s="21"/>
      <c r="BR151" s="21"/>
      <c r="BS151" s="21"/>
      <c r="BT151" s="21"/>
      <c r="BU151" s="21"/>
      <c r="BV151" s="21"/>
      <c r="BW151" s="21"/>
      <c r="BX151" s="21"/>
      <c r="BY151" s="21"/>
      <c r="BZ151" s="21"/>
      <c r="CA151" s="21"/>
      <c r="CB151" s="21"/>
      <c r="CC151" s="21"/>
      <c r="CD151" s="21"/>
      <c r="CE151" s="21"/>
      <c r="CF151" s="21"/>
      <c r="CG151" s="21"/>
      <c r="CH151" s="21"/>
      <c r="CI151" s="21"/>
      <c r="CJ151" s="21"/>
      <c r="CK151" s="21"/>
      <c r="CL151" s="21"/>
      <c r="CM151" s="21"/>
      <c r="CN151" s="21"/>
      <c r="CO151" s="21"/>
      <c r="CP151" s="21"/>
      <c r="CQ151" s="21"/>
      <c r="CR151" s="21"/>
      <c r="CS151" s="21"/>
      <c r="CT151" s="21"/>
      <c r="CU151" s="21"/>
      <c r="CV151" s="21"/>
      <c r="CW151" s="21"/>
      <c r="CX151" s="21"/>
      <c r="CY151" s="21"/>
      <c r="CZ151" s="21"/>
      <c r="DA151" s="21"/>
      <c r="DB151" s="21"/>
      <c r="DC151" s="21"/>
    </row>
    <row r="152">
      <c r="A152" s="21"/>
      <c r="B152" s="468"/>
      <c r="C152" s="21"/>
      <c r="D152" s="544" t="b">
        <f t="shared" si="87"/>
        <v>0</v>
      </c>
      <c r="E152" s="542" t="str">
        <f t="array" ref="E152">XLOOKUP(G152,Advancements!$I$2:$I164,Advancements!$C$2:$C164)</f>
        <v/>
      </c>
      <c r="F152" s="542" t="str">
        <f t="array" ref="F152">XLOOKUP(G152,Advancements!$I$2:$I164,Advancements!$H$2:$H164)</f>
        <v/>
      </c>
      <c r="G152" s="543" t="s">
        <v>4846</v>
      </c>
      <c r="H152" s="21"/>
      <c r="I152" s="544" t="b">
        <f t="shared" si="88"/>
        <v>0</v>
      </c>
      <c r="J152" s="542" t="str">
        <f t="array" ref="J152">XLOOKUP(L152,Advancements!$I$2:$I164,Advancements!$C$2:$C164)</f>
        <v/>
      </c>
      <c r="K152" s="542" t="str">
        <f t="array" ref="K152">XLOOKUP(L152,Advancements!$I$2:$I164,Advancements!$H$2:$H164)</f>
        <v/>
      </c>
      <c r="L152" s="543" t="s">
        <v>4846</v>
      </c>
      <c r="M152" s="21"/>
      <c r="N152" s="21"/>
      <c r="O152" s="21"/>
      <c r="P152" s="21"/>
      <c r="Q152" s="21"/>
      <c r="R152" s="21"/>
      <c r="S152" s="544" t="b">
        <f t="shared" si="90"/>
        <v>0</v>
      </c>
      <c r="T152" s="542" t="str">
        <f t="array" ref="T152">XLOOKUP(V152,Advancements!$I$2:$I164,Advancements!$C$2:$C164)</f>
        <v/>
      </c>
      <c r="U152" s="542" t="str">
        <f t="array" ref="U152">XLOOKUP(V152,Advancements!$I$2:$I164,Advancements!$H$2:$H164)</f>
        <v/>
      </c>
      <c r="V152" s="543" t="s">
        <v>4846</v>
      </c>
      <c r="W152" s="21"/>
      <c r="X152" s="544" t="b">
        <f t="shared" si="91"/>
        <v>0</v>
      </c>
      <c r="Y152" s="542" t="str">
        <f t="array" ref="Y152">XLOOKUP(AA152,Advancements!$I$2:$I164,Advancements!$C$2:$C164)</f>
        <v/>
      </c>
      <c r="Z152" s="542" t="str">
        <f t="array" ref="Z152">XLOOKUP(AA152,Advancements!$I$2:$I164,Advancements!$H$2:$H164)</f>
        <v/>
      </c>
      <c r="AA152" s="543" t="s">
        <v>4846</v>
      </c>
      <c r="AB152" s="21"/>
      <c r="AC152" s="544" t="b">
        <f t="shared" si="92"/>
        <v>0</v>
      </c>
      <c r="AD152" s="542" t="str">
        <f t="array" ref="AD152">XLOOKUP(AF152,Advancements!$I$2:$I164,Advancements!$C$2:$C164)</f>
        <v/>
      </c>
      <c r="AE152" s="542" t="str">
        <f t="array" ref="AE152">XLOOKUP(AF152,Advancements!$I$2:$I164,Advancements!$H$2:$H164)</f>
        <v/>
      </c>
      <c r="AF152" s="543" t="s">
        <v>4846</v>
      </c>
      <c r="AG152" s="21"/>
      <c r="AH152" s="21"/>
      <c r="AI152" s="21"/>
      <c r="AJ152" s="21"/>
      <c r="AK152" s="21"/>
      <c r="AL152" s="21"/>
      <c r="AM152" s="21"/>
      <c r="AN152" s="21"/>
      <c r="AO152" s="21"/>
      <c r="AP152" s="21"/>
      <c r="AQ152" s="21"/>
      <c r="AR152" s="21"/>
      <c r="AS152" s="21"/>
      <c r="AT152" s="21"/>
      <c r="AU152" s="21"/>
      <c r="AV152" s="21"/>
      <c r="AW152" s="21"/>
      <c r="AX152" s="21"/>
      <c r="AY152" s="21"/>
      <c r="AZ152" s="21"/>
      <c r="BA152" s="21"/>
      <c r="BB152" s="21"/>
      <c r="BC152" s="21"/>
      <c r="BD152" s="21"/>
      <c r="BE152" s="21"/>
      <c r="BF152" s="21"/>
      <c r="BG152" s="21"/>
      <c r="BH152" s="21"/>
      <c r="BI152" s="21"/>
      <c r="BJ152" s="21"/>
      <c r="BK152" s="21"/>
      <c r="BL152" s="21"/>
      <c r="BM152" s="21"/>
      <c r="BN152" s="21"/>
      <c r="BO152" s="21"/>
      <c r="BP152" s="21"/>
      <c r="BQ152" s="21"/>
      <c r="BR152" s="21"/>
      <c r="BS152" s="21"/>
      <c r="BT152" s="21"/>
      <c r="BU152" s="21"/>
      <c r="BV152" s="21"/>
      <c r="BW152" s="21"/>
      <c r="BX152" s="21"/>
      <c r="BY152" s="21"/>
      <c r="BZ152" s="21"/>
      <c r="CA152" s="21"/>
      <c r="CB152" s="21"/>
      <c r="CC152" s="21"/>
      <c r="CD152" s="21"/>
      <c r="CE152" s="21"/>
      <c r="CF152" s="21"/>
      <c r="CG152" s="21"/>
      <c r="CH152" s="21"/>
      <c r="CI152" s="21"/>
      <c r="CJ152" s="21"/>
      <c r="CK152" s="21"/>
      <c r="CL152" s="21"/>
      <c r="CM152" s="21"/>
      <c r="CN152" s="21"/>
      <c r="CO152" s="21"/>
      <c r="CP152" s="21"/>
      <c r="CQ152" s="21"/>
      <c r="CR152" s="21"/>
      <c r="CS152" s="21"/>
      <c r="CT152" s="21"/>
      <c r="CU152" s="21"/>
      <c r="CV152" s="21"/>
      <c r="CW152" s="21"/>
      <c r="CX152" s="21"/>
      <c r="CY152" s="21"/>
      <c r="CZ152" s="21"/>
      <c r="DA152" s="21"/>
      <c r="DB152" s="21"/>
      <c r="DC152" s="21"/>
    </row>
    <row r="153">
      <c r="A153" s="21"/>
      <c r="B153" s="21"/>
      <c r="C153" s="21"/>
      <c r="D153" s="21"/>
      <c r="E153" s="21"/>
      <c r="F153" s="21"/>
      <c r="G153" s="21"/>
      <c r="H153" s="21"/>
      <c r="I153" s="21"/>
      <c r="J153" s="21"/>
      <c r="K153" s="21"/>
      <c r="L153" s="21"/>
      <c r="M153" s="21"/>
      <c r="N153" s="21"/>
      <c r="O153" s="21"/>
      <c r="P153" s="21"/>
      <c r="Q153" s="21"/>
      <c r="R153" s="21"/>
      <c r="S153" s="21"/>
      <c r="T153" s="21"/>
      <c r="U153" s="21"/>
      <c r="V153" s="21"/>
      <c r="W153" s="21"/>
      <c r="X153" s="21"/>
      <c r="Y153" s="21"/>
      <c r="Z153" s="21"/>
      <c r="AA153" s="21"/>
      <c r="AB153" s="21"/>
      <c r="AC153" s="21"/>
      <c r="AD153" s="21"/>
      <c r="AE153" s="21"/>
      <c r="AF153" s="21"/>
      <c r="AG153" s="21"/>
      <c r="AH153" s="21"/>
      <c r="AI153" s="21"/>
      <c r="AJ153" s="21"/>
      <c r="AK153" s="21"/>
      <c r="AL153" s="21"/>
      <c r="AM153" s="21"/>
      <c r="AN153" s="21"/>
      <c r="AO153" s="21"/>
      <c r="AP153" s="21"/>
      <c r="AQ153" s="21"/>
      <c r="AR153" s="21"/>
      <c r="AS153" s="21"/>
      <c r="AT153" s="21"/>
      <c r="AU153" s="21"/>
      <c r="AV153" s="21"/>
      <c r="AW153" s="21"/>
      <c r="AX153" s="21"/>
      <c r="AY153" s="21"/>
      <c r="AZ153" s="21"/>
      <c r="BA153" s="21"/>
      <c r="BB153" s="21"/>
      <c r="BC153" s="21"/>
      <c r="BD153" s="21"/>
      <c r="BE153" s="21"/>
      <c r="BF153" s="21"/>
      <c r="BG153" s="21"/>
      <c r="BH153" s="21"/>
      <c r="BI153" s="21"/>
      <c r="BJ153" s="21"/>
      <c r="BK153" s="21"/>
      <c r="BL153" s="21"/>
      <c r="BM153" s="21"/>
      <c r="BN153" s="21"/>
      <c r="BO153" s="21"/>
      <c r="BP153" s="21"/>
      <c r="BQ153" s="21"/>
      <c r="BR153" s="21"/>
      <c r="BS153" s="21"/>
      <c r="BT153" s="21"/>
      <c r="BU153" s="21"/>
      <c r="BV153" s="21"/>
      <c r="BW153" s="21"/>
      <c r="BX153" s="21"/>
      <c r="BY153" s="21"/>
      <c r="BZ153" s="21"/>
      <c r="CA153" s="21"/>
      <c r="CB153" s="21"/>
      <c r="CC153" s="21"/>
      <c r="CD153" s="21"/>
      <c r="CE153" s="21"/>
      <c r="CF153" s="21"/>
      <c r="CG153" s="21"/>
      <c r="CH153" s="21"/>
      <c r="CI153" s="21"/>
      <c r="CJ153" s="21"/>
      <c r="CK153" s="21"/>
      <c r="CL153" s="21"/>
      <c r="CM153" s="21"/>
      <c r="CN153" s="21"/>
      <c r="CO153" s="21"/>
      <c r="CP153" s="21"/>
      <c r="CQ153" s="21"/>
      <c r="CR153" s="21"/>
      <c r="CS153" s="21"/>
      <c r="CT153" s="21"/>
      <c r="CU153" s="21"/>
      <c r="CV153" s="21"/>
      <c r="CW153" s="21"/>
      <c r="CX153" s="21"/>
      <c r="CY153" s="21"/>
      <c r="CZ153" s="21"/>
      <c r="DA153" s="21"/>
      <c r="DB153" s="21"/>
      <c r="DC153" s="21"/>
    </row>
    <row r="154">
      <c r="A154" s="21"/>
      <c r="B154" s="545" t="s">
        <v>7344</v>
      </c>
      <c r="C154" s="21"/>
      <c r="D154" s="546" t="b">
        <f>IFALLTRUE(D155:D159)</f>
        <v>0</v>
      </c>
      <c r="E154" s="547"/>
      <c r="F154" s="547" t="str">
        <f>GET_MOB_HEAD(G154)</f>
        <v/>
      </c>
      <c r="G154" s="548" t="s">
        <v>7345</v>
      </c>
      <c r="H154" s="21"/>
      <c r="I154" s="546" t="b">
        <f>IFALLTRUE(I155:I159)</f>
        <v>0</v>
      </c>
      <c r="J154" s="547"/>
      <c r="K154" s="547" t="str">
        <f>GET_MOB_HEAD(L154)</f>
        <v/>
      </c>
      <c r="L154" s="548" t="s">
        <v>7346</v>
      </c>
      <c r="M154" s="21"/>
      <c r="N154" s="546" t="b">
        <f>IFALLTRUE(N155:N159)</f>
        <v>0</v>
      </c>
      <c r="O154" s="547"/>
      <c r="P154" s="547" t="str">
        <f>GET_MOB_HEAD(Q154)</f>
        <v/>
      </c>
      <c r="Q154" s="548" t="s">
        <v>7347</v>
      </c>
      <c r="R154" s="21"/>
      <c r="S154" s="546" t="b">
        <f>IFALLTRUE(S155:S159)</f>
        <v>0</v>
      </c>
      <c r="T154" s="547"/>
      <c r="U154" s="547" t="str">
        <f>GET_MOB_HEAD(V154)</f>
        <v/>
      </c>
      <c r="V154" s="548" t="s">
        <v>7348</v>
      </c>
      <c r="W154" s="21"/>
      <c r="X154" s="21"/>
      <c r="Y154" s="21"/>
      <c r="Z154" s="21"/>
      <c r="AA154" s="21"/>
      <c r="AB154" s="21"/>
      <c r="AC154" s="21"/>
      <c r="AD154" s="21"/>
      <c r="AE154" s="21"/>
      <c r="AF154" s="21"/>
      <c r="AG154" s="102"/>
      <c r="AH154" s="102"/>
      <c r="AI154" s="102"/>
      <c r="AJ154" s="21"/>
      <c r="AK154" s="21"/>
      <c r="AL154" s="21"/>
      <c r="AM154" s="21"/>
      <c r="AN154" s="21"/>
      <c r="AO154" s="21"/>
      <c r="AP154" s="21"/>
      <c r="AQ154" s="21"/>
      <c r="AR154" s="21"/>
      <c r="AS154" s="21"/>
      <c r="AT154" s="21"/>
      <c r="AU154" s="21"/>
      <c r="AV154" s="21"/>
      <c r="AW154" s="21"/>
      <c r="AX154" s="21"/>
      <c r="AY154" s="21"/>
      <c r="AZ154" s="21"/>
      <c r="BA154" s="21"/>
      <c r="BB154" s="21"/>
      <c r="BC154" s="21"/>
      <c r="BD154" s="21"/>
      <c r="BE154" s="21"/>
      <c r="BF154" s="21"/>
      <c r="BG154" s="21"/>
      <c r="BH154" s="21"/>
      <c r="BI154" s="21"/>
      <c r="BJ154" s="21"/>
      <c r="BK154" s="21"/>
      <c r="BL154" s="21"/>
      <c r="BM154" s="21"/>
      <c r="BN154" s="21"/>
      <c r="BO154" s="21"/>
      <c r="BP154" s="21"/>
      <c r="BQ154" s="21"/>
      <c r="BR154" s="21"/>
      <c r="BS154" s="21"/>
      <c r="BT154" s="21"/>
      <c r="BU154" s="21"/>
      <c r="BV154" s="21"/>
      <c r="BW154" s="21"/>
      <c r="BX154" s="21"/>
      <c r="BY154" s="21"/>
      <c r="BZ154" s="21"/>
      <c r="CA154" s="21"/>
      <c r="CB154" s="21"/>
      <c r="CC154" s="21"/>
      <c r="CD154" s="21"/>
      <c r="CE154" s="21"/>
      <c r="CF154" s="21"/>
      <c r="CG154" s="21"/>
      <c r="CH154" s="21"/>
      <c r="CI154" s="21"/>
      <c r="CJ154" s="21"/>
      <c r="CK154" s="21"/>
      <c r="CL154" s="21"/>
      <c r="CM154" s="21"/>
      <c r="CN154" s="21"/>
      <c r="CO154" s="21"/>
      <c r="CP154" s="21"/>
      <c r="CQ154" s="21"/>
      <c r="CR154" s="21"/>
      <c r="CS154" s="21"/>
      <c r="CT154" s="21"/>
      <c r="CU154" s="21"/>
      <c r="CV154" s="21"/>
      <c r="CW154" s="21"/>
      <c r="CX154" s="21"/>
      <c r="CY154" s="21"/>
      <c r="CZ154" s="21"/>
      <c r="DA154" s="21"/>
      <c r="DB154" s="21"/>
      <c r="DC154" s="21"/>
    </row>
    <row r="155">
      <c r="A155" s="21"/>
      <c r="B155" s="439"/>
      <c r="C155" s="21"/>
      <c r="D155" s="549" t="b">
        <f t="shared" ref="D155:D163" si="93">CHECK_MOB(G155,G$154)</f>
        <v>0</v>
      </c>
      <c r="E155" s="550" t="str">
        <f t="array" ref="E155">XLOOKUP(G155,Advancements!$I$2:$I164,Advancements!$C$2:$C164)</f>
        <v/>
      </c>
      <c r="F155" s="550" t="str">
        <f t="array" ref="F155">XLOOKUP(G155,Advancements!$I$2:$I164,Advancements!$H$2:$H164)</f>
        <v/>
      </c>
      <c r="G155" s="551" t="s">
        <v>2679</v>
      </c>
      <c r="H155" s="21"/>
      <c r="I155" s="549" t="b">
        <f t="shared" ref="I155:I163" si="94">CHECK_MOB(L155,L$154)</f>
        <v>0</v>
      </c>
      <c r="J155" s="550" t="str">
        <f t="array" ref="J155">XLOOKUP(L155,Advancements!$I$2:$I164,Advancements!$C$2:$C164)</f>
        <v/>
      </c>
      <c r="K155" s="550" t="str">
        <f t="array" ref="K155">XLOOKUP(L155,Advancements!$I$2:$I164,Advancements!$H$2:$H164)</f>
        <v/>
      </c>
      <c r="L155" s="551" t="s">
        <v>2679</v>
      </c>
      <c r="M155" s="21"/>
      <c r="N155" s="549" t="b">
        <f t="shared" ref="N155:N163" si="95">CHECK_MOB(Q155,Q$154)</f>
        <v>0</v>
      </c>
      <c r="O155" s="550" t="str">
        <f t="array" ref="O155">XLOOKUP(Q155,Advancements!$I$2:$I164,Advancements!$C$2:$C164)</f>
        <v/>
      </c>
      <c r="P155" s="550" t="str">
        <f t="array" ref="P155">XLOOKUP(Q155,Advancements!$I$2:$I164,Advancements!$H$2:$H164)</f>
        <v/>
      </c>
      <c r="Q155" s="551" t="s">
        <v>2679</v>
      </c>
      <c r="R155" s="21"/>
      <c r="S155" s="549" t="b">
        <f t="shared" ref="S155:S163" si="96">CHECK_MOB(V155,V$154)</f>
        <v>0</v>
      </c>
      <c r="T155" s="550" t="str">
        <f t="array" ref="T155">XLOOKUP(V155,Advancements!$I$2:$I164,Advancements!$C$2:$C164)</f>
        <v/>
      </c>
      <c r="U155" s="550" t="str">
        <f t="array" ref="U155">XLOOKUP(V155,Advancements!$I$2:$I164,Advancements!$H$2:$H164)</f>
        <v/>
      </c>
      <c r="V155" s="551" t="s">
        <v>2679</v>
      </c>
      <c r="W155" s="21"/>
      <c r="X155" s="21"/>
      <c r="Y155" s="21"/>
      <c r="Z155" s="21"/>
      <c r="AA155" s="21"/>
      <c r="AB155" s="21"/>
      <c r="AC155" s="21"/>
      <c r="AD155" s="21"/>
      <c r="AE155" s="21"/>
      <c r="AF155" s="21"/>
      <c r="AG155" s="102"/>
      <c r="AH155" s="102"/>
      <c r="AI155" s="102"/>
      <c r="AJ155" s="21"/>
      <c r="AK155" s="21"/>
      <c r="AL155" s="21"/>
      <c r="AM155" s="21"/>
      <c r="AN155" s="21"/>
      <c r="AO155" s="21"/>
      <c r="AP155" s="21"/>
      <c r="AQ155" s="21"/>
      <c r="AR155" s="21"/>
      <c r="AS155" s="21"/>
      <c r="AT155" s="21"/>
      <c r="AU155" s="21"/>
      <c r="AV155" s="21"/>
      <c r="AW155" s="21"/>
      <c r="AX155" s="21"/>
      <c r="AY155" s="21"/>
      <c r="AZ155" s="21"/>
      <c r="BA155" s="21"/>
      <c r="BB155" s="21"/>
      <c r="BC155" s="21"/>
      <c r="BD155" s="21"/>
      <c r="BE155" s="21"/>
      <c r="BF155" s="21"/>
      <c r="BG155" s="21"/>
      <c r="BH155" s="21"/>
      <c r="BI155" s="21"/>
      <c r="BJ155" s="21"/>
      <c r="BK155" s="21"/>
      <c r="BL155" s="21"/>
      <c r="BM155" s="21"/>
      <c r="BN155" s="21"/>
      <c r="BO155" s="21"/>
      <c r="BP155" s="21"/>
      <c r="BQ155" s="21"/>
      <c r="BR155" s="21"/>
      <c r="BS155" s="21"/>
      <c r="BT155" s="21"/>
      <c r="BU155" s="21"/>
      <c r="BV155" s="21"/>
      <c r="BW155" s="21"/>
      <c r="BX155" s="21"/>
      <c r="BY155" s="21"/>
      <c r="BZ155" s="21"/>
      <c r="CA155" s="21"/>
      <c r="CB155" s="21"/>
      <c r="CC155" s="21"/>
      <c r="CD155" s="21"/>
      <c r="CE155" s="21"/>
      <c r="CF155" s="21"/>
      <c r="CG155" s="21"/>
      <c r="CH155" s="21"/>
      <c r="CI155" s="21"/>
      <c r="CJ155" s="21"/>
      <c r="CK155" s="21"/>
      <c r="CL155" s="21"/>
      <c r="CM155" s="21"/>
      <c r="CN155" s="21"/>
      <c r="CO155" s="21"/>
      <c r="CP155" s="21"/>
      <c r="CQ155" s="21"/>
      <c r="CR155" s="21"/>
      <c r="CS155" s="21"/>
      <c r="CT155" s="21"/>
      <c r="CU155" s="21"/>
      <c r="CV155" s="21"/>
      <c r="CW155" s="21"/>
      <c r="CX155" s="21"/>
      <c r="CY155" s="21"/>
      <c r="CZ155" s="21"/>
      <c r="DA155" s="21"/>
      <c r="DB155" s="21"/>
      <c r="DC155" s="21"/>
    </row>
    <row r="156">
      <c r="A156" s="21"/>
      <c r="B156" s="439"/>
      <c r="C156" s="21"/>
      <c r="D156" s="552" t="b">
        <f t="shared" si="93"/>
        <v>0</v>
      </c>
      <c r="E156" s="553" t="str">
        <f t="array" ref="E156">XLOOKUP(G156,Advancements!$I$2:$I164,Advancements!$C$2:$C164)</f>
        <v/>
      </c>
      <c r="F156" s="553" t="str">
        <f t="array" ref="F156">XLOOKUP(G156,Advancements!$I$2:$I164,Advancements!$H$2:$H164)</f>
        <v/>
      </c>
      <c r="G156" s="554" t="s">
        <v>3616</v>
      </c>
      <c r="H156" s="21"/>
      <c r="I156" s="552" t="b">
        <f t="shared" si="94"/>
        <v>0</v>
      </c>
      <c r="J156" s="553" t="str">
        <f t="array" ref="J156">XLOOKUP(L156,Advancements!$I$2:$I164,Advancements!$C$2:$C164)</f>
        <v/>
      </c>
      <c r="K156" s="553" t="str">
        <f t="array" ref="K156">XLOOKUP(L156,Advancements!$I$2:$I164,Advancements!$H$2:$H164)</f>
        <v/>
      </c>
      <c r="L156" s="554" t="s">
        <v>3616</v>
      </c>
      <c r="M156" s="21"/>
      <c r="N156" s="552" t="b">
        <f t="shared" si="95"/>
        <v>0</v>
      </c>
      <c r="O156" s="553" t="str">
        <f t="array" ref="O156">XLOOKUP(Q156,Advancements!$I$2:$I164,Advancements!$C$2:$C164)</f>
        <v/>
      </c>
      <c r="P156" s="553" t="str">
        <f t="array" ref="P156">XLOOKUP(Q156,Advancements!$I$2:$I164,Advancements!$H$2:$H164)</f>
        <v/>
      </c>
      <c r="Q156" s="554" t="s">
        <v>3616</v>
      </c>
      <c r="R156" s="21"/>
      <c r="S156" s="552" t="b">
        <f t="shared" si="96"/>
        <v>0</v>
      </c>
      <c r="T156" s="553" t="str">
        <f t="array" ref="T156">XLOOKUP(V156,Advancements!$I$2:$I164,Advancements!$C$2:$C164)</f>
        <v/>
      </c>
      <c r="U156" s="553" t="str">
        <f t="array" ref="U156">XLOOKUP(V156,Advancements!$I$2:$I164,Advancements!$H$2:$H164)</f>
        <v/>
      </c>
      <c r="V156" s="554" t="s">
        <v>3616</v>
      </c>
      <c r="W156" s="21"/>
      <c r="X156" s="21"/>
      <c r="Y156" s="21"/>
      <c r="Z156" s="21"/>
      <c r="AA156" s="21"/>
      <c r="AB156" s="21"/>
      <c r="AC156" s="21"/>
      <c r="AD156" s="21"/>
      <c r="AE156" s="21"/>
      <c r="AF156" s="21"/>
      <c r="AG156" s="102"/>
      <c r="AH156" s="102"/>
      <c r="AI156" s="102"/>
      <c r="AK156" s="21"/>
      <c r="AL156" s="21"/>
      <c r="AM156" s="21"/>
      <c r="AN156" s="21"/>
      <c r="AO156" s="21"/>
      <c r="AP156" s="21"/>
      <c r="AQ156" s="21"/>
      <c r="AR156" s="21"/>
      <c r="AS156" s="21"/>
      <c r="AT156" s="21"/>
      <c r="AU156" s="21"/>
      <c r="AV156" s="21"/>
      <c r="AW156" s="21"/>
      <c r="AX156" s="21"/>
      <c r="AY156" s="21"/>
      <c r="AZ156" s="21"/>
      <c r="BA156" s="21"/>
      <c r="BB156" s="21"/>
      <c r="BC156" s="21"/>
      <c r="BD156" s="21"/>
      <c r="BE156" s="21"/>
      <c r="BF156" s="21"/>
      <c r="BG156" s="21"/>
      <c r="BH156" s="21"/>
      <c r="BI156" s="21"/>
      <c r="BJ156" s="21"/>
      <c r="BK156" s="21"/>
      <c r="BL156" s="21"/>
      <c r="BM156" s="21"/>
      <c r="BN156" s="21"/>
      <c r="BO156" s="21"/>
      <c r="BP156" s="21"/>
      <c r="BQ156" s="21"/>
      <c r="BR156" s="21"/>
      <c r="BS156" s="21"/>
      <c r="BT156" s="21"/>
      <c r="BU156" s="21"/>
      <c r="BV156" s="21"/>
      <c r="BW156" s="21"/>
      <c r="BX156" s="21"/>
      <c r="BY156" s="21"/>
      <c r="BZ156" s="21"/>
      <c r="CA156" s="21"/>
      <c r="CB156" s="21"/>
      <c r="CC156" s="21"/>
      <c r="CD156" s="21"/>
      <c r="CE156" s="21"/>
      <c r="CF156" s="21"/>
      <c r="CG156" s="21"/>
      <c r="CH156" s="21"/>
      <c r="CI156" s="21"/>
      <c r="CJ156" s="21"/>
      <c r="CK156" s="21"/>
      <c r="CL156" s="21"/>
      <c r="CM156" s="21"/>
      <c r="CN156" s="21"/>
      <c r="CO156" s="21"/>
      <c r="CP156" s="21"/>
      <c r="CQ156" s="21"/>
      <c r="CR156" s="21"/>
      <c r="CS156" s="21"/>
      <c r="CT156" s="21"/>
      <c r="CU156" s="21"/>
      <c r="CV156" s="21"/>
      <c r="CW156" s="21"/>
      <c r="CX156" s="21"/>
      <c r="CY156" s="21"/>
      <c r="CZ156" s="21"/>
      <c r="DA156" s="21"/>
      <c r="DB156" s="21"/>
      <c r="DC156" s="21"/>
    </row>
    <row r="157">
      <c r="A157" s="21"/>
      <c r="B157" s="439"/>
      <c r="C157" s="21"/>
      <c r="D157" s="552" t="b">
        <f t="shared" si="93"/>
        <v>0</v>
      </c>
      <c r="E157" s="553" t="str">
        <f t="array" ref="E157">XLOOKUP(G157,Advancements!$I$2:$I164,Advancements!$C$2:$C164)</f>
        <v/>
      </c>
      <c r="F157" s="553" t="str">
        <f t="array" ref="F157">XLOOKUP(G157,Advancements!$I$2:$I164,Advancements!$H$2:$H164)</f>
        <v/>
      </c>
      <c r="G157" s="554" t="s">
        <v>63</v>
      </c>
      <c r="H157" s="21"/>
      <c r="I157" s="552" t="b">
        <f t="shared" si="94"/>
        <v>0</v>
      </c>
      <c r="J157" s="553" t="str">
        <f t="array" ref="J157">XLOOKUP(L157,Advancements!$I$2:$I164,Advancements!$C$2:$C164)</f>
        <v/>
      </c>
      <c r="K157" s="553" t="str">
        <f t="array" ref="K157">XLOOKUP(L157,Advancements!$I$2:$I164,Advancements!$H$2:$H164)</f>
        <v/>
      </c>
      <c r="L157" s="554" t="s">
        <v>63</v>
      </c>
      <c r="M157" s="21"/>
      <c r="N157" s="552" t="b">
        <f t="shared" si="95"/>
        <v>0</v>
      </c>
      <c r="O157" s="553" t="str">
        <f t="array" ref="O157">XLOOKUP(Q157,Advancements!$I$2:$I164,Advancements!$C$2:$C164)</f>
        <v/>
      </c>
      <c r="P157" s="553" t="str">
        <f t="array" ref="P157">XLOOKUP(Q157,Advancements!$I$2:$I164,Advancements!$H$2:$H164)</f>
        <v/>
      </c>
      <c r="Q157" s="554" t="s">
        <v>63</v>
      </c>
      <c r="R157" s="21"/>
      <c r="S157" s="552" t="b">
        <f t="shared" si="96"/>
        <v>0</v>
      </c>
      <c r="T157" s="553" t="str">
        <f t="array" ref="T157">XLOOKUP(V157,Advancements!$I$2:$I164,Advancements!$C$2:$C164)</f>
        <v/>
      </c>
      <c r="U157" s="553" t="str">
        <f t="array" ref="U157">XLOOKUP(V157,Advancements!$I$2:$I164,Advancements!$H$2:$H164)</f>
        <v/>
      </c>
      <c r="V157" s="554" t="s">
        <v>63</v>
      </c>
      <c r="W157" s="21"/>
      <c r="X157" s="21"/>
      <c r="Y157" s="21"/>
      <c r="Z157" s="21"/>
      <c r="AA157" s="21"/>
      <c r="AB157" s="21"/>
      <c r="AC157" s="21"/>
      <c r="AD157" s="21"/>
      <c r="AE157" s="21"/>
      <c r="AF157" s="21"/>
      <c r="AG157" s="102"/>
      <c r="AH157" s="102"/>
      <c r="AI157" s="102"/>
      <c r="AJ157" s="102"/>
      <c r="AK157" s="21"/>
      <c r="AL157" s="21"/>
      <c r="AM157" s="21"/>
      <c r="AN157" s="21"/>
      <c r="AO157" s="21"/>
      <c r="AP157" s="21"/>
      <c r="AQ157" s="21"/>
      <c r="AR157" s="21"/>
      <c r="AS157" s="21"/>
      <c r="AT157" s="21"/>
      <c r="AU157" s="21"/>
      <c r="AV157" s="21"/>
      <c r="AW157" s="21"/>
      <c r="AX157" s="21"/>
      <c r="AY157" s="21"/>
      <c r="AZ157" s="21"/>
      <c r="BA157" s="21"/>
      <c r="BB157" s="21"/>
      <c r="BC157" s="21"/>
      <c r="BD157" s="21"/>
      <c r="BE157" s="21"/>
      <c r="BF157" s="21"/>
      <c r="BG157" s="21"/>
      <c r="BH157" s="21"/>
      <c r="BI157" s="21"/>
      <c r="BJ157" s="21"/>
      <c r="BK157" s="21"/>
      <c r="BL157" s="21"/>
      <c r="BM157" s="21"/>
      <c r="BN157" s="21"/>
      <c r="BO157" s="21"/>
      <c r="BP157" s="21"/>
      <c r="BQ157" s="21"/>
      <c r="BR157" s="21"/>
      <c r="BS157" s="21"/>
      <c r="BT157" s="21"/>
      <c r="BU157" s="21"/>
      <c r="BV157" s="21"/>
      <c r="BW157" s="21"/>
      <c r="BX157" s="21"/>
      <c r="BY157" s="21"/>
      <c r="BZ157" s="21"/>
      <c r="CA157" s="21"/>
      <c r="CB157" s="21"/>
      <c r="CC157" s="21"/>
      <c r="CD157" s="21"/>
      <c r="CE157" s="21"/>
      <c r="CF157" s="21"/>
      <c r="CG157" s="21"/>
      <c r="CH157" s="21"/>
      <c r="CI157" s="21"/>
      <c r="CJ157" s="21"/>
      <c r="CK157" s="21"/>
      <c r="CL157" s="21"/>
      <c r="CM157" s="21"/>
      <c r="CN157" s="21"/>
      <c r="CO157" s="21"/>
      <c r="CP157" s="21"/>
      <c r="CQ157" s="21"/>
      <c r="CR157" s="21"/>
      <c r="CS157" s="21"/>
      <c r="CT157" s="21"/>
      <c r="CU157" s="21"/>
      <c r="CV157" s="21"/>
      <c r="CW157" s="21"/>
      <c r="CX157" s="21"/>
      <c r="CY157" s="21"/>
      <c r="CZ157" s="21"/>
      <c r="DA157" s="21"/>
      <c r="DB157" s="21"/>
      <c r="DC157" s="21"/>
    </row>
    <row r="158">
      <c r="A158" s="21"/>
      <c r="B158" s="439"/>
      <c r="C158" s="21"/>
      <c r="D158" s="552" t="b">
        <f t="shared" si="93"/>
        <v>0</v>
      </c>
      <c r="E158" s="553" t="str">
        <f t="array" ref="E158">XLOOKUP(G158,Advancements!$I$2:$I164,Advancements!$C$2:$C164)</f>
        <v/>
      </c>
      <c r="F158" s="553" t="str">
        <f t="array" ref="F158">XLOOKUP(G158,Advancements!$I$2:$I164,Advancements!$H$2:$H164)</f>
        <v/>
      </c>
      <c r="G158" s="554" t="s">
        <v>2738</v>
      </c>
      <c r="H158" s="21"/>
      <c r="I158" s="552" t="b">
        <f t="shared" si="94"/>
        <v>0</v>
      </c>
      <c r="J158" s="553" t="str">
        <f t="array" ref="J158">XLOOKUP(L158,Advancements!$I$2:$I164,Advancements!$C$2:$C164)</f>
        <v/>
      </c>
      <c r="K158" s="553" t="str">
        <f t="array" ref="K158">XLOOKUP(L158,Advancements!$I$2:$I164,Advancements!$H$2:$H164)</f>
        <v/>
      </c>
      <c r="L158" s="554" t="s">
        <v>2738</v>
      </c>
      <c r="M158" s="21"/>
      <c r="N158" s="552" t="b">
        <f t="shared" si="95"/>
        <v>0</v>
      </c>
      <c r="O158" s="553" t="str">
        <f t="array" ref="O158">XLOOKUP(Q158,Advancements!$I$2:$I164,Advancements!$C$2:$C164)</f>
        <v/>
      </c>
      <c r="P158" s="553" t="str">
        <f t="array" ref="P158">XLOOKUP(Q158,Advancements!$I$2:$I164,Advancements!$H$2:$H164)</f>
        <v/>
      </c>
      <c r="Q158" s="554" t="s">
        <v>2738</v>
      </c>
      <c r="R158" s="21"/>
      <c r="S158" s="552" t="b">
        <f t="shared" si="96"/>
        <v>0</v>
      </c>
      <c r="T158" s="553" t="str">
        <f t="array" ref="T158">XLOOKUP(V158,Advancements!$I$2:$I164,Advancements!$C$2:$C164)</f>
        <v/>
      </c>
      <c r="U158" s="553" t="str">
        <f t="array" ref="U158">XLOOKUP(V158,Advancements!$I$2:$I164,Advancements!$H$2:$H164)</f>
        <v/>
      </c>
      <c r="V158" s="554" t="s">
        <v>2738</v>
      </c>
      <c r="W158" s="21"/>
      <c r="X158" s="21"/>
      <c r="Y158" s="21"/>
      <c r="Z158" s="21"/>
      <c r="AA158" s="21"/>
      <c r="AB158" s="21"/>
      <c r="AC158" s="21"/>
      <c r="AD158" s="21"/>
      <c r="AE158" s="21"/>
      <c r="AF158" s="21"/>
      <c r="AG158" s="102"/>
      <c r="AH158" s="102"/>
      <c r="AI158" s="102"/>
      <c r="AJ158" s="102"/>
      <c r="AK158" s="21"/>
      <c r="AL158" s="21"/>
      <c r="AM158" s="21"/>
      <c r="AN158" s="21"/>
      <c r="AO158" s="21"/>
      <c r="AP158" s="21"/>
      <c r="AQ158" s="21"/>
      <c r="AR158" s="21"/>
      <c r="AS158" s="21"/>
      <c r="AT158" s="21"/>
      <c r="AU158" s="21"/>
      <c r="AV158" s="21"/>
      <c r="AW158" s="21"/>
      <c r="AX158" s="21"/>
      <c r="AY158" s="21"/>
      <c r="AZ158" s="21"/>
      <c r="BA158" s="21"/>
      <c r="BB158" s="21"/>
      <c r="BC158" s="21"/>
      <c r="BD158" s="21"/>
      <c r="BE158" s="21"/>
      <c r="BF158" s="21"/>
      <c r="BG158" s="21"/>
      <c r="BH158" s="21"/>
      <c r="BI158" s="21"/>
      <c r="BJ158" s="21"/>
      <c r="BK158" s="21"/>
      <c r="BL158" s="21"/>
      <c r="BM158" s="21"/>
      <c r="BN158" s="21"/>
      <c r="BO158" s="21"/>
      <c r="BP158" s="21"/>
      <c r="BQ158" s="21"/>
      <c r="BR158" s="21"/>
      <c r="BS158" s="21"/>
      <c r="BT158" s="21"/>
      <c r="BU158" s="21"/>
      <c r="BV158" s="21"/>
      <c r="BW158" s="21"/>
      <c r="BX158" s="21"/>
      <c r="BY158" s="21"/>
      <c r="BZ158" s="21"/>
      <c r="CA158" s="21"/>
      <c r="CB158" s="21"/>
      <c r="CC158" s="21"/>
      <c r="CD158" s="21"/>
      <c r="CE158" s="21"/>
      <c r="CF158" s="21"/>
      <c r="CG158" s="21"/>
      <c r="CH158" s="21"/>
      <c r="CI158" s="21"/>
      <c r="CJ158" s="21"/>
      <c r="CK158" s="21"/>
      <c r="CL158" s="21"/>
      <c r="CM158" s="21"/>
      <c r="CN158" s="21"/>
      <c r="CO158" s="21"/>
      <c r="CP158" s="21"/>
      <c r="CQ158" s="21"/>
      <c r="CR158" s="21"/>
      <c r="CS158" s="21"/>
      <c r="CT158" s="21"/>
      <c r="CU158" s="21"/>
      <c r="CV158" s="21"/>
      <c r="CW158" s="21"/>
      <c r="CX158" s="21"/>
      <c r="CY158" s="21"/>
      <c r="CZ158" s="21"/>
      <c r="DA158" s="21"/>
      <c r="DB158" s="21"/>
      <c r="DC158" s="21"/>
    </row>
    <row r="159">
      <c r="A159" s="21"/>
      <c r="B159" s="439"/>
      <c r="C159" s="21"/>
      <c r="D159" s="552" t="b">
        <f t="shared" si="93"/>
        <v>0</v>
      </c>
      <c r="E159" s="553" t="str">
        <f t="array" ref="E159">XLOOKUP(G159,Advancements!$I$2:$I164,Advancements!$C$2:$C164)</f>
        <v/>
      </c>
      <c r="F159" s="553" t="str">
        <f t="array" ref="F159">XLOOKUP(G159,Advancements!$I$2:$I164,Advancements!$H$2:$H164)</f>
        <v/>
      </c>
      <c r="G159" s="554" t="s">
        <v>59</v>
      </c>
      <c r="H159" s="21"/>
      <c r="I159" s="552" t="b">
        <f t="shared" si="94"/>
        <v>0</v>
      </c>
      <c r="J159" s="553" t="str">
        <f t="array" ref="J159">XLOOKUP(L159,Advancements!$I$2:$I164,Advancements!$C$2:$C164)</f>
        <v/>
      </c>
      <c r="K159" s="553" t="str">
        <f t="array" ref="K159">XLOOKUP(L159,Advancements!$I$2:$I164,Advancements!$H$2:$H164)</f>
        <v/>
      </c>
      <c r="L159" s="554" t="s">
        <v>59</v>
      </c>
      <c r="M159" s="21"/>
      <c r="N159" s="552" t="b">
        <f t="shared" si="95"/>
        <v>0</v>
      </c>
      <c r="O159" s="553" t="str">
        <f t="array" ref="O159">XLOOKUP(Q159,Advancements!$I$2:$I164,Advancements!$C$2:$C164)</f>
        <v/>
      </c>
      <c r="P159" s="553" t="str">
        <f t="array" ref="P159">XLOOKUP(Q159,Advancements!$I$2:$I164,Advancements!$H$2:$H164)</f>
        <v/>
      </c>
      <c r="Q159" s="554" t="s">
        <v>59</v>
      </c>
      <c r="R159" s="21"/>
      <c r="S159" s="552" t="b">
        <f t="shared" si="96"/>
        <v>0</v>
      </c>
      <c r="T159" s="553" t="str">
        <f t="array" ref="T159">XLOOKUP(V159,Advancements!$I$2:$I164,Advancements!$C$2:$C164)</f>
        <v/>
      </c>
      <c r="U159" s="553" t="str">
        <f t="array" ref="U159">XLOOKUP(V159,Advancements!$I$2:$I164,Advancements!$H$2:$H164)</f>
        <v/>
      </c>
      <c r="V159" s="554" t="s">
        <v>59</v>
      </c>
      <c r="W159" s="21"/>
      <c r="X159" s="21"/>
      <c r="Y159" s="21"/>
      <c r="Z159" s="21"/>
      <c r="AA159" s="21"/>
      <c r="AB159" s="21"/>
      <c r="AC159" s="21"/>
      <c r="AD159" s="21"/>
      <c r="AE159" s="21"/>
      <c r="AF159" s="21"/>
      <c r="AG159" s="102"/>
      <c r="AH159" s="102"/>
      <c r="AI159" s="102"/>
      <c r="AJ159" s="102"/>
      <c r="AK159" s="102"/>
      <c r="AL159" s="102"/>
      <c r="AM159" s="102"/>
      <c r="AN159" s="102"/>
      <c r="AO159" s="21"/>
      <c r="AP159" s="21"/>
      <c r="AQ159" s="21"/>
      <c r="AR159" s="21"/>
      <c r="AS159" s="21"/>
      <c r="AT159" s="21"/>
      <c r="AU159" s="21"/>
      <c r="AV159" s="21"/>
      <c r="AW159" s="21"/>
      <c r="AX159" s="21"/>
      <c r="AY159" s="21"/>
      <c r="AZ159" s="21"/>
      <c r="BA159" s="21"/>
      <c r="BB159" s="21"/>
      <c r="BC159" s="21"/>
      <c r="BD159" s="21"/>
      <c r="BE159" s="21"/>
      <c r="BF159" s="21"/>
      <c r="BG159" s="21"/>
      <c r="BH159" s="21"/>
      <c r="BI159" s="21"/>
      <c r="BJ159" s="21"/>
      <c r="BK159" s="21"/>
      <c r="BL159" s="21"/>
      <c r="BM159" s="21"/>
      <c r="BN159" s="21"/>
      <c r="BO159" s="21"/>
      <c r="BP159" s="21"/>
      <c r="BQ159" s="21"/>
      <c r="BR159" s="21"/>
      <c r="BS159" s="21"/>
      <c r="BT159" s="21"/>
      <c r="BU159" s="21"/>
      <c r="BV159" s="21"/>
      <c r="BW159" s="21"/>
      <c r="BX159" s="21"/>
      <c r="BY159" s="21"/>
      <c r="BZ159" s="21"/>
      <c r="CA159" s="21"/>
      <c r="CB159" s="21"/>
      <c r="CC159" s="21"/>
      <c r="CD159" s="21"/>
      <c r="CE159" s="21"/>
      <c r="CF159" s="21"/>
      <c r="CG159" s="21"/>
      <c r="CH159" s="21"/>
      <c r="CI159" s="21"/>
      <c r="CJ159" s="21"/>
      <c r="CK159" s="21"/>
      <c r="CL159" s="21"/>
      <c r="CM159" s="21"/>
      <c r="CN159" s="21"/>
      <c r="CO159" s="21"/>
      <c r="CP159" s="21"/>
      <c r="CQ159" s="21"/>
      <c r="CR159" s="21"/>
      <c r="CS159" s="21"/>
      <c r="CT159" s="21"/>
      <c r="CU159" s="21"/>
      <c r="CV159" s="21"/>
      <c r="CW159" s="21"/>
      <c r="CX159" s="21"/>
      <c r="CY159" s="21"/>
      <c r="CZ159" s="21"/>
      <c r="DA159" s="21"/>
      <c r="DB159" s="21"/>
      <c r="DC159" s="21"/>
    </row>
    <row r="160">
      <c r="A160" s="21"/>
      <c r="B160" s="439"/>
      <c r="C160" s="21"/>
      <c r="D160" s="552" t="b">
        <f t="shared" si="93"/>
        <v>0</v>
      </c>
      <c r="E160" s="553" t="str">
        <f t="array" ref="E160">XLOOKUP(G160,Advancements!$I$2:$I164,Advancements!$C$2:$C164)</f>
        <v/>
      </c>
      <c r="F160" s="553" t="str">
        <f t="array" ref="F160">XLOOKUP(G160,Advancements!$I$2:$I164,Advancements!$H$2:$H164)</f>
        <v/>
      </c>
      <c r="G160" s="554" t="s">
        <v>55</v>
      </c>
      <c r="H160" s="21"/>
      <c r="I160" s="552" t="b">
        <f t="shared" si="94"/>
        <v>0</v>
      </c>
      <c r="J160" s="553" t="str">
        <f t="array" ref="J160">XLOOKUP(L160,Advancements!$I$2:$I164,Advancements!$C$2:$C164)</f>
        <v/>
      </c>
      <c r="K160" s="553" t="str">
        <f t="array" ref="K160">XLOOKUP(L160,Advancements!$I$2:$I164,Advancements!$H$2:$H164)</f>
        <v/>
      </c>
      <c r="L160" s="554" t="s">
        <v>55</v>
      </c>
      <c r="M160" s="21"/>
      <c r="N160" s="552" t="b">
        <f t="shared" si="95"/>
        <v>0</v>
      </c>
      <c r="O160" s="553" t="str">
        <f t="array" ref="O160">XLOOKUP(Q160,Advancements!$I$2:$I164,Advancements!$C$2:$C164)</f>
        <v/>
      </c>
      <c r="P160" s="553" t="str">
        <f t="array" ref="P160">XLOOKUP(Q160,Advancements!$I$2:$I164,Advancements!$H$2:$H164)</f>
        <v/>
      </c>
      <c r="Q160" s="554" t="s">
        <v>55</v>
      </c>
      <c r="R160" s="21"/>
      <c r="S160" s="552" t="b">
        <f t="shared" si="96"/>
        <v>0</v>
      </c>
      <c r="T160" s="553" t="str">
        <f t="array" ref="T160">XLOOKUP(V160,Advancements!$I$2:$I164,Advancements!$C$2:$C164)</f>
        <v/>
      </c>
      <c r="U160" s="553" t="str">
        <f t="array" ref="U160">XLOOKUP(V160,Advancements!$I$2:$I164,Advancements!$H$2:$H164)</f>
        <v/>
      </c>
      <c r="V160" s="554" t="s">
        <v>55</v>
      </c>
      <c r="W160" s="21"/>
      <c r="X160" s="21"/>
      <c r="Y160" s="21"/>
      <c r="Z160" s="21"/>
      <c r="AA160" s="21"/>
      <c r="AB160" s="21"/>
      <c r="AC160" s="21"/>
      <c r="AD160" s="21"/>
      <c r="AE160" s="21"/>
      <c r="AF160" s="21"/>
      <c r="AG160" s="102"/>
      <c r="AH160" s="102"/>
      <c r="AI160" s="102"/>
      <c r="AJ160" s="102"/>
      <c r="AK160" s="21"/>
      <c r="AL160" s="21"/>
      <c r="AM160" s="21"/>
      <c r="AN160" s="21"/>
      <c r="AO160" s="21"/>
      <c r="AP160" s="21"/>
      <c r="AQ160" s="21"/>
      <c r="AR160" s="21"/>
      <c r="AS160" s="21"/>
      <c r="AT160" s="21"/>
      <c r="AU160" s="21"/>
      <c r="AV160" s="21"/>
      <c r="AW160" s="21"/>
      <c r="AX160" s="21"/>
      <c r="AY160" s="21"/>
      <c r="AZ160" s="21"/>
      <c r="BA160" s="21"/>
      <c r="BB160" s="21"/>
      <c r="BC160" s="21"/>
      <c r="BD160" s="21"/>
      <c r="BE160" s="21"/>
      <c r="BF160" s="21"/>
      <c r="BG160" s="21"/>
      <c r="BH160" s="21"/>
      <c r="BI160" s="21"/>
      <c r="BJ160" s="21"/>
      <c r="BK160" s="21"/>
      <c r="BL160" s="21"/>
      <c r="BM160" s="21"/>
      <c r="BN160" s="21"/>
      <c r="BO160" s="21"/>
      <c r="BP160" s="21"/>
      <c r="BQ160" s="21"/>
      <c r="BR160" s="21"/>
      <c r="BS160" s="21"/>
      <c r="BT160" s="21"/>
      <c r="BU160" s="21"/>
      <c r="BV160" s="21"/>
      <c r="BW160" s="21"/>
      <c r="BX160" s="21"/>
      <c r="BY160" s="21"/>
      <c r="BZ160" s="21"/>
      <c r="CA160" s="21"/>
      <c r="CB160" s="21"/>
      <c r="CC160" s="21"/>
      <c r="CD160" s="21"/>
      <c r="CE160" s="21"/>
      <c r="CF160" s="21"/>
      <c r="CG160" s="21"/>
      <c r="CH160" s="21"/>
      <c r="CI160" s="21"/>
      <c r="CJ160" s="21"/>
      <c r="CK160" s="21"/>
      <c r="CL160" s="21"/>
      <c r="CM160" s="21"/>
      <c r="CN160" s="21"/>
      <c r="CO160" s="21"/>
      <c r="CP160" s="21"/>
      <c r="CQ160" s="21"/>
      <c r="CR160" s="21"/>
      <c r="CS160" s="21"/>
      <c r="CT160" s="21"/>
      <c r="CU160" s="21"/>
      <c r="CV160" s="21"/>
      <c r="CW160" s="21"/>
      <c r="CX160" s="21"/>
      <c r="CY160" s="21"/>
      <c r="CZ160" s="21"/>
      <c r="DA160" s="21"/>
      <c r="DB160" s="21"/>
      <c r="DC160" s="21"/>
    </row>
    <row r="161">
      <c r="A161" s="21"/>
      <c r="B161" s="439"/>
      <c r="C161" s="21"/>
      <c r="D161" s="552" t="b">
        <f t="shared" si="93"/>
        <v>0</v>
      </c>
      <c r="E161" s="553" t="str">
        <f t="array" ref="E161">XLOOKUP(G161,Advancements!$I$2:$I164,Advancements!$C$2:$C164)</f>
        <v/>
      </c>
      <c r="F161" s="553" t="str">
        <f t="array" ref="F161">XLOOKUP(G161,Advancements!$I$2:$I164,Advancements!$H$2:$H164)</f>
        <v/>
      </c>
      <c r="G161" s="554" t="s">
        <v>67</v>
      </c>
      <c r="H161" s="21"/>
      <c r="I161" s="552" t="b">
        <f t="shared" si="94"/>
        <v>0</v>
      </c>
      <c r="J161" s="553" t="str">
        <f t="array" ref="J161">XLOOKUP(L161,Advancements!$I$2:$I164,Advancements!$C$2:$C164)</f>
        <v/>
      </c>
      <c r="K161" s="553" t="str">
        <f t="array" ref="K161">XLOOKUP(L161,Advancements!$I$2:$I164,Advancements!$H$2:$H164)</f>
        <v/>
      </c>
      <c r="L161" s="554" t="s">
        <v>67</v>
      </c>
      <c r="M161" s="21"/>
      <c r="N161" s="552" t="b">
        <f t="shared" si="95"/>
        <v>0</v>
      </c>
      <c r="O161" s="553" t="str">
        <f t="array" ref="O161">XLOOKUP(Q161,Advancements!$I$2:$I164,Advancements!$C$2:$C164)</f>
        <v/>
      </c>
      <c r="P161" s="553" t="str">
        <f t="array" ref="P161">XLOOKUP(Q161,Advancements!$I$2:$I164,Advancements!$H$2:$H164)</f>
        <v/>
      </c>
      <c r="Q161" s="554" t="s">
        <v>67</v>
      </c>
      <c r="R161" s="21"/>
      <c r="S161" s="552" t="b">
        <f t="shared" si="96"/>
        <v>0</v>
      </c>
      <c r="T161" s="553" t="str">
        <f t="array" ref="T161">XLOOKUP(V161,Advancements!$I$2:$I164,Advancements!$C$2:$C164)</f>
        <v/>
      </c>
      <c r="U161" s="553" t="str">
        <f t="array" ref="U161">XLOOKUP(V161,Advancements!$I$2:$I164,Advancements!$H$2:$H164)</f>
        <v/>
      </c>
      <c r="V161" s="554" t="s">
        <v>67</v>
      </c>
      <c r="W161" s="21"/>
      <c r="X161" s="21"/>
      <c r="Y161" s="21"/>
      <c r="Z161" s="21"/>
      <c r="AA161" s="21"/>
      <c r="AB161" s="21"/>
      <c r="AC161" s="21"/>
      <c r="AD161" s="21"/>
      <c r="AE161" s="21"/>
      <c r="AF161" s="21"/>
      <c r="AG161" s="102"/>
      <c r="AH161" s="102"/>
      <c r="AI161" s="102"/>
      <c r="AJ161" s="21"/>
      <c r="AK161" s="21"/>
      <c r="AL161" s="21"/>
      <c r="AM161" s="21"/>
      <c r="AN161" s="21"/>
      <c r="AO161" s="21"/>
      <c r="AP161" s="21"/>
      <c r="AQ161" s="21"/>
      <c r="AR161" s="21"/>
      <c r="AS161" s="21"/>
      <c r="AT161" s="21"/>
      <c r="AU161" s="21"/>
      <c r="AV161" s="21"/>
      <c r="AW161" s="21"/>
      <c r="AX161" s="21"/>
      <c r="AY161" s="21"/>
      <c r="AZ161" s="21"/>
      <c r="BA161" s="21"/>
      <c r="BB161" s="21"/>
      <c r="BC161" s="21"/>
      <c r="BD161" s="21"/>
      <c r="BE161" s="21"/>
      <c r="BF161" s="21"/>
      <c r="BG161" s="21"/>
      <c r="BH161" s="21"/>
      <c r="BI161" s="21"/>
      <c r="BJ161" s="21"/>
      <c r="BK161" s="21"/>
      <c r="BL161" s="21"/>
      <c r="BM161" s="21"/>
      <c r="BN161" s="21"/>
      <c r="BO161" s="21"/>
      <c r="BP161" s="21"/>
      <c r="BQ161" s="21"/>
      <c r="BR161" s="21"/>
      <c r="BS161" s="21"/>
      <c r="BT161" s="21"/>
      <c r="BU161" s="21"/>
      <c r="BV161" s="21"/>
      <c r="BW161" s="21"/>
      <c r="BX161" s="21"/>
      <c r="BY161" s="21"/>
      <c r="BZ161" s="21"/>
      <c r="CA161" s="21"/>
      <c r="CB161" s="21"/>
      <c r="CC161" s="21"/>
      <c r="CD161" s="21"/>
      <c r="CE161" s="21"/>
      <c r="CF161" s="21"/>
      <c r="CG161" s="21"/>
      <c r="CH161" s="21"/>
      <c r="CI161" s="21"/>
      <c r="CJ161" s="21"/>
      <c r="CK161" s="21"/>
      <c r="CL161" s="21"/>
      <c r="CM161" s="21"/>
      <c r="CN161" s="21"/>
      <c r="CO161" s="21"/>
      <c r="CP161" s="21"/>
      <c r="CQ161" s="21"/>
      <c r="CR161" s="21"/>
      <c r="CS161" s="21"/>
      <c r="CT161" s="21"/>
      <c r="CU161" s="21"/>
      <c r="CV161" s="21"/>
      <c r="CW161" s="21"/>
      <c r="CX161" s="21"/>
      <c r="CY161" s="21"/>
      <c r="CZ161" s="21"/>
      <c r="DA161" s="21"/>
      <c r="DB161" s="21"/>
      <c r="DC161" s="21"/>
    </row>
    <row r="162">
      <c r="A162" s="21"/>
      <c r="B162" s="439"/>
      <c r="C162" s="21"/>
      <c r="D162" s="552" t="b">
        <f t="shared" si="93"/>
        <v>0</v>
      </c>
      <c r="E162" s="553" t="str">
        <f t="array" ref="E162">XLOOKUP(G162,Advancements!$I$2:$I164,Advancements!$C$2:$C164)</f>
        <v/>
      </c>
      <c r="F162" s="553" t="str">
        <f t="array" ref="F162">XLOOKUP(G162,Advancements!$I$2:$I164,Advancements!$H$2:$H164)</f>
        <v/>
      </c>
      <c r="G162" s="554" t="s">
        <v>36</v>
      </c>
      <c r="H162" s="21"/>
      <c r="I162" s="552" t="b">
        <f t="shared" si="94"/>
        <v>0</v>
      </c>
      <c r="J162" s="553" t="str">
        <f t="array" ref="J162">XLOOKUP(L162,Advancements!$I$2:$I164,Advancements!$C$2:$C164)</f>
        <v/>
      </c>
      <c r="K162" s="553" t="str">
        <f t="array" ref="K162">XLOOKUP(L162,Advancements!$I$2:$I164,Advancements!$H$2:$H164)</f>
        <v/>
      </c>
      <c r="L162" s="554" t="s">
        <v>36</v>
      </c>
      <c r="M162" s="21"/>
      <c r="N162" s="552" t="b">
        <f t="shared" si="95"/>
        <v>0</v>
      </c>
      <c r="O162" s="553" t="str">
        <f t="array" ref="O162">XLOOKUP(Q162,Advancements!$I$2:$I164,Advancements!$C$2:$C164)</f>
        <v/>
      </c>
      <c r="P162" s="553" t="str">
        <f t="array" ref="P162">XLOOKUP(Q162,Advancements!$I$2:$I164,Advancements!$H$2:$H164)</f>
        <v/>
      </c>
      <c r="Q162" s="554" t="s">
        <v>36</v>
      </c>
      <c r="R162" s="21"/>
      <c r="S162" s="552" t="b">
        <f t="shared" si="96"/>
        <v>0</v>
      </c>
      <c r="T162" s="553" t="str">
        <f t="array" ref="T162">XLOOKUP(V162,Advancements!$I$2:$I164,Advancements!$C$2:$C164)</f>
        <v/>
      </c>
      <c r="U162" s="553" t="str">
        <f t="array" ref="U162">XLOOKUP(V162,Advancements!$I$2:$I164,Advancements!$H$2:$H164)</f>
        <v/>
      </c>
      <c r="V162" s="554" t="s">
        <v>36</v>
      </c>
      <c r="W162" s="21"/>
      <c r="X162" s="21"/>
      <c r="Y162" s="21"/>
      <c r="Z162" s="21"/>
      <c r="AA162" s="21"/>
      <c r="AB162" s="21"/>
      <c r="AC162" s="21"/>
      <c r="AD162" s="21"/>
      <c r="AE162" s="21"/>
      <c r="AF162" s="21"/>
      <c r="AG162" s="102"/>
      <c r="AH162" s="102"/>
      <c r="AI162" s="102"/>
      <c r="AJ162" s="21"/>
      <c r="AK162" s="21"/>
      <c r="AL162" s="21"/>
      <c r="AM162" s="21"/>
      <c r="AN162" s="21"/>
      <c r="AO162" s="21"/>
      <c r="AP162" s="21"/>
      <c r="AQ162" s="21"/>
      <c r="AR162" s="21"/>
      <c r="AS162" s="21"/>
      <c r="AT162" s="21"/>
      <c r="AU162" s="21"/>
      <c r="AV162" s="21"/>
      <c r="AW162" s="21"/>
      <c r="AX162" s="21"/>
      <c r="AY162" s="21"/>
      <c r="AZ162" s="21"/>
      <c r="BA162" s="21"/>
      <c r="BB162" s="21"/>
      <c r="BC162" s="21"/>
      <c r="BD162" s="21"/>
      <c r="BE162" s="21"/>
      <c r="BF162" s="21"/>
      <c r="BG162" s="21"/>
      <c r="BH162" s="21"/>
      <c r="BI162" s="21"/>
      <c r="BJ162" s="21"/>
      <c r="BK162" s="21"/>
      <c r="BL162" s="21"/>
      <c r="BM162" s="21"/>
      <c r="BN162" s="21"/>
      <c r="BO162" s="21"/>
      <c r="BP162" s="21"/>
      <c r="BQ162" s="21"/>
      <c r="BR162" s="21"/>
      <c r="BS162" s="21"/>
      <c r="BT162" s="21"/>
      <c r="BU162" s="21"/>
      <c r="BV162" s="21"/>
      <c r="BW162" s="21"/>
      <c r="BX162" s="21"/>
      <c r="BY162" s="21"/>
      <c r="BZ162" s="21"/>
      <c r="CA162" s="21"/>
      <c r="CB162" s="21"/>
      <c r="CC162" s="21"/>
      <c r="CD162" s="21"/>
      <c r="CE162" s="21"/>
      <c r="CF162" s="21"/>
      <c r="CG162" s="21"/>
      <c r="CH162" s="21"/>
      <c r="CI162" s="21"/>
      <c r="CJ162" s="21"/>
      <c r="CK162" s="21"/>
      <c r="CL162" s="21"/>
      <c r="CM162" s="21"/>
      <c r="CN162" s="21"/>
      <c r="CO162" s="21"/>
      <c r="CP162" s="21"/>
      <c r="CQ162" s="21"/>
      <c r="CR162" s="21"/>
      <c r="CS162" s="21"/>
      <c r="CT162" s="21"/>
      <c r="CU162" s="21"/>
      <c r="CV162" s="21"/>
      <c r="CW162" s="21"/>
      <c r="CX162" s="21"/>
      <c r="CY162" s="21"/>
      <c r="CZ162" s="21"/>
      <c r="DA162" s="21"/>
      <c r="DB162" s="21"/>
      <c r="DC162" s="21"/>
    </row>
    <row r="163">
      <c r="A163" s="21"/>
      <c r="B163" s="468"/>
      <c r="C163" s="21"/>
      <c r="D163" s="555" t="b">
        <f t="shared" si="93"/>
        <v>0</v>
      </c>
      <c r="E163" s="556" t="str">
        <f t="array" ref="E163">XLOOKUP(G163,Advancements!$I$2:$I164,Advancements!$C$2:$C164)</f>
        <v/>
      </c>
      <c r="F163" s="556" t="str">
        <f t="array" ref="F163">XLOOKUP(G163,Advancements!$I$2:$I164,Advancements!$H$2:$H164)</f>
        <v/>
      </c>
      <c r="G163" s="557" t="s">
        <v>4846</v>
      </c>
      <c r="H163" s="21"/>
      <c r="I163" s="555" t="b">
        <f t="shared" si="94"/>
        <v>0</v>
      </c>
      <c r="J163" s="556" t="str">
        <f t="array" ref="J163">XLOOKUP(L163,Advancements!$I$2:$I164,Advancements!$C$2:$C164)</f>
        <v/>
      </c>
      <c r="K163" s="556" t="str">
        <f t="array" ref="K163">XLOOKUP(L163,Advancements!$I$2:$I164,Advancements!$H$2:$H164)</f>
        <v/>
      </c>
      <c r="L163" s="557" t="s">
        <v>4846</v>
      </c>
      <c r="M163" s="21"/>
      <c r="N163" s="555" t="b">
        <f t="shared" si="95"/>
        <v>0</v>
      </c>
      <c r="O163" s="556" t="str">
        <f t="array" ref="O163">XLOOKUP(Q163,Advancements!$I$2:$I164,Advancements!$C$2:$C164)</f>
        <v/>
      </c>
      <c r="P163" s="556" t="str">
        <f t="array" ref="P163">XLOOKUP(Q163,Advancements!$I$2:$I164,Advancements!$H$2:$H164)</f>
        <v/>
      </c>
      <c r="Q163" s="557" t="s">
        <v>4846</v>
      </c>
      <c r="R163" s="21"/>
      <c r="S163" s="555" t="b">
        <f t="shared" si="96"/>
        <v>0</v>
      </c>
      <c r="T163" s="556" t="str">
        <f t="array" ref="T163">XLOOKUP(V163,Advancements!$I$2:$I164,Advancements!$C$2:$C164)</f>
        <v/>
      </c>
      <c r="U163" s="556" t="str">
        <f t="array" ref="U163">XLOOKUP(V163,Advancements!$I$2:$I164,Advancements!$H$2:$H164)</f>
        <v/>
      </c>
      <c r="V163" s="557" t="s">
        <v>4846</v>
      </c>
      <c r="W163" s="21"/>
      <c r="X163" s="21"/>
      <c r="Y163" s="21"/>
      <c r="Z163" s="21"/>
      <c r="AA163" s="21"/>
      <c r="AB163" s="21"/>
      <c r="AC163" s="21"/>
      <c r="AD163" s="21"/>
      <c r="AE163" s="21"/>
      <c r="AF163" s="21"/>
      <c r="AG163" s="102"/>
      <c r="AH163" s="102"/>
      <c r="AI163" s="102"/>
      <c r="AK163" s="21"/>
      <c r="AL163" s="21"/>
      <c r="AM163" s="21"/>
      <c r="AN163" s="21"/>
      <c r="AO163" s="21"/>
      <c r="AP163" s="21"/>
      <c r="AQ163" s="21"/>
      <c r="AR163" s="21"/>
      <c r="AS163" s="21"/>
      <c r="AT163" s="21"/>
      <c r="AU163" s="21"/>
      <c r="AV163" s="21"/>
      <c r="AW163" s="21"/>
      <c r="AX163" s="21"/>
      <c r="AY163" s="21"/>
      <c r="AZ163" s="21"/>
      <c r="BA163" s="21"/>
      <c r="BB163" s="21"/>
      <c r="BC163" s="21"/>
      <c r="BD163" s="21"/>
      <c r="BE163" s="21"/>
      <c r="BF163" s="21"/>
      <c r="BG163" s="21"/>
      <c r="BH163" s="21"/>
      <c r="BI163" s="21"/>
      <c r="BJ163" s="21"/>
      <c r="BK163" s="21"/>
      <c r="BL163" s="21"/>
      <c r="BM163" s="21"/>
      <c r="BN163" s="21"/>
      <c r="BO163" s="21"/>
      <c r="BP163" s="21"/>
      <c r="BQ163" s="21"/>
      <c r="BR163" s="21"/>
      <c r="BS163" s="21"/>
      <c r="BT163" s="21"/>
      <c r="BU163" s="21"/>
      <c r="BV163" s="21"/>
      <c r="BW163" s="21"/>
      <c r="BX163" s="21"/>
      <c r="BY163" s="21"/>
      <c r="BZ163" s="21"/>
      <c r="CA163" s="21"/>
      <c r="CB163" s="21"/>
      <c r="CC163" s="21"/>
      <c r="CD163" s="21"/>
      <c r="CE163" s="21"/>
      <c r="CF163" s="21"/>
      <c r="CG163" s="21"/>
      <c r="CH163" s="21"/>
      <c r="CI163" s="21"/>
      <c r="CJ163" s="21"/>
      <c r="CK163" s="21"/>
      <c r="CL163" s="21"/>
      <c r="CM163" s="21"/>
      <c r="CN163" s="21"/>
      <c r="CO163" s="21"/>
      <c r="CP163" s="21"/>
      <c r="CQ163" s="21"/>
      <c r="CR163" s="21"/>
      <c r="CS163" s="21"/>
      <c r="CT163" s="21"/>
      <c r="CU163" s="21"/>
      <c r="CV163" s="21"/>
      <c r="CW163" s="21"/>
      <c r="CX163" s="21"/>
      <c r="CY163" s="21"/>
      <c r="CZ163" s="21"/>
      <c r="DA163" s="21"/>
      <c r="DB163" s="21"/>
      <c r="DC163" s="21"/>
    </row>
    <row r="164">
      <c r="A164" s="21"/>
      <c r="B164" s="21"/>
      <c r="C164" s="21"/>
      <c r="D164" s="21"/>
      <c r="E164" s="21"/>
      <c r="F164" s="21"/>
      <c r="G164" s="21"/>
      <c r="H164" s="21"/>
      <c r="I164" s="21"/>
      <c r="J164" s="21"/>
      <c r="K164" s="21"/>
      <c r="L164" s="21"/>
      <c r="M164" s="21"/>
      <c r="N164" s="21"/>
      <c r="O164" s="21"/>
      <c r="P164" s="21"/>
      <c r="Q164" s="21"/>
      <c r="R164" s="21"/>
      <c r="S164" s="21"/>
      <c r="T164" s="21"/>
      <c r="U164" s="21"/>
      <c r="V164" s="21"/>
      <c r="W164" s="21"/>
      <c r="X164" s="21"/>
      <c r="Y164" s="21"/>
      <c r="Z164" s="21"/>
      <c r="AA164" s="21"/>
      <c r="AB164" s="21"/>
      <c r="AC164" s="21"/>
      <c r="AD164" s="21"/>
      <c r="AE164" s="21"/>
      <c r="AF164" s="21"/>
      <c r="AG164" s="21"/>
      <c r="AH164" s="21"/>
      <c r="AI164" s="21"/>
      <c r="AK164" s="21"/>
      <c r="AL164" s="21"/>
      <c r="AM164" s="21"/>
      <c r="AN164" s="21"/>
      <c r="AO164" s="21"/>
      <c r="AP164" s="21"/>
      <c r="AQ164" s="21"/>
      <c r="AR164" s="21"/>
      <c r="AS164" s="21"/>
      <c r="AT164" s="21"/>
      <c r="AU164" s="21"/>
      <c r="AV164" s="21"/>
      <c r="AW164" s="21"/>
      <c r="AX164" s="21"/>
      <c r="AY164" s="21"/>
      <c r="AZ164" s="21"/>
      <c r="BA164" s="21"/>
      <c r="BB164" s="21"/>
      <c r="BC164" s="21"/>
      <c r="BD164" s="21"/>
      <c r="BE164" s="21"/>
      <c r="BF164" s="21"/>
      <c r="BG164" s="21"/>
      <c r="BH164" s="21"/>
      <c r="BI164" s="21"/>
      <c r="BJ164" s="21"/>
      <c r="BK164" s="21"/>
      <c r="BL164" s="21"/>
      <c r="BM164" s="21"/>
      <c r="BN164" s="21"/>
      <c r="BO164" s="21"/>
      <c r="BP164" s="21"/>
      <c r="BQ164" s="21"/>
      <c r="BR164" s="21"/>
      <c r="BS164" s="21"/>
      <c r="BT164" s="21"/>
      <c r="BU164" s="21"/>
      <c r="BV164" s="21"/>
      <c r="BW164" s="21"/>
      <c r="BX164" s="21"/>
      <c r="BY164" s="21"/>
      <c r="BZ164" s="21"/>
      <c r="CA164" s="21"/>
      <c r="CB164" s="21"/>
      <c r="CC164" s="21"/>
      <c r="CD164" s="21"/>
      <c r="CE164" s="21"/>
      <c r="CF164" s="21"/>
      <c r="CG164" s="21"/>
      <c r="CH164" s="21"/>
      <c r="CI164" s="21"/>
      <c r="CJ164" s="21"/>
      <c r="CK164" s="21"/>
      <c r="CL164" s="21"/>
      <c r="CM164" s="21"/>
      <c r="CN164" s="21"/>
      <c r="CO164" s="21"/>
      <c r="CP164" s="21"/>
      <c r="CQ164" s="21"/>
      <c r="CR164" s="21"/>
      <c r="CS164" s="21"/>
      <c r="CT164" s="21"/>
      <c r="CU164" s="21"/>
      <c r="CV164" s="21"/>
      <c r="CW164" s="21"/>
      <c r="CX164" s="21"/>
      <c r="CY164" s="21"/>
      <c r="CZ164" s="21"/>
      <c r="DA164" s="21"/>
      <c r="DB164" s="21"/>
      <c r="DC164" s="21"/>
    </row>
  </sheetData>
  <mergeCells count="46">
    <mergeCell ref="CU3:CV3"/>
    <mergeCell ref="CZ3:DA3"/>
    <mergeCell ref="BL3:BM3"/>
    <mergeCell ref="BQ3:BR3"/>
    <mergeCell ref="BV3:BW3"/>
    <mergeCell ref="CA3:CB3"/>
    <mergeCell ref="CF3:CG3"/>
    <mergeCell ref="CK3:CL3"/>
    <mergeCell ref="CP3:CQ3"/>
    <mergeCell ref="AH3:AJ3"/>
    <mergeCell ref="AH4:AJ5"/>
    <mergeCell ref="AM4:AO5"/>
    <mergeCell ref="AR4:AT5"/>
    <mergeCell ref="AW4:AY5"/>
    <mergeCell ref="BB4:BD5"/>
    <mergeCell ref="BG4:BI5"/>
    <mergeCell ref="CU4:CW5"/>
    <mergeCell ref="CZ4:DB5"/>
    <mergeCell ref="BL4:BN5"/>
    <mergeCell ref="BQ4:BS5"/>
    <mergeCell ref="BV4:BX5"/>
    <mergeCell ref="CA4:CC5"/>
    <mergeCell ref="CF4:CH5"/>
    <mergeCell ref="CK4:CM5"/>
    <mergeCell ref="CP4:CR5"/>
    <mergeCell ref="B2:AF3"/>
    <mergeCell ref="AM3:AN3"/>
    <mergeCell ref="AR3:AS3"/>
    <mergeCell ref="AW3:AX3"/>
    <mergeCell ref="BB3:BC3"/>
    <mergeCell ref="BG3:BH3"/>
    <mergeCell ref="B4:AF4"/>
    <mergeCell ref="B84:B93"/>
    <mergeCell ref="B95:B104"/>
    <mergeCell ref="B106:B119"/>
    <mergeCell ref="B121:B130"/>
    <mergeCell ref="B132:B142"/>
    <mergeCell ref="B144:B152"/>
    <mergeCell ref="B154:B163"/>
    <mergeCell ref="B6:B15"/>
    <mergeCell ref="B17:B27"/>
    <mergeCell ref="B29:B39"/>
    <mergeCell ref="B41:B50"/>
    <mergeCell ref="B52:B60"/>
    <mergeCell ref="B62:B71"/>
    <mergeCell ref="B73:B82"/>
  </mergeCells>
  <conditionalFormatting sqref="E1 J1 O1 T1 Y1 AD1 AK1:AL1 AQ1 AV1 BA1 BF1 BK1 BP1 BU1 BZ1 CE1 CJ1 CO1 CT1 CY1 E5 J5 O5 T5 Y5 AD5">
    <cfRule type="expression" dxfId="4" priority="1">
      <formula>$E1=TRUE</formula>
    </cfRule>
  </conditionalFormatting>
  <conditionalFormatting sqref="E1 J1 O1 T1 Y1 AD1 AK1:AL1 AQ1 AV1 BA1 BF1 BK1 BP1 BU1 BZ1 CE1 CJ1 CO1 CT1 CY1 E5 J5 O5 T5 Y5 AD5">
    <cfRule type="expression" dxfId="6" priority="2">
      <formula>$J1="Description"</formula>
    </cfRule>
  </conditionalFormatting>
  <conditionalFormatting sqref="I6:L164">
    <cfRule type="expression" dxfId="3" priority="3">
      <formula>$I6</formula>
    </cfRule>
  </conditionalFormatting>
  <conditionalFormatting sqref="N6:Q164">
    <cfRule type="expression" dxfId="3" priority="4">
      <formula>$N6</formula>
    </cfRule>
  </conditionalFormatting>
  <conditionalFormatting sqref="S6:V164">
    <cfRule type="expression" dxfId="3" priority="5">
      <formula>$S6</formula>
    </cfRule>
  </conditionalFormatting>
  <conditionalFormatting sqref="X6:AA164">
    <cfRule type="expression" dxfId="3" priority="6">
      <formula>$X6</formula>
    </cfRule>
  </conditionalFormatting>
  <conditionalFormatting sqref="AC6:AF164">
    <cfRule type="expression" dxfId="3" priority="7">
      <formula>$AC6</formula>
    </cfRule>
  </conditionalFormatting>
  <conditionalFormatting sqref="D6:G164">
    <cfRule type="expression" dxfId="3" priority="8">
      <formula>$D6</formula>
    </cfRule>
  </conditionalFormatting>
  <conditionalFormatting sqref="AH2:AJ5">
    <cfRule type="expression" dxfId="3" priority="9">
      <formula>$AI$2</formula>
    </cfRule>
  </conditionalFormatting>
  <conditionalFormatting sqref="AH6:DC164">
    <cfRule type="expression" dxfId="3" priority="10">
      <formula>AG6</formula>
    </cfRule>
  </conditionalFormatting>
  <conditionalFormatting sqref="AH6:DC164">
    <cfRule type="expression" dxfId="3" priority="11">
      <formula>AI6</formula>
    </cfRule>
  </conditionalFormatting>
  <conditionalFormatting sqref="AH6:DC164">
    <cfRule type="expression" dxfId="3" priority="12">
      <formula>AH6</formula>
    </cfRule>
  </conditionalFormatting>
  <conditionalFormatting sqref="AM2:AO5">
    <cfRule type="expression" dxfId="3" priority="13">
      <formula>$AN$2</formula>
    </cfRule>
  </conditionalFormatting>
  <conditionalFormatting sqref="AR2:AT5">
    <cfRule type="expression" dxfId="3" priority="14">
      <formula>$AS$2</formula>
    </cfRule>
  </conditionalFormatting>
  <conditionalFormatting sqref="AW2:AY5">
    <cfRule type="expression" dxfId="3" priority="15">
      <formula>$AX$2</formula>
    </cfRule>
  </conditionalFormatting>
  <conditionalFormatting sqref="BB2:BD5">
    <cfRule type="expression" dxfId="3" priority="16">
      <formula>$BC$2</formula>
    </cfRule>
  </conditionalFormatting>
  <conditionalFormatting sqref="BG2:BI5">
    <cfRule type="expression" dxfId="3" priority="17">
      <formula>$BH$2</formula>
    </cfRule>
  </conditionalFormatting>
  <conditionalFormatting sqref="BL2:BN5">
    <cfRule type="expression" dxfId="3" priority="18">
      <formula>$BM$2</formula>
    </cfRule>
  </conditionalFormatting>
  <conditionalFormatting sqref="BQ2:BS5">
    <cfRule type="expression" dxfId="3" priority="19">
      <formula>$BR$2</formula>
    </cfRule>
  </conditionalFormatting>
  <conditionalFormatting sqref="BV2:BX5">
    <cfRule type="expression" dxfId="3" priority="20">
      <formula>$BW$2</formula>
    </cfRule>
  </conditionalFormatting>
  <conditionalFormatting sqref="CA2:CC5">
    <cfRule type="expression" dxfId="3" priority="21">
      <formula>$CB$2</formula>
    </cfRule>
  </conditionalFormatting>
  <conditionalFormatting sqref="CF2:CH5">
    <cfRule type="expression" dxfId="3" priority="22">
      <formula>$CG$2</formula>
    </cfRule>
  </conditionalFormatting>
  <conditionalFormatting sqref="CK2:CM5">
    <cfRule type="expression" dxfId="3" priority="23">
      <formula>$CL$2</formula>
    </cfRule>
  </conditionalFormatting>
  <conditionalFormatting sqref="CP2:CR5">
    <cfRule type="expression" dxfId="3" priority="24">
      <formula>$CQ$2</formula>
    </cfRule>
  </conditionalFormatting>
  <conditionalFormatting sqref="CU2:CW5">
    <cfRule type="expression" dxfId="3" priority="25">
      <formula>$CV$2</formula>
    </cfRule>
  </conditionalFormatting>
  <conditionalFormatting sqref="CZ2:DB5">
    <cfRule type="expression" dxfId="3" priority="26">
      <formula>$DA$2</formula>
    </cfRule>
  </conditionalFormatting>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00"/>
    <outlinePr summaryBelow="0" summaryRight="0"/>
  </sheetPr>
  <sheetViews>
    <sheetView workbookViewId="0"/>
  </sheetViews>
  <sheetFormatPr customHeight="1" defaultColWidth="12.63" defaultRowHeight="15.75"/>
  <cols>
    <col customWidth="1" min="1" max="3" width="2.63"/>
    <col customWidth="1" min="4" max="4" width="25.13"/>
    <col customWidth="1" min="5" max="5" width="2.63"/>
    <col customWidth="1" min="6" max="6" width="25.13"/>
    <col customWidth="1" min="7" max="7" width="2.63"/>
    <col customWidth="1" min="8" max="8" width="18.88"/>
    <col customWidth="1" min="9" max="10" width="2.63"/>
    <col customWidth="1" min="11" max="11" width="18.88"/>
    <col customWidth="1" min="12" max="14" width="2.63"/>
    <col customWidth="1" min="15" max="15" width="11.38"/>
    <col customWidth="1" min="16" max="16" width="3.88"/>
    <col customWidth="1" min="17" max="23" width="8.88"/>
    <col customWidth="1" min="24" max="24" width="2.63"/>
    <col customWidth="1" min="25" max="26" width="37.63"/>
    <col customWidth="1" min="27" max="27" width="2.63"/>
  </cols>
  <sheetData>
    <row r="1">
      <c r="B1" s="588" t="s">
        <v>194</v>
      </c>
      <c r="C1" s="589"/>
      <c r="D1" s="589"/>
      <c r="E1" s="589"/>
      <c r="F1" s="589"/>
      <c r="G1" s="589"/>
      <c r="H1" s="589"/>
      <c r="I1" s="589"/>
      <c r="J1" s="589"/>
      <c r="K1" s="589"/>
      <c r="M1" s="588" t="s">
        <v>194</v>
      </c>
    </row>
    <row r="2" ht="30.0" customHeight="1">
      <c r="B2" s="590" t="str">
        <f t="array" ref="B2">XLOOKUP(D2,Advancements!$I$2:$I44,Advancements!$C$2:$C44)</f>
        <v/>
      </c>
      <c r="C2" s="591" t="b">
        <f t="array" ref="C2">XLOOKUP(D2,Advancements!$I$2:$I44,Advancements!$G$2:$G44)</f>
        <v>0</v>
      </c>
      <c r="D2" s="98" t="s">
        <v>33</v>
      </c>
      <c r="E2" s="15"/>
      <c r="F2" s="592" t="str">
        <f t="array" ref="F2">XLOOKUP(D2,Advancements!$I$2:$I44,Advancements!$D$2:$D44)</f>
        <v/>
      </c>
      <c r="G2" s="593" t="s">
        <v>4925</v>
      </c>
      <c r="H2" s="15"/>
      <c r="I2" s="15"/>
      <c r="J2" s="15"/>
      <c r="K2" s="15"/>
      <c r="L2" s="594"/>
      <c r="M2" s="590" t="str">
        <f t="array" ref="M2">XLOOKUP(O2,Advancements!$I$2:$I44,Advancements!$C$2:$C44)</f>
        <v/>
      </c>
      <c r="N2" s="591" t="b">
        <f t="array" ref="N2">XLOOKUP(O2,Advancements!$I$2:$I44,Advancements!$G$2:$G44)</f>
        <v>0</v>
      </c>
      <c r="O2" s="98" t="s">
        <v>29</v>
      </c>
      <c r="P2" s="15"/>
      <c r="Q2" s="15"/>
      <c r="R2" s="15"/>
      <c r="S2" s="592" t="str">
        <f t="array" ref="S2">XLOOKUP($O$2,Advancements!$I$2:$I44,Advancements!$D$2:$D44)</f>
        <v/>
      </c>
      <c r="T2" s="595" t="s">
        <v>7349</v>
      </c>
      <c r="U2" s="15"/>
      <c r="V2" s="15"/>
      <c r="W2" s="16"/>
      <c r="X2" s="596"/>
      <c r="Y2" s="596"/>
      <c r="Z2" s="596"/>
      <c r="AA2" s="596"/>
    </row>
    <row r="3">
      <c r="C3" s="597" t="str">
        <f t="array" ref="C3">iferror(SPARKLINE(XLOOKUP(D2,Advancements!$I$2:$I44,Advancements!$E$2:$E44)/XLOOKUP(D2,Advancements!$I$2:$I44,Advancements!$F$2:$F44),{"charttype","bar";"max",100%;"color1","green";"empty","zero"}))</f>
        <v/>
      </c>
      <c r="D3" s="15"/>
      <c r="E3" s="15"/>
      <c r="F3" s="15"/>
      <c r="G3" s="15"/>
      <c r="H3" s="15"/>
      <c r="I3" s="15"/>
      <c r="J3" s="15"/>
      <c r="K3" s="16"/>
      <c r="N3" s="597" t="str">
        <f t="array" ref="N3">iferror(SPARKLINE(XLOOKUP(O2,Advancements!$I$2:$I44,Advancements!$E$2:$E44)/XLOOKUP(O2,Advancements!$I$2:$I44,Advancements!$F$2:$F44),{"charttype","bar";"max",100%;"color1","green";"empty","zero"}))</f>
        <v/>
      </c>
      <c r="O3" s="15"/>
      <c r="P3" s="15"/>
      <c r="Q3" s="15"/>
      <c r="R3" s="15"/>
      <c r="S3" s="15"/>
      <c r="T3" s="15"/>
      <c r="U3" s="15"/>
      <c r="V3" s="15"/>
      <c r="W3" s="16"/>
      <c r="X3" s="598"/>
      <c r="AA3" s="598"/>
    </row>
    <row r="4">
      <c r="C4" s="598"/>
      <c r="D4" s="598"/>
      <c r="E4" s="598"/>
      <c r="F4" s="598"/>
      <c r="G4" s="598"/>
      <c r="H4" s="598"/>
      <c r="I4" s="598"/>
      <c r="J4" s="598"/>
      <c r="K4" s="598"/>
      <c r="Q4" s="599"/>
      <c r="R4" s="599"/>
      <c r="S4" s="599"/>
      <c r="T4" s="599"/>
      <c r="U4" s="599"/>
      <c r="V4" s="599"/>
      <c r="W4" s="599"/>
      <c r="X4" s="599"/>
      <c r="AA4" s="599"/>
    </row>
    <row r="5">
      <c r="C5" s="600" t="s">
        <v>7350</v>
      </c>
      <c r="D5" s="42"/>
      <c r="E5" s="42"/>
      <c r="F5" s="42"/>
      <c r="G5" s="42"/>
      <c r="H5" s="46"/>
      <c r="I5" s="598"/>
      <c r="J5" s="600" t="s">
        <v>7351</v>
      </c>
      <c r="K5" s="46"/>
      <c r="N5" s="34"/>
      <c r="O5" s="601"/>
      <c r="P5" s="93"/>
      <c r="Q5" s="602" t="s">
        <v>7352</v>
      </c>
      <c r="R5" s="603" t="s">
        <v>7353</v>
      </c>
      <c r="S5" s="604" t="s">
        <v>7354</v>
      </c>
      <c r="T5" s="605" t="s">
        <v>6835</v>
      </c>
      <c r="U5" s="602" t="s">
        <v>7355</v>
      </c>
      <c r="V5" s="606" t="s">
        <v>7356</v>
      </c>
      <c r="W5" s="607" t="s">
        <v>7357</v>
      </c>
      <c r="X5" s="598"/>
      <c r="AA5" s="598"/>
    </row>
    <row r="6">
      <c r="C6" s="608" t="b">
        <f>IFERROR(__xludf.DUMMYFUNCTION("if($C$2,true,and(not(ISBLANK(XLOOKUP($D$2,Advancements!$I$2:$I44,Advancements!$L$2:$L44))),not(REGEXMATCH(XLOOKUP($D$2,Advancements!$I$2:$I44,Advancements!$L$2:$L44),lower(D6)))))"),FALSE)</f>
        <v>0</v>
      </c>
      <c r="D6" s="609" t="s">
        <v>7358</v>
      </c>
      <c r="E6" s="357" t="b">
        <f>IFERROR(__xludf.DUMMYFUNCTION("if($C$2,true,and(not(ISBLANK(XLOOKUP($D$2,Advancements!$I$2:$I44,Advancements!$L$2:$L44))),not(REGEXMATCH(XLOOKUP($D$2,Advancements!$I$2:$I44,Advancements!$L$2:$L44),lower(F6)))))"),FALSE)</f>
        <v>0</v>
      </c>
      <c r="F6" s="357" t="s">
        <v>7359</v>
      </c>
      <c r="G6" s="357" t="b">
        <f>IFERROR(__xludf.DUMMYFUNCTION("if($C$2,true,and(not(ISBLANK(XLOOKUP($D$2,Advancements!$I$2:$I44,Advancements!$L$2:$L44))),not(REGEXMATCH(XLOOKUP($D$2,Advancements!$I$2:$I44,Advancements!$L$2:$L44),lower(H6)))))"),FALSE)</f>
        <v>0</v>
      </c>
      <c r="H6" s="610" t="s">
        <v>7360</v>
      </c>
      <c r="J6" s="611" t="b">
        <f>IFERROR(__xludf.DUMMYFUNCTION("if($C$2,true,and(not(ISBLANK(XLOOKUP($D$2,Advancements!$I$2:$I44,Advancements!$L$2:$L44))),not(REGEXMATCH(XLOOKUP($D$2,Advancements!$I$2:$I44,Advancements!$L$2:$L44),lower(K6)))))"),FALSE)</f>
        <v>0</v>
      </c>
      <c r="K6" s="612" t="s">
        <v>7361</v>
      </c>
      <c r="N6" s="613" t="s">
        <v>7362</v>
      </c>
      <c r="O6" s="614"/>
      <c r="P6" s="615"/>
      <c r="Q6" s="616" t="b">
        <f>IFERROR(__xludf.DUMMYFUNCTION("if($N$2,true,and(not(ISBLANK(XLOOKUP($O$2,Advancements!$I$2:$I44,Advancements!$L$2:$L44))),not(REGEXMATCH(XLOOKUP($O$2,Advancements!$I$2:$I44,Advancements!$L$2:$L44),LOWER(CONCATENATE($N6,""_"",Q$5))))))"),FALSE)</f>
        <v>0</v>
      </c>
      <c r="R6" s="617" t="b">
        <f>IFERROR(__xludf.DUMMYFUNCTION("if($N$2,true,and(not(ISBLANK(XLOOKUP($O$2,Advancements!$I$2:$I44,Advancements!$L$2:$L44))),not(REGEXMATCH(XLOOKUP($O$2,Advancements!$I$2:$I44,Advancements!$L$2:$L44),LOWER(CONCATENATE($N6,""_"",R$5))))))"),FALSE)</f>
        <v>0</v>
      </c>
      <c r="S6" s="618" t="b">
        <f>IFERROR(__xludf.DUMMYFUNCTION("if($N$2,true,and(not(ISBLANK(XLOOKUP($O$2,Advancements!$I$2:$I44,Advancements!$L$2:$L44))),not(REGEXMATCH(XLOOKUP($O$2,Advancements!$I$2:$I44,Advancements!$L$2:$L44),LOWER(CONCATENATE($N6,""_"",S$5))))))"),FALSE)</f>
        <v>0</v>
      </c>
      <c r="T6" s="619" t="b">
        <f>IFERROR(__xludf.DUMMYFUNCTION("if($N$2,true,and(not(ISBLANK(XLOOKUP($O$2,Advancements!$I$2:$I44,Advancements!$L$2:$L44))),not(REGEXMATCH(XLOOKUP($O$2,Advancements!$I$2:$I44,Advancements!$L$2:$L44),LOWER(CONCATENATE($N6,""_"",T$5))))))"),FALSE)</f>
        <v>0</v>
      </c>
      <c r="U6" s="616" t="b">
        <f>IFERROR(__xludf.DUMMYFUNCTION("if($N$2,true,and(not(ISBLANK(XLOOKUP($O$2,Advancements!$I$2:$I44,Advancements!$L$2:$L44))),not(REGEXMATCH(XLOOKUP($O$2,Advancements!$I$2:$I44,Advancements!$L$2:$L44),LOWER(CONCATENATE($N6,""_"",U$5))))))"),FALSE)</f>
        <v>0</v>
      </c>
      <c r="V6" s="620" t="b">
        <f>IFERROR(__xludf.DUMMYFUNCTION("if($N$2,true,and(not(ISBLANK(XLOOKUP($O$2,Advancements!$I$2:$I44,Advancements!$L$2:$L44))),not(REGEXMATCH(XLOOKUP($O$2,Advancements!$I$2:$I44,Advancements!$L$2:$L44),LOWER(CONCATENATE($N6,""_"",V$5))))))"),FALSE)</f>
        <v>0</v>
      </c>
      <c r="W6" s="621" t="b">
        <f>IFERROR(__xludf.DUMMYFUNCTION("if($N$2,true,and(not(ISBLANK(XLOOKUP($O$2,Advancements!$I$2:$I44,Advancements!$L$2:$L44))),not(REGEXMATCH(XLOOKUP($O$2,Advancements!$I$2:$I44,Advancements!$L$2:$L44),LOWER(CONCATENATE($N6,""_"",W$5))))))"),FALSE)</f>
        <v>0</v>
      </c>
      <c r="X6" s="622"/>
      <c r="AA6" s="622"/>
    </row>
    <row r="7">
      <c r="C7" s="175" t="b">
        <f>IFERROR(__xludf.DUMMYFUNCTION("if($C$2,true,and(not(ISBLANK(XLOOKUP($D$2,Advancements!$I$2:$I44,Advancements!$L$2:$L44))),not(REGEXMATCH(XLOOKUP($D$2,Advancements!$I$2:$I44,Advancements!$L$2:$L44),lower(D7)))))"),FALSE)</f>
        <v>0</v>
      </c>
      <c r="D7" s="51" t="s">
        <v>7363</v>
      </c>
      <c r="E7" s="51" t="b">
        <f>IFERROR(__xludf.DUMMYFUNCTION("if($C$2,true,and(not(ISBLANK(XLOOKUP($D$2,Advancements!$I$2:$I44,Advancements!$L$2:$L44))),not(REGEXMATCH(XLOOKUP($D$2,Advancements!$I$2:$I44,Advancements!$L$2:$L44),lower(F7)))))"),FALSE)</f>
        <v>0</v>
      </c>
      <c r="F7" s="51" t="s">
        <v>7364</v>
      </c>
      <c r="G7" s="357" t="b">
        <f>IFERROR(__xludf.DUMMYFUNCTION("if($C$2,true,and(not(ISBLANK(XLOOKUP($D$2,Advancements!$I$2:$I44,Advancements!$L$2:$L44))),not(REGEXMATCH(XLOOKUP($D$2,Advancements!$I$2:$I44,Advancements!$L$2:$L44),lower(H7)))))"),FALSE)</f>
        <v>0</v>
      </c>
      <c r="H7" s="610" t="s">
        <v>7365</v>
      </c>
      <c r="J7" s="623" t="b">
        <f>IFERROR(__xludf.DUMMYFUNCTION("if($C$2,true,and(not(ISBLANK(XLOOKUP($D$2,Advancements!$I$2:$I44,Advancements!$L$2:$L44))),not(REGEXMATCH(XLOOKUP($D$2,Advancements!$I$2:$I44,Advancements!$L$2:$L44),lower(K7)))))"),FALSE)</f>
        <v>0</v>
      </c>
      <c r="K7" s="610" t="s">
        <v>7366</v>
      </c>
      <c r="N7" s="624" t="s">
        <v>7367</v>
      </c>
      <c r="O7" s="625"/>
      <c r="P7" s="626"/>
      <c r="Q7" s="627" t="b">
        <f>IFERROR(__xludf.DUMMYFUNCTION("if($N$2,true,and(not(ISBLANK(XLOOKUP($O$2,Advancements!$I$2:$I44,Advancements!$L$2:$L44))),not(REGEXMATCH(XLOOKUP($O$2,Advancements!$I$2:$I44,Advancements!$L$2:$L44),LOWER(CONCATENATE($N7,""_"",Q$5))))))"),FALSE)</f>
        <v>0</v>
      </c>
      <c r="R7" s="628" t="b">
        <f>IFERROR(__xludf.DUMMYFUNCTION("if($N$2,true,and(not(ISBLANK(XLOOKUP($O$2,Advancements!$I$2:$I44,Advancements!$L$2:$L44))),not(REGEXMATCH(XLOOKUP($O$2,Advancements!$I$2:$I44,Advancements!$L$2:$L44),LOWER(CONCATENATE($N7,""_"",R$5))))))"),FALSE)</f>
        <v>0</v>
      </c>
      <c r="S7" s="629" t="b">
        <f>IFERROR(__xludf.DUMMYFUNCTION("if($N$2,true,and(not(ISBLANK(XLOOKUP($O$2,Advancements!$I$2:$I44,Advancements!$L$2:$L44))),not(REGEXMATCH(XLOOKUP($O$2,Advancements!$I$2:$I44,Advancements!$L$2:$L44),LOWER(CONCATENATE($N7,""_"",S$5))))))"),FALSE)</f>
        <v>0</v>
      </c>
      <c r="T7" s="630" t="b">
        <f>IFERROR(__xludf.DUMMYFUNCTION("if($N$2,true,and(not(ISBLANK(XLOOKUP($O$2,Advancements!$I$2:$I44,Advancements!$L$2:$L44))),not(REGEXMATCH(XLOOKUP($O$2,Advancements!$I$2:$I44,Advancements!$L$2:$L44),LOWER(CONCATENATE($N7,""_"",T$5))))))"),FALSE)</f>
        <v>0</v>
      </c>
      <c r="U7" s="627" t="b">
        <f>IFERROR(__xludf.DUMMYFUNCTION("if($N$2,true,and(not(ISBLANK(XLOOKUP($O$2,Advancements!$I$2:$I44,Advancements!$L$2:$L44))),not(REGEXMATCH(XLOOKUP($O$2,Advancements!$I$2:$I44,Advancements!$L$2:$L44),LOWER(CONCATENATE($N7,""_"",U$5))))))"),FALSE)</f>
        <v>0</v>
      </c>
      <c r="V7" s="631" t="b">
        <f>IFERROR(__xludf.DUMMYFUNCTION("if($N$2,true,and(not(ISBLANK(XLOOKUP($O$2,Advancements!$I$2:$I44,Advancements!$L$2:$L44))),not(REGEXMATCH(XLOOKUP($O$2,Advancements!$I$2:$I44,Advancements!$L$2:$L44),LOWER(CONCATENATE($N7,""_"",V$5))))))"),FALSE)</f>
        <v>0</v>
      </c>
      <c r="W7" s="632" t="b">
        <f>IFERROR(__xludf.DUMMYFUNCTION("if($N$2,true,and(not(ISBLANK(XLOOKUP($O$2,Advancements!$I$2:$I44,Advancements!$L$2:$L44))),not(REGEXMATCH(XLOOKUP($O$2,Advancements!$I$2:$I44,Advancements!$L$2:$L44),LOWER(CONCATENATE($N7,""_"",W$5))))))"),FALSE)</f>
        <v>0</v>
      </c>
      <c r="X7" s="622"/>
      <c r="AA7" s="622"/>
    </row>
    <row r="8">
      <c r="C8" s="175" t="b">
        <f>IFERROR(__xludf.DUMMYFUNCTION("if($C$2,true,and(not(ISBLANK(XLOOKUP($D$2,Advancements!$I$2:$I44,Advancements!$L$2:$L44))),not(REGEXMATCH(XLOOKUP($D$2,Advancements!$I$2:$I44,Advancements!$L$2:$L44),lower(D8)))))"),FALSE)</f>
        <v>0</v>
      </c>
      <c r="D8" s="51" t="s">
        <v>7368</v>
      </c>
      <c r="E8" s="51" t="b">
        <f>IFERROR(__xludf.DUMMYFUNCTION("if($C$2,true,and(not(ISBLANK(XLOOKUP($D$2,Advancements!$I$2:$I44,Advancements!$L$2:$L44))),not(REGEXMATCH(XLOOKUP($D$2,Advancements!$I$2:$I44,Advancements!$L$2:$L44),lower(F8)))))"),FALSE)</f>
        <v>0</v>
      </c>
      <c r="F8" s="51" t="s">
        <v>7369</v>
      </c>
      <c r="G8" s="357" t="b">
        <f>IFERROR(__xludf.DUMMYFUNCTION("if($C$2,true,and(not(ISBLANK(XLOOKUP($D$2,Advancements!$I$2:$I44,Advancements!$L$2:$L44))),not(REGEXMATCH(XLOOKUP($D$2,Advancements!$I$2:$I44,Advancements!$L$2:$L44),lower(H8)))))"),FALSE)</f>
        <v>0</v>
      </c>
      <c r="H8" s="610" t="s">
        <v>7370</v>
      </c>
      <c r="J8" s="623" t="b">
        <f>IFERROR(__xludf.DUMMYFUNCTION("if($C$2,true,and(not(ISBLANK(XLOOKUP($D$2,Advancements!$I$2:$I44,Advancements!$L$2:$L44))),not(REGEXMATCH(XLOOKUP($D$2,Advancements!$I$2:$I44,Advancements!$L$2:$L44),lower(K8)))))"),FALSE)</f>
        <v>0</v>
      </c>
      <c r="K8" s="610" t="s">
        <v>7371</v>
      </c>
      <c r="N8" s="633" t="s">
        <v>7372</v>
      </c>
      <c r="P8" s="634"/>
      <c r="Q8" s="635" t="b">
        <f>IFERROR(__xludf.DUMMYFUNCTION("if($N$2,true,and(not(ISBLANK(XLOOKUP($O$2,Advancements!$I$2:$I44,Advancements!$L$2:$L44))),not(REGEXMATCH(XLOOKUP($O$2,Advancements!$I$2:$I44,Advancements!$L$2:$L44),LOWER(CONCATENATE($N8,""_"",Q$5))))))"),FALSE)</f>
        <v>0</v>
      </c>
      <c r="R8" s="636" t="b">
        <f>IFERROR(__xludf.DUMMYFUNCTION("if($N$2,true,and(not(ISBLANK(XLOOKUP($O$2,Advancements!$I$2:$I44,Advancements!$L$2:$L44))),not(REGEXMATCH(XLOOKUP($O$2,Advancements!$I$2:$I44,Advancements!$L$2:$L44),LOWER(CONCATENATE($N8,""_"",R$5))))))"),FALSE)</f>
        <v>0</v>
      </c>
      <c r="S8" s="637" t="b">
        <f>IFERROR(__xludf.DUMMYFUNCTION("if($N$2,true,and(not(ISBLANK(XLOOKUP($O$2,Advancements!$I$2:$I44,Advancements!$L$2:$L44))),not(REGEXMATCH(XLOOKUP($O$2,Advancements!$I$2:$I44,Advancements!$L$2:$L44),LOWER(CONCATENATE($N8,""_"",S$5))))))"),FALSE)</f>
        <v>0</v>
      </c>
      <c r="T8" s="239" t="b">
        <f>IFERROR(__xludf.DUMMYFUNCTION("if($N$2,true,and(not(ISBLANK(XLOOKUP($O$2,Advancements!$I$2:$I44,Advancements!$L$2:$L44))),not(REGEXMATCH(XLOOKUP($O$2,Advancements!$I$2:$I44,Advancements!$L$2:$L44),LOWER(CONCATENATE($N8,""_"",T$5))))))"),FALSE)</f>
        <v>0</v>
      </c>
      <c r="U8" s="635" t="b">
        <f>IFERROR(__xludf.DUMMYFUNCTION("if($N$2,true,and(not(ISBLANK(XLOOKUP($O$2,Advancements!$I$2:$I44,Advancements!$L$2:$L44))),not(REGEXMATCH(XLOOKUP($O$2,Advancements!$I$2:$I44,Advancements!$L$2:$L44),LOWER(CONCATENATE($N8,""_"",U$5))))))"),FALSE)</f>
        <v>0</v>
      </c>
      <c r="V8" s="638" t="b">
        <f>IFERROR(__xludf.DUMMYFUNCTION("if($N$2,true,and(not(ISBLANK(XLOOKUP($O$2,Advancements!$I$2:$I44,Advancements!$L$2:$L44))),not(REGEXMATCH(XLOOKUP($O$2,Advancements!$I$2:$I44,Advancements!$L$2:$L44),LOWER(CONCATENATE($N8,""_"",V$5))))))"),FALSE)</f>
        <v>0</v>
      </c>
      <c r="W8" s="639" t="b">
        <f>IFERROR(__xludf.DUMMYFUNCTION("if($N$2,true,and(not(ISBLANK(XLOOKUP($O$2,Advancements!$I$2:$I44,Advancements!$L$2:$L44))),not(REGEXMATCH(XLOOKUP($O$2,Advancements!$I$2:$I44,Advancements!$L$2:$L44),LOWER(CONCATENATE($N8,""_"",W$5))))))"),FALSE)</f>
        <v>0</v>
      </c>
      <c r="X8" s="622"/>
      <c r="AA8" s="622"/>
    </row>
    <row r="9">
      <c r="C9" s="175" t="b">
        <f>IFERROR(__xludf.DUMMYFUNCTION("if($C$2,true,and(not(ISBLANK(XLOOKUP($D$2,Advancements!$I$2:$I44,Advancements!$L$2:$L44))),not(REGEXMATCH(XLOOKUP($D$2,Advancements!$I$2:$I44,Advancements!$L$2:$L44),lower(D9)))))"),FALSE)</f>
        <v>0</v>
      </c>
      <c r="D9" s="51" t="s">
        <v>7373</v>
      </c>
      <c r="E9" s="51" t="b">
        <f>IFERROR(__xludf.DUMMYFUNCTION("if($C$2,true,and(not(ISBLANK(XLOOKUP($D$2,Advancements!$I$2:$I44,Advancements!$L$2:$L44))),not(REGEXMATCH(XLOOKUP($D$2,Advancements!$I$2:$I44,Advancements!$L$2:$L44),lower(F9)))))"),FALSE)</f>
        <v>0</v>
      </c>
      <c r="F9" s="51" t="s">
        <v>7374</v>
      </c>
      <c r="G9" s="357" t="b">
        <f>IFERROR(__xludf.DUMMYFUNCTION("if($C$2,true,and(not(ISBLANK(XLOOKUP($D$2,Advancements!$I$2:$I44,Advancements!$L$2:$L44))),not(REGEXMATCH(XLOOKUP($D$2,Advancements!$I$2:$I44,Advancements!$L$2:$L44),lower(H9)))))"),FALSE)</f>
        <v>0</v>
      </c>
      <c r="H9" s="610" t="s">
        <v>7375</v>
      </c>
      <c r="J9" s="175" t="b">
        <f>IFERROR(__xludf.DUMMYFUNCTION("if($C$2,true,and(not(ISBLANK(XLOOKUP($D$2,Advancements!$I$2:$I44,Advancements!$L$2:$L44))),not(REGEXMATCH(XLOOKUP($D$2,Advancements!$I$2:$I44,Advancements!$L$2:$L44),lower(K9)))))"),FALSE)</f>
        <v>0</v>
      </c>
      <c r="K9" s="176" t="s">
        <v>7376</v>
      </c>
      <c r="N9" s="633" t="s">
        <v>7377</v>
      </c>
      <c r="P9" s="634"/>
      <c r="Q9" s="635" t="b">
        <f>IFERROR(__xludf.DUMMYFUNCTION("if($N$2,true,and(not(ISBLANK(XLOOKUP($O$2,Advancements!$I$2:$I44,Advancements!$L$2:$L44))),not(REGEXMATCH(XLOOKUP($O$2,Advancements!$I$2:$I44,Advancements!$L$2:$L44),LOWER(CONCATENATE($N9,""_"",Q$5))))))"),FALSE)</f>
        <v>0</v>
      </c>
      <c r="R9" s="636" t="b">
        <f>IFERROR(__xludf.DUMMYFUNCTION("if($N$2,true,and(not(ISBLANK(XLOOKUP($O$2,Advancements!$I$2:$I44,Advancements!$L$2:$L44))),not(REGEXMATCH(XLOOKUP($O$2,Advancements!$I$2:$I44,Advancements!$L$2:$L44),LOWER(CONCATENATE($N9,""_"",R$5))))))"),FALSE)</f>
        <v>0</v>
      </c>
      <c r="S9" s="637" t="b">
        <f>IFERROR(__xludf.DUMMYFUNCTION("if($N$2,true,and(not(ISBLANK(XLOOKUP($O$2,Advancements!$I$2:$I44,Advancements!$L$2:$L44))),not(REGEXMATCH(XLOOKUP($O$2,Advancements!$I$2:$I44,Advancements!$L$2:$L44),LOWER(CONCATENATE($N9,""_"",S$5))))))"),FALSE)</f>
        <v>0</v>
      </c>
      <c r="T9" s="239" t="b">
        <f>IFERROR(__xludf.DUMMYFUNCTION("if($N$2,true,and(not(ISBLANK(XLOOKUP($O$2,Advancements!$I$2:$I44,Advancements!$L$2:$L44))),not(REGEXMATCH(XLOOKUP($O$2,Advancements!$I$2:$I44,Advancements!$L$2:$L44),LOWER(CONCATENATE($N9,""_"",T$5))))))"),FALSE)</f>
        <v>0</v>
      </c>
      <c r="U9" s="635" t="b">
        <f>IFERROR(__xludf.DUMMYFUNCTION("if($N$2,true,and(not(ISBLANK(XLOOKUP($O$2,Advancements!$I$2:$I44,Advancements!$L$2:$L44))),not(REGEXMATCH(XLOOKUP($O$2,Advancements!$I$2:$I44,Advancements!$L$2:$L44),LOWER(CONCATENATE($N9,""_"",U$5))))))"),FALSE)</f>
        <v>0</v>
      </c>
      <c r="V9" s="638" t="b">
        <f>IFERROR(__xludf.DUMMYFUNCTION("if($N$2,true,and(not(ISBLANK(XLOOKUP($O$2,Advancements!$I$2:$I44,Advancements!$L$2:$L44))),not(REGEXMATCH(XLOOKUP($O$2,Advancements!$I$2:$I44,Advancements!$L$2:$L44),LOWER(CONCATENATE($N9,""_"",V$5))))))"),FALSE)</f>
        <v>0</v>
      </c>
      <c r="W9" s="639" t="b">
        <f>IFERROR(__xludf.DUMMYFUNCTION("if($N$2,true,and(not(ISBLANK(XLOOKUP($O$2,Advancements!$I$2:$I44,Advancements!$L$2:$L44))),not(REGEXMATCH(XLOOKUP($O$2,Advancements!$I$2:$I44,Advancements!$L$2:$L44),LOWER(CONCATENATE($N9,""_"",W$5))))))"),FALSE)</f>
        <v>0</v>
      </c>
      <c r="X9" s="622"/>
      <c r="AA9" s="622"/>
    </row>
    <row r="10">
      <c r="C10" s="175" t="b">
        <f>IFERROR(__xludf.DUMMYFUNCTION("if($C$2,true,and(not(ISBLANK(XLOOKUP($D$2,Advancements!$I$2:$I44,Advancements!$L$2:$L44))),not(REGEXMATCH(XLOOKUP($D$2,Advancements!$I$2:$I44,Advancements!$L$2:$L44),lower(D10)))))"),FALSE)</f>
        <v>0</v>
      </c>
      <c r="D10" s="51" t="s">
        <v>7378</v>
      </c>
      <c r="E10" s="357" t="b">
        <f>IFERROR(__xludf.DUMMYFUNCTION("if($C$2,true,and(not(ISBLANK(XLOOKUP($D$2,Advancements!$I$2:$I44,Advancements!$L$2:$L44))),not(REGEXMATCH(XLOOKUP($D$2,Advancements!$I$2:$I44,Advancements!$L$2:$L44),lower(F10)))))"),FALSE)</f>
        <v>0</v>
      </c>
      <c r="F10" s="357" t="s">
        <v>7379</v>
      </c>
      <c r="G10" s="51" t="b">
        <f>IFERROR(__xludf.DUMMYFUNCTION("if($C$2,true,and(not(ISBLANK(XLOOKUP($D$2,Advancements!$I$2:$I44,Advancements!$L$2:$L44))),not(REGEXMATCH(XLOOKUP($D$2,Advancements!$I$2:$I44,Advancements!$L$2:$L44),lower(H10)))))"),FALSE)</f>
        <v>0</v>
      </c>
      <c r="H10" s="176" t="s">
        <v>7380</v>
      </c>
      <c r="J10" s="640" t="b">
        <f>IFERROR(__xludf.DUMMYFUNCTION("if($C$2,true,and(not(ISBLANK(XLOOKUP($D$2,Advancements!$I$2:$I44,Advancements!$L$2:$L44))),not(REGEXMATCH(XLOOKUP($D$2,Advancements!$I$2:$I44,Advancements!$L$2:$L44),lower(K10)))))"),FALSE)</f>
        <v>0</v>
      </c>
      <c r="K10" s="641" t="s">
        <v>7381</v>
      </c>
      <c r="N10" s="633" t="s">
        <v>7382</v>
      </c>
      <c r="P10" s="634"/>
      <c r="Q10" s="635" t="b">
        <f>IFERROR(__xludf.DUMMYFUNCTION("if($N$2,true,and(not(ISBLANK(XLOOKUP($O$2,Advancements!$I$2:$I44,Advancements!$L$2:$L44))),not(REGEXMATCH(XLOOKUP($O$2,Advancements!$I$2:$I44,Advancements!$L$2:$L44),LOWER(CONCATENATE($N10,""_"",Q$5))))))"),FALSE)</f>
        <v>0</v>
      </c>
      <c r="R10" s="636" t="b">
        <f>IFERROR(__xludf.DUMMYFUNCTION("if($N$2,true,and(not(ISBLANK(XLOOKUP($O$2,Advancements!$I$2:$I44,Advancements!$L$2:$L44))),not(REGEXMATCH(XLOOKUP($O$2,Advancements!$I$2:$I44,Advancements!$L$2:$L44),LOWER(CONCATENATE($N10,""_"",R$5))))))"),FALSE)</f>
        <v>0</v>
      </c>
      <c r="S10" s="637" t="b">
        <f>IFERROR(__xludf.DUMMYFUNCTION("if($N$2,true,and(not(ISBLANK(XLOOKUP($O$2,Advancements!$I$2:$I44,Advancements!$L$2:$L44))),not(REGEXMATCH(XLOOKUP($O$2,Advancements!$I$2:$I44,Advancements!$L$2:$L44),LOWER(CONCATENATE($N10,""_"",S$5))))))"),FALSE)</f>
        <v>0</v>
      </c>
      <c r="T10" s="239" t="b">
        <f>IFERROR(__xludf.DUMMYFUNCTION("if($N$2,true,and(not(ISBLANK(XLOOKUP($O$2,Advancements!$I$2:$I44,Advancements!$L$2:$L44))),not(REGEXMATCH(XLOOKUP($O$2,Advancements!$I$2:$I44,Advancements!$L$2:$L44),LOWER(CONCATENATE($N10,""_"",T$5))))))"),FALSE)</f>
        <v>0</v>
      </c>
      <c r="U10" s="635" t="b">
        <f>IFERROR(__xludf.DUMMYFUNCTION("if($N$2,true,and(not(ISBLANK(XLOOKUP($O$2,Advancements!$I$2:$I44,Advancements!$L$2:$L44))),not(REGEXMATCH(XLOOKUP($O$2,Advancements!$I$2:$I44,Advancements!$L$2:$L44),LOWER(CONCATENATE($N10,""_"",U$5))))))"),FALSE)</f>
        <v>0</v>
      </c>
      <c r="V10" s="638" t="b">
        <f>IFERROR(__xludf.DUMMYFUNCTION("if($N$2,true,and(not(ISBLANK(XLOOKUP($O$2,Advancements!$I$2:$I44,Advancements!$L$2:$L44))),not(REGEXMATCH(XLOOKUP($O$2,Advancements!$I$2:$I44,Advancements!$L$2:$L44),LOWER(CONCATENATE($N10,""_"",V$5))))))"),FALSE)</f>
        <v>0</v>
      </c>
      <c r="W10" s="639" t="b">
        <f>IFERROR(__xludf.DUMMYFUNCTION("if($N$2,true,and(not(ISBLANK(XLOOKUP($O$2,Advancements!$I$2:$I44,Advancements!$L$2:$L44))),not(REGEXMATCH(XLOOKUP($O$2,Advancements!$I$2:$I44,Advancements!$L$2:$L44),LOWER(CONCATENATE($N10,""_"",W$5))))))"),FALSE)</f>
        <v>0</v>
      </c>
      <c r="X10" s="622"/>
      <c r="AA10" s="622"/>
    </row>
    <row r="11">
      <c r="C11" s="175" t="b">
        <f>IFERROR(__xludf.DUMMYFUNCTION("if($C$2,true,and(not(ISBLANK(XLOOKUP($D$2,Advancements!$I$2:$I44,Advancements!$L$2:$L44))),not(REGEXMATCH(XLOOKUP($D$2,Advancements!$I$2:$I44,Advancements!$L$2:$L44),lower(D11)))))"),FALSE)</f>
        <v>0</v>
      </c>
      <c r="D11" s="51" t="s">
        <v>7383</v>
      </c>
      <c r="E11" s="357" t="b">
        <f>IFERROR(__xludf.DUMMYFUNCTION("if($C$2,true,and(not(ISBLANK(XLOOKUP($D$2,Advancements!$I$2:$I44,Advancements!$L$2:$L44))),not(REGEXMATCH(XLOOKUP($D$2,Advancements!$I$2:$I44,Advancements!$L$2:$L44),lower(F11)))))"),FALSE)</f>
        <v>0</v>
      </c>
      <c r="F11" s="357" t="s">
        <v>7384</v>
      </c>
      <c r="G11" s="51" t="b">
        <f>IFERROR(__xludf.DUMMYFUNCTION("if($C$2,true,and(not(ISBLANK(XLOOKUP($D$2,Advancements!$I$2:$I44,Advancements!$L$2:$L44))),not(REGEXMATCH(XLOOKUP($D$2,Advancements!$I$2:$I44,Advancements!$L$2:$L44),lower(H11)))))"),FALSE)</f>
        <v>0</v>
      </c>
      <c r="H11" s="176" t="s">
        <v>7385</v>
      </c>
      <c r="N11" s="633" t="s">
        <v>7386</v>
      </c>
      <c r="P11" s="634"/>
      <c r="Q11" s="635" t="b">
        <f>IFERROR(__xludf.DUMMYFUNCTION("if($N$2,true,and(not(ISBLANK(XLOOKUP($O$2,Advancements!$I$2:$I44,Advancements!$L$2:$L44))),not(REGEXMATCH(XLOOKUP($O$2,Advancements!$I$2:$I44,Advancements!$L$2:$L44),LOWER(CONCATENATE($N11,""_"",Q$5))))))"),FALSE)</f>
        <v>0</v>
      </c>
      <c r="R11" s="636" t="b">
        <f>IFERROR(__xludf.DUMMYFUNCTION("if($N$2,true,and(not(ISBLANK(XLOOKUP($O$2,Advancements!$I$2:$I44,Advancements!$L$2:$L44))),not(REGEXMATCH(XLOOKUP($O$2,Advancements!$I$2:$I44,Advancements!$L$2:$L44),LOWER(CONCATENATE($N11,""_"",R$5))))))"),FALSE)</f>
        <v>0</v>
      </c>
      <c r="S11" s="637" t="b">
        <f>IFERROR(__xludf.DUMMYFUNCTION("if($N$2,true,and(not(ISBLANK(XLOOKUP($O$2,Advancements!$I$2:$I44,Advancements!$L$2:$L44))),not(REGEXMATCH(XLOOKUP($O$2,Advancements!$I$2:$I44,Advancements!$L$2:$L44),LOWER(CONCATENATE($N11,""_"",S$5))))))"),FALSE)</f>
        <v>0</v>
      </c>
      <c r="T11" s="239" t="b">
        <f>IFERROR(__xludf.DUMMYFUNCTION("if($N$2,true,and(not(ISBLANK(XLOOKUP($O$2,Advancements!$I$2:$I44,Advancements!$L$2:$L44))),not(REGEXMATCH(XLOOKUP($O$2,Advancements!$I$2:$I44,Advancements!$L$2:$L44),LOWER(CONCATENATE($N11,""_"",T$5))))))"),FALSE)</f>
        <v>0</v>
      </c>
      <c r="U11" s="635" t="b">
        <f>IFERROR(__xludf.DUMMYFUNCTION("if($N$2,true,and(not(ISBLANK(XLOOKUP($O$2,Advancements!$I$2:$I44,Advancements!$L$2:$L44))),not(REGEXMATCH(XLOOKUP($O$2,Advancements!$I$2:$I44,Advancements!$L$2:$L44),LOWER(CONCATENATE($N11,""_"",U$5))))))"),FALSE)</f>
        <v>0</v>
      </c>
      <c r="V11" s="638" t="b">
        <f>IFERROR(__xludf.DUMMYFUNCTION("if($N$2,true,and(not(ISBLANK(XLOOKUP($O$2,Advancements!$I$2:$I44,Advancements!$L$2:$L44))),not(REGEXMATCH(XLOOKUP($O$2,Advancements!$I$2:$I44,Advancements!$L$2:$L44),LOWER(CONCATENATE($N11,""_"",V$5))))))"),FALSE)</f>
        <v>0</v>
      </c>
      <c r="W11" s="639" t="b">
        <f>IFERROR(__xludf.DUMMYFUNCTION("if($N$2,true,and(not(ISBLANK(XLOOKUP($O$2,Advancements!$I$2:$I44,Advancements!$L$2:$L44))),not(REGEXMATCH(XLOOKUP($O$2,Advancements!$I$2:$I44,Advancements!$L$2:$L44),LOWER(CONCATENATE($N11,""_"",W$5))))))"),FALSE)</f>
        <v>0</v>
      </c>
      <c r="X11" s="622"/>
      <c r="AA11" s="622"/>
    </row>
    <row r="12">
      <c r="C12" s="623" t="b">
        <f>IFERROR(__xludf.DUMMYFUNCTION("if($C$2,true,and(not(ISBLANK(XLOOKUP($D$2,Advancements!$I$2:$I44,Advancements!$L$2:$L44))),not(REGEXMATCH(XLOOKUP($D$2,Advancements!$I$2:$I44,Advancements!$L$2:$L44),lower(D12)))))"),FALSE)</f>
        <v>0</v>
      </c>
      <c r="D12" s="357" t="s">
        <v>7387</v>
      </c>
      <c r="E12" s="357" t="b">
        <f>IFERROR(__xludf.DUMMYFUNCTION("if($C$2,true,and(not(ISBLANK(XLOOKUP($D$2,Advancements!$I$2:$I44,Advancements!$L$2:$L44))),not(REGEXMATCH(XLOOKUP($D$2,Advancements!$I$2:$I44,Advancements!$L$2:$L44),lower(F12)))))"),FALSE)</f>
        <v>0</v>
      </c>
      <c r="F12" s="357" t="s">
        <v>7388</v>
      </c>
      <c r="G12" s="357" t="b">
        <f>IFERROR(__xludf.DUMMYFUNCTION("if($C$2,true,and(not(ISBLANK(XLOOKUP($D$2,Advancements!$I$2:$I44,Advancements!$L$2:$L44))),not(REGEXMATCH(XLOOKUP($D$2,Advancements!$I$2:$I44,Advancements!$L$2:$L44),lower(H12)))))"),FALSE)</f>
        <v>0</v>
      </c>
      <c r="H12" s="610" t="s">
        <v>7389</v>
      </c>
      <c r="J12" s="642" t="s">
        <v>7390</v>
      </c>
      <c r="K12" s="46"/>
      <c r="N12" s="633" t="s">
        <v>7391</v>
      </c>
      <c r="P12" s="634"/>
      <c r="Q12" s="635" t="b">
        <f>IFERROR(__xludf.DUMMYFUNCTION("if($N$2,true,and(not(ISBLANK(XLOOKUP($O$2,Advancements!$I$2:$I44,Advancements!$L$2:$L44))),not(REGEXMATCH(XLOOKUP($O$2,Advancements!$I$2:$I44,Advancements!$L$2:$L44),LOWER(CONCATENATE($N12,""_"",Q$5))))))"),FALSE)</f>
        <v>0</v>
      </c>
      <c r="R12" s="636" t="b">
        <f>IFERROR(__xludf.DUMMYFUNCTION("if($N$2,true,and(not(ISBLANK(XLOOKUP($O$2,Advancements!$I$2:$I44,Advancements!$L$2:$L44))),not(REGEXMATCH(XLOOKUP($O$2,Advancements!$I$2:$I44,Advancements!$L$2:$L44),LOWER(CONCATENATE($N12,""_"",R$5))))))"),FALSE)</f>
        <v>0</v>
      </c>
      <c r="S12" s="637" t="b">
        <f>IFERROR(__xludf.DUMMYFUNCTION("if($N$2,true,and(not(ISBLANK(XLOOKUP($O$2,Advancements!$I$2:$I44,Advancements!$L$2:$L44))),not(REGEXMATCH(XLOOKUP($O$2,Advancements!$I$2:$I44,Advancements!$L$2:$L44),LOWER(CONCATENATE($N12,""_"",S$5))))))"),FALSE)</f>
        <v>0</v>
      </c>
      <c r="T12" s="239" t="b">
        <f>IFERROR(__xludf.DUMMYFUNCTION("if($N$2,true,and(not(ISBLANK(XLOOKUP($O$2,Advancements!$I$2:$I44,Advancements!$L$2:$L44))),not(REGEXMATCH(XLOOKUP($O$2,Advancements!$I$2:$I44,Advancements!$L$2:$L44),LOWER(CONCATENATE($N12,""_"",T$5))))))"),FALSE)</f>
        <v>0</v>
      </c>
      <c r="U12" s="635" t="b">
        <f>IFERROR(__xludf.DUMMYFUNCTION("if($N$2,true,and(not(ISBLANK(XLOOKUP($O$2,Advancements!$I$2:$I44,Advancements!$L$2:$L44))),not(REGEXMATCH(XLOOKUP($O$2,Advancements!$I$2:$I44,Advancements!$L$2:$L44),LOWER(CONCATENATE($N12,""_"",U$5))))))"),FALSE)</f>
        <v>0</v>
      </c>
      <c r="V12" s="638" t="b">
        <f>IFERROR(__xludf.DUMMYFUNCTION("if($N$2,true,and(not(ISBLANK(XLOOKUP($O$2,Advancements!$I$2:$I44,Advancements!$L$2:$L44))),not(REGEXMATCH(XLOOKUP($O$2,Advancements!$I$2:$I44,Advancements!$L$2:$L44),LOWER(CONCATENATE($N12,""_"",V$5))))))"),FALSE)</f>
        <v>0</v>
      </c>
      <c r="W12" s="639" t="b">
        <f>IFERROR(__xludf.DUMMYFUNCTION("if($N$2,true,and(not(ISBLANK(XLOOKUP($O$2,Advancements!$I$2:$I44,Advancements!$L$2:$L44))),not(REGEXMATCH(XLOOKUP($O$2,Advancements!$I$2:$I44,Advancements!$L$2:$L44),LOWER(CONCATENATE($N12,""_"",W$5))))))"),FALSE)</f>
        <v>0</v>
      </c>
      <c r="X12" s="622"/>
      <c r="AA12" s="622"/>
    </row>
    <row r="13">
      <c r="C13" s="623" t="b">
        <f>IFERROR(__xludf.DUMMYFUNCTION("if($C$2,true,and(not(ISBLANK(XLOOKUP($D$2,Advancements!$I$2:$I44,Advancements!$L$2:$L44))),not(REGEXMATCH(XLOOKUP($D$2,Advancements!$I$2:$I44,Advancements!$L$2:$L44),lower(D13)))))"),FALSE)</f>
        <v>0</v>
      </c>
      <c r="D13" s="357" t="s">
        <v>7392</v>
      </c>
      <c r="E13" s="356" t="b">
        <f>IFERROR(__xludf.DUMMYFUNCTION("if($C$2,true,and(not(ISBLANK(XLOOKUP($D$2,Advancements!$I$2:$I44,Advancements!$L$2:$L44))),not(REGEXMATCH(XLOOKUP($D$2,Advancements!$I$2:$I44,Advancements!$L$2:$L44),lower(F13)))))"),FALSE)</f>
        <v>0</v>
      </c>
      <c r="F13" s="357" t="s">
        <v>7393</v>
      </c>
      <c r="G13" s="357" t="b">
        <f>IFERROR(__xludf.DUMMYFUNCTION("if($C$2,true,and(not(ISBLANK(XLOOKUP($D$2,Advancements!$I$2:$I44,Advancements!$L$2:$L44))),not(REGEXMATCH(XLOOKUP($D$2,Advancements!$I$2:$I44,Advancements!$L$2:$L44),lower(H13)))))"),FALSE)</f>
        <v>0</v>
      </c>
      <c r="H13" s="610" t="s">
        <v>7394</v>
      </c>
      <c r="J13" s="611" t="b">
        <f>IFERROR(__xludf.DUMMYFUNCTION("if($C$2,true,and(not(ISBLANK(XLOOKUP($D$2,Advancements!$I$2:$I44,Advancements!$L$2:$L44))),not(REGEXMATCH(XLOOKUP($D$2,Advancements!$I$2:$I44,Advancements!$L$2:$L44),lower(K13)))))"),FALSE)</f>
        <v>0</v>
      </c>
      <c r="K13" s="176" t="s">
        <v>7395</v>
      </c>
      <c r="N13" s="633" t="s">
        <v>7396</v>
      </c>
      <c r="P13" s="634"/>
      <c r="Q13" s="635" t="b">
        <f>IFERROR(__xludf.DUMMYFUNCTION("if($N$2,true,and(not(ISBLANK(XLOOKUP($O$2,Advancements!$I$2:$I44,Advancements!$L$2:$L44))),not(REGEXMATCH(XLOOKUP($O$2,Advancements!$I$2:$I44,Advancements!$L$2:$L44),LOWER(CONCATENATE($N13,""_"",Q$5))))))"),FALSE)</f>
        <v>0</v>
      </c>
      <c r="R13" s="636" t="b">
        <f>IFERROR(__xludf.DUMMYFUNCTION("if($N$2,true,and(not(ISBLANK(XLOOKUP($O$2,Advancements!$I$2:$I44,Advancements!$L$2:$L44))),not(REGEXMATCH(XLOOKUP($O$2,Advancements!$I$2:$I44,Advancements!$L$2:$L44),LOWER(CONCATENATE($N13,""_"",R$5))))))"),FALSE)</f>
        <v>0</v>
      </c>
      <c r="S13" s="637" t="b">
        <f>IFERROR(__xludf.DUMMYFUNCTION("if($N$2,true,and(not(ISBLANK(XLOOKUP($O$2,Advancements!$I$2:$I44,Advancements!$L$2:$L44))),not(REGEXMATCH(XLOOKUP($O$2,Advancements!$I$2:$I44,Advancements!$L$2:$L44),LOWER(CONCATENATE($N13,""_"",S$5))))))"),FALSE)</f>
        <v>0</v>
      </c>
      <c r="T13" s="239" t="b">
        <f>IFERROR(__xludf.DUMMYFUNCTION("if($N$2,true,and(not(ISBLANK(XLOOKUP($O$2,Advancements!$I$2:$I44,Advancements!$L$2:$L44))),not(REGEXMATCH(XLOOKUP($O$2,Advancements!$I$2:$I44,Advancements!$L$2:$L44),LOWER(CONCATENATE($N13,""_"",T$5))))))"),FALSE)</f>
        <v>0</v>
      </c>
      <c r="U13" s="635" t="b">
        <f>IFERROR(__xludf.DUMMYFUNCTION("if($N$2,true,and(not(ISBLANK(XLOOKUP($O$2,Advancements!$I$2:$I44,Advancements!$L$2:$L44))),not(REGEXMATCH(XLOOKUP($O$2,Advancements!$I$2:$I44,Advancements!$L$2:$L44),LOWER(CONCATENATE($N13,""_"",U$5))))))"),FALSE)</f>
        <v>0</v>
      </c>
      <c r="V13" s="638" t="b">
        <f>IFERROR(__xludf.DUMMYFUNCTION("if($N$2,true,and(not(ISBLANK(XLOOKUP($O$2,Advancements!$I$2:$I44,Advancements!$L$2:$L44))),not(REGEXMATCH(XLOOKUP($O$2,Advancements!$I$2:$I44,Advancements!$L$2:$L44),LOWER(CONCATENATE($N13,""_"",V$5))))))"),FALSE)</f>
        <v>0</v>
      </c>
      <c r="W13" s="639" t="b">
        <f>IFERROR(__xludf.DUMMYFUNCTION("if($N$2,true,and(not(ISBLANK(XLOOKUP($O$2,Advancements!$I$2:$I44,Advancements!$L$2:$L44))),not(REGEXMATCH(XLOOKUP($O$2,Advancements!$I$2:$I44,Advancements!$L$2:$L44),LOWER(CONCATENATE($N13,""_"",W$5))))))"),FALSE)</f>
        <v>0</v>
      </c>
      <c r="X13" s="622"/>
      <c r="AA13" s="622"/>
    </row>
    <row r="14">
      <c r="C14" s="623" t="b">
        <f>IFERROR(__xludf.DUMMYFUNCTION("if($C$2,true,and(not(ISBLANK(XLOOKUP($D$2,Advancements!$I$2:$I44,Advancements!$L$2:$L44))),not(REGEXMATCH(XLOOKUP($D$2,Advancements!$I$2:$I44,Advancements!$L$2:$L44),lower(D14)))))"),FALSE)</f>
        <v>0</v>
      </c>
      <c r="D14" s="357" t="s">
        <v>7397</v>
      </c>
      <c r="E14" s="357" t="b">
        <f>IFERROR(__xludf.DUMMYFUNCTION("if($C$2,true,and(not(ISBLANK(XLOOKUP($D$2,Advancements!$I$2:$I44,Advancements!$L$2:$L44))),not(REGEXMATCH(XLOOKUP($D$2,Advancements!$I$2:$I44,Advancements!$L$2:$L44),lower(F14)))))"),FALSE)</f>
        <v>0</v>
      </c>
      <c r="F14" s="357" t="s">
        <v>7398</v>
      </c>
      <c r="G14" s="357" t="b">
        <f>IFERROR(__xludf.DUMMYFUNCTION("if($C$2,true,and(not(ISBLANK(XLOOKUP($D$2,Advancements!$I$2:$I44,Advancements!$L$2:$L44))),not(REGEXMATCH(XLOOKUP($D$2,Advancements!$I$2:$I44,Advancements!$L$2:$L44),lower(H14)))))"),FALSE)</f>
        <v>0</v>
      </c>
      <c r="H14" s="610" t="s">
        <v>7399</v>
      </c>
      <c r="J14" s="175" t="b">
        <f>IFERROR(__xludf.DUMMYFUNCTION("if($C$2,true,and(not(ISBLANK(XLOOKUP($D$2,Advancements!$I$2:$I44,Advancements!$L$2:$L44))),not(REGEXMATCH(XLOOKUP($D$2,Advancements!$I$2:$I44,Advancements!$L$2:$L44),lower(K14)))))"),FALSE)</f>
        <v>0</v>
      </c>
      <c r="K14" s="176" t="s">
        <v>7400</v>
      </c>
      <c r="N14" s="633" t="s">
        <v>7401</v>
      </c>
      <c r="P14" s="634"/>
      <c r="Q14" s="635" t="b">
        <f>IFERROR(__xludf.DUMMYFUNCTION("if($N$2,true,and(not(ISBLANK(XLOOKUP($O$2,Advancements!$I$2:$I44,Advancements!$L$2:$L44))),not(REGEXMATCH(XLOOKUP($O$2,Advancements!$I$2:$I44,Advancements!$L$2:$L44),LOWER(CONCATENATE($N14,""_"",Q$5))))))"),FALSE)</f>
        <v>0</v>
      </c>
      <c r="R14" s="636" t="b">
        <f>IFERROR(__xludf.DUMMYFUNCTION("if($N$2,true,and(not(ISBLANK(XLOOKUP($O$2,Advancements!$I$2:$I44,Advancements!$L$2:$L44))),not(REGEXMATCH(XLOOKUP($O$2,Advancements!$I$2:$I44,Advancements!$L$2:$L44),LOWER(CONCATENATE($N14,""_"",R$5))))))"),FALSE)</f>
        <v>0</v>
      </c>
      <c r="S14" s="637" t="b">
        <f>IFERROR(__xludf.DUMMYFUNCTION("if($N$2,true,and(not(ISBLANK(XLOOKUP($O$2,Advancements!$I$2:$I44,Advancements!$L$2:$L44))),not(REGEXMATCH(XLOOKUP($O$2,Advancements!$I$2:$I44,Advancements!$L$2:$L44),LOWER(CONCATENATE($N14,""_"",S$5))))))"),FALSE)</f>
        <v>0</v>
      </c>
      <c r="T14" s="239" t="b">
        <f>IFERROR(__xludf.DUMMYFUNCTION("if($N$2,true,and(not(ISBLANK(XLOOKUP($O$2,Advancements!$I$2:$I44,Advancements!$L$2:$L44))),not(REGEXMATCH(XLOOKUP($O$2,Advancements!$I$2:$I44,Advancements!$L$2:$L44),LOWER(CONCATENATE($N14,""_"",T$5))))))"),FALSE)</f>
        <v>0</v>
      </c>
      <c r="U14" s="635" t="b">
        <f>IFERROR(__xludf.DUMMYFUNCTION("if($N$2,true,and(not(ISBLANK(XLOOKUP($O$2,Advancements!$I$2:$I44,Advancements!$L$2:$L44))),not(REGEXMATCH(XLOOKUP($O$2,Advancements!$I$2:$I44,Advancements!$L$2:$L44),LOWER(CONCATENATE($N14,""_"",U$5))))))"),FALSE)</f>
        <v>0</v>
      </c>
      <c r="V14" s="638" t="b">
        <f>IFERROR(__xludf.DUMMYFUNCTION("if($N$2,true,and(not(ISBLANK(XLOOKUP($O$2,Advancements!$I$2:$I44,Advancements!$L$2:$L44))),not(REGEXMATCH(XLOOKUP($O$2,Advancements!$I$2:$I44,Advancements!$L$2:$L44),LOWER(CONCATENATE($N14,""_"",V$5))))))"),FALSE)</f>
        <v>0</v>
      </c>
      <c r="W14" s="639" t="b">
        <f>IFERROR(__xludf.DUMMYFUNCTION("if($N$2,true,and(not(ISBLANK(XLOOKUP($O$2,Advancements!$I$2:$I44,Advancements!$L$2:$L44))),not(REGEXMATCH(XLOOKUP($O$2,Advancements!$I$2:$I44,Advancements!$L$2:$L44),LOWER(CONCATENATE($N14,""_"",W$5))))))"),FALSE)</f>
        <v>0</v>
      </c>
      <c r="X14" s="622"/>
      <c r="AA14" s="622"/>
    </row>
    <row r="15">
      <c r="C15" s="623" t="b">
        <f>IFERROR(__xludf.DUMMYFUNCTION("if($C$2,true,and(not(ISBLANK(XLOOKUP($D$2,Advancements!$I$2:$I44,Advancements!$L$2:$L44))),not(REGEXMATCH(XLOOKUP($D$2,Advancements!$I$2:$I44,Advancements!$L$2:$L44),lower(D15)))))"),FALSE)</f>
        <v>0</v>
      </c>
      <c r="D15" s="357" t="s">
        <v>7402</v>
      </c>
      <c r="E15" s="51" t="b">
        <f>IFERROR(__xludf.DUMMYFUNCTION("if($C$2,true,and(not(ISBLANK(XLOOKUP($D$2,Advancements!$I$2:$I44,Advancements!$L$2:$L44))),not(REGEXMATCH(XLOOKUP($D$2,Advancements!$I$2:$I44,Advancements!$L$2:$L44),lower(F15)))))"),FALSE)</f>
        <v>0</v>
      </c>
      <c r="F15" s="51" t="s">
        <v>7403</v>
      </c>
      <c r="G15" s="51" t="b">
        <f>IFERROR(__xludf.DUMMYFUNCTION("if($C$2,true,and(not(ISBLANK(XLOOKUP($D$2,Advancements!$I$2:$I44,Advancements!$L$2:$L44))),not(REGEXMATCH(XLOOKUP($D$2,Advancements!$I$2:$I44,Advancements!$L$2:$L44),lower(H15)))))"),FALSE)</f>
        <v>0</v>
      </c>
      <c r="H15" s="176" t="s">
        <v>7404</v>
      </c>
      <c r="J15" s="175" t="b">
        <f>IFERROR(__xludf.DUMMYFUNCTION("if($C$2,true,and(not(ISBLANK(XLOOKUP($D$2,Advancements!$I$2:$I44,Advancements!$L$2:$L44))),not(REGEXMATCH(XLOOKUP($D$2,Advancements!$I$2:$I44,Advancements!$L$2:$L44),lower(K15)))))"),FALSE)</f>
        <v>0</v>
      </c>
      <c r="K15" s="176" t="s">
        <v>7405</v>
      </c>
      <c r="N15" s="633" t="s">
        <v>7406</v>
      </c>
      <c r="P15" s="634"/>
      <c r="Q15" s="635" t="b">
        <f>IFERROR(__xludf.DUMMYFUNCTION("if($N$2,true,and(not(ISBLANK(XLOOKUP($O$2,Advancements!$I$2:$I44,Advancements!$L$2:$L44))),not(REGEXMATCH(XLOOKUP($O$2,Advancements!$I$2:$I44,Advancements!$L$2:$L44),LOWER(CONCATENATE($N15,""_"",Q$5))))))"),FALSE)</f>
        <v>0</v>
      </c>
      <c r="R15" s="636" t="b">
        <f>IFERROR(__xludf.DUMMYFUNCTION("if($N$2,true,and(not(ISBLANK(XLOOKUP($O$2,Advancements!$I$2:$I44,Advancements!$L$2:$L44))),not(REGEXMATCH(XLOOKUP($O$2,Advancements!$I$2:$I44,Advancements!$L$2:$L44),LOWER(CONCATENATE($N15,""_"",R$5))))))"),FALSE)</f>
        <v>0</v>
      </c>
      <c r="S15" s="637" t="b">
        <f>IFERROR(__xludf.DUMMYFUNCTION("if($N$2,true,and(not(ISBLANK(XLOOKUP($O$2,Advancements!$I$2:$I44,Advancements!$L$2:$L44))),not(REGEXMATCH(XLOOKUP($O$2,Advancements!$I$2:$I44,Advancements!$L$2:$L44),LOWER(CONCATENATE($N15,""_"",S$5))))))"),FALSE)</f>
        <v>0</v>
      </c>
      <c r="T15" s="239" t="b">
        <f>IFERROR(__xludf.DUMMYFUNCTION("if($N$2,true,and(not(ISBLANK(XLOOKUP($O$2,Advancements!$I$2:$I44,Advancements!$L$2:$L44))),not(REGEXMATCH(XLOOKUP($O$2,Advancements!$I$2:$I44,Advancements!$L$2:$L44),LOWER(CONCATENATE($N15,""_"",T$5))))))"),FALSE)</f>
        <v>0</v>
      </c>
      <c r="U15" s="635" t="b">
        <f>IFERROR(__xludf.DUMMYFUNCTION("if($N$2,true,and(not(ISBLANK(XLOOKUP($O$2,Advancements!$I$2:$I44,Advancements!$L$2:$L44))),not(REGEXMATCH(XLOOKUP($O$2,Advancements!$I$2:$I44,Advancements!$L$2:$L44),LOWER(CONCATENATE($N15,""_"",U$5))))))"),FALSE)</f>
        <v>0</v>
      </c>
      <c r="V15" s="638" t="b">
        <f>IFERROR(__xludf.DUMMYFUNCTION("if($N$2,true,and(not(ISBLANK(XLOOKUP($O$2,Advancements!$I$2:$I44,Advancements!$L$2:$L44))),not(REGEXMATCH(XLOOKUP($O$2,Advancements!$I$2:$I44,Advancements!$L$2:$L44),LOWER(CONCATENATE($N15,""_"",V$5))))))"),FALSE)</f>
        <v>0</v>
      </c>
      <c r="W15" s="639" t="b">
        <f>IFERROR(__xludf.DUMMYFUNCTION("if($N$2,true,and(not(ISBLANK(XLOOKUP($O$2,Advancements!$I$2:$I44,Advancements!$L$2:$L44))),not(REGEXMATCH(XLOOKUP($O$2,Advancements!$I$2:$I44,Advancements!$L$2:$L44),LOWER(CONCATENATE($N15,""_"",W$5))))))"),FALSE)</f>
        <v>0</v>
      </c>
      <c r="X15" s="622"/>
      <c r="AA15" s="622"/>
    </row>
    <row r="16">
      <c r="C16" s="175" t="b">
        <f>IFERROR(__xludf.DUMMYFUNCTION("if($C$2,true,and(not(ISBLANK(XLOOKUP($D$2,Advancements!$I$2:$I44,Advancements!$L$2:$L44))),not(REGEXMATCH(XLOOKUP($D$2,Advancements!$I$2:$I44,Advancements!$L$2:$L44),lower(D16)))))"),FALSE)</f>
        <v>0</v>
      </c>
      <c r="D16" s="51" t="s">
        <v>7407</v>
      </c>
      <c r="E16" s="357" t="b">
        <f>IFERROR(__xludf.DUMMYFUNCTION("if($C$2,true,and(not(ISBLANK(XLOOKUP($D$2,Advancements!$I$2:$I44,Advancements!$L$2:$L44))),not(REGEXMATCH(XLOOKUP($D$2,Advancements!$I$2:$I44,Advancements!$L$2:$L44),lower(F16)))))"),FALSE)</f>
        <v>0</v>
      </c>
      <c r="F16" s="357" t="s">
        <v>7408</v>
      </c>
      <c r="G16" s="51" t="b">
        <f>IFERROR(__xludf.DUMMYFUNCTION("if($C$2,true,and(not(ISBLANK(XLOOKUP($D$2,Advancements!$I$2:$I44,Advancements!$L$2:$L44))),not(REGEXMATCH(XLOOKUP($D$2,Advancements!$I$2:$I44,Advancements!$L$2:$L44),lower(H16)))))"),FALSE)</f>
        <v>0</v>
      </c>
      <c r="H16" s="176" t="s">
        <v>7409</v>
      </c>
      <c r="J16" s="643" t="b">
        <f>IFERROR(__xludf.DUMMYFUNCTION("if($C$2,true,and(not(ISBLANK(XLOOKUP($D$2,Advancements!$I$2:$I44,Advancements!$L$2:$L44))),not(REGEXMATCH(XLOOKUP($D$2,Advancements!$I$2:$I44,Advancements!$L$2:$L44),lower(K16)))))"),FALSE)</f>
        <v>0</v>
      </c>
      <c r="K16" s="610" t="s">
        <v>7410</v>
      </c>
      <c r="N16" s="633" t="s">
        <v>7411</v>
      </c>
      <c r="P16" s="634"/>
      <c r="Q16" s="635" t="b">
        <f>IFERROR(__xludf.DUMMYFUNCTION("if($N$2,true,and(not(ISBLANK(XLOOKUP($O$2,Advancements!$I$2:$I44,Advancements!$L$2:$L44))),not(REGEXMATCH(XLOOKUP($O$2,Advancements!$I$2:$I44,Advancements!$L$2:$L44),LOWER(CONCATENATE($N16,""_"",Q$5))))))"),FALSE)</f>
        <v>0</v>
      </c>
      <c r="R16" s="636" t="b">
        <f>IFERROR(__xludf.DUMMYFUNCTION("if($N$2,true,and(not(ISBLANK(XLOOKUP($O$2,Advancements!$I$2:$I44,Advancements!$L$2:$L44))),not(REGEXMATCH(XLOOKUP($O$2,Advancements!$I$2:$I44,Advancements!$L$2:$L44),LOWER(CONCATENATE($N16,""_"",R$5))))))"),FALSE)</f>
        <v>0</v>
      </c>
      <c r="S16" s="637" t="b">
        <f>IFERROR(__xludf.DUMMYFUNCTION("if($N$2,true,and(not(ISBLANK(XLOOKUP($O$2,Advancements!$I$2:$I44,Advancements!$L$2:$L44))),not(REGEXMATCH(XLOOKUP($O$2,Advancements!$I$2:$I44,Advancements!$L$2:$L44),LOWER(CONCATENATE($N16,""_"",S$5))))))"),FALSE)</f>
        <v>0</v>
      </c>
      <c r="T16" s="239" t="b">
        <f>IFERROR(__xludf.DUMMYFUNCTION("if($N$2,true,and(not(ISBLANK(XLOOKUP($O$2,Advancements!$I$2:$I44,Advancements!$L$2:$L44))),not(REGEXMATCH(XLOOKUP($O$2,Advancements!$I$2:$I44,Advancements!$L$2:$L44),LOWER(CONCATENATE($N16,""_"",T$5))))))"),FALSE)</f>
        <v>0</v>
      </c>
      <c r="U16" s="635" t="b">
        <f>IFERROR(__xludf.DUMMYFUNCTION("if($N$2,true,and(not(ISBLANK(XLOOKUP($O$2,Advancements!$I$2:$I44,Advancements!$L$2:$L44))),not(REGEXMATCH(XLOOKUP($O$2,Advancements!$I$2:$I44,Advancements!$L$2:$L44),LOWER(CONCATENATE($N16,""_"",U$5))))))"),FALSE)</f>
        <v>0</v>
      </c>
      <c r="V16" s="638" t="b">
        <f>IFERROR(__xludf.DUMMYFUNCTION("if($N$2,true,and(not(ISBLANK(XLOOKUP($O$2,Advancements!$I$2:$I44,Advancements!$L$2:$L44))),not(REGEXMATCH(XLOOKUP($O$2,Advancements!$I$2:$I44,Advancements!$L$2:$L44),LOWER(CONCATENATE($N16,""_"",V$5))))))"),FALSE)</f>
        <v>0</v>
      </c>
      <c r="W16" s="639" t="b">
        <f>IFERROR(__xludf.DUMMYFUNCTION("if($N$2,true,and(not(ISBLANK(XLOOKUP($O$2,Advancements!$I$2:$I44,Advancements!$L$2:$L44))),not(REGEXMATCH(XLOOKUP($O$2,Advancements!$I$2:$I44,Advancements!$L$2:$L44),LOWER(CONCATENATE($N16,""_"",W$5))))))"),FALSE)</f>
        <v>0</v>
      </c>
      <c r="X16" s="622"/>
      <c r="AA16" s="622"/>
    </row>
    <row r="17">
      <c r="C17" s="175" t="b">
        <f>IFERROR(__xludf.DUMMYFUNCTION("if($C$2,true,and(not(ISBLANK(XLOOKUP($D$2,Advancements!$I$2:$I44,Advancements!$L$2:$L44))),not(REGEXMATCH(XLOOKUP($D$2,Advancements!$I$2:$I44,Advancements!$L$2:$L44),lower(D17)))))"),FALSE)</f>
        <v>0</v>
      </c>
      <c r="D17" s="51" t="s">
        <v>7412</v>
      </c>
      <c r="E17" s="357" t="b">
        <f>IFERROR(__xludf.DUMMYFUNCTION("if($C$2,true,and(not(ISBLANK(XLOOKUP($D$2,Advancements!$I$2:$I44,Advancements!$L$2:$L44))),not(REGEXMATCH(XLOOKUP($D$2,Advancements!$I$2:$I44,Advancements!$L$2:$L44),lower(F17)))))"),FALSE)</f>
        <v>0</v>
      </c>
      <c r="F17" s="357" t="s">
        <v>7413</v>
      </c>
      <c r="G17" s="51" t="b">
        <f>IFERROR(__xludf.DUMMYFUNCTION("if($C$2,true,and(not(ISBLANK(XLOOKUP($D$2,Advancements!$I$2:$I44,Advancements!$L$2:$L44))),not(REGEXMATCH(XLOOKUP($D$2,Advancements!$I$2:$I44,Advancements!$L$2:$L44),lower(H17)))))"),FALSE)</f>
        <v>0</v>
      </c>
      <c r="H17" s="176" t="s">
        <v>7414</v>
      </c>
      <c r="J17" s="623" t="b">
        <f>IFERROR(__xludf.DUMMYFUNCTION("if($C$2,true,and(not(ISBLANK(XLOOKUP($D$2,Advancements!$I$2:$I44,Advancements!$L$2:$L44))),not(REGEXMATCH(XLOOKUP($D$2,Advancements!$I$2:$I44,Advancements!$L$2:$L44),lower(K17)))))"),FALSE)</f>
        <v>0</v>
      </c>
      <c r="K17" s="610" t="s">
        <v>7415</v>
      </c>
      <c r="N17" s="633" t="s">
        <v>7416</v>
      </c>
      <c r="P17" s="634"/>
      <c r="Q17" s="635" t="b">
        <f>IFERROR(__xludf.DUMMYFUNCTION("if($N$2,true,and(not(ISBLANK(XLOOKUP($O$2,Advancements!$I$2:$I44,Advancements!$L$2:$L44))),not(REGEXMATCH(XLOOKUP($O$2,Advancements!$I$2:$I44,Advancements!$L$2:$L44),LOWER(CONCATENATE($N17,""_"",Q$5))))))"),FALSE)</f>
        <v>0</v>
      </c>
      <c r="R17" s="636" t="b">
        <f>IFERROR(__xludf.DUMMYFUNCTION("if($N$2,true,and(not(ISBLANK(XLOOKUP($O$2,Advancements!$I$2:$I44,Advancements!$L$2:$L44))),not(REGEXMATCH(XLOOKUP($O$2,Advancements!$I$2:$I44,Advancements!$L$2:$L44),LOWER(CONCATENATE($N17,""_"",R$5))))))"),FALSE)</f>
        <v>0</v>
      </c>
      <c r="S17" s="637" t="b">
        <f>IFERROR(__xludf.DUMMYFUNCTION("if($N$2,true,and(not(ISBLANK(XLOOKUP($O$2,Advancements!$I$2:$I44,Advancements!$L$2:$L44))),not(REGEXMATCH(XLOOKUP($O$2,Advancements!$I$2:$I44,Advancements!$L$2:$L44),LOWER(CONCATENATE($N17,""_"",S$5))))))"),FALSE)</f>
        <v>0</v>
      </c>
      <c r="T17" s="239" t="b">
        <f>IFERROR(__xludf.DUMMYFUNCTION("if($N$2,true,and(not(ISBLANK(XLOOKUP($O$2,Advancements!$I$2:$I44,Advancements!$L$2:$L44))),not(REGEXMATCH(XLOOKUP($O$2,Advancements!$I$2:$I44,Advancements!$L$2:$L44),LOWER(CONCATENATE($N17,""_"",T$5))))))"),FALSE)</f>
        <v>0</v>
      </c>
      <c r="U17" s="635" t="b">
        <f>IFERROR(__xludf.DUMMYFUNCTION("if($N$2,true,and(not(ISBLANK(XLOOKUP($O$2,Advancements!$I$2:$I44,Advancements!$L$2:$L44))),not(REGEXMATCH(XLOOKUP($O$2,Advancements!$I$2:$I44,Advancements!$L$2:$L44),LOWER(CONCATENATE($N17,""_"",U$5))))))"),FALSE)</f>
        <v>0</v>
      </c>
      <c r="V17" s="638" t="b">
        <f>IFERROR(__xludf.DUMMYFUNCTION("if($N$2,true,and(not(ISBLANK(XLOOKUP($O$2,Advancements!$I$2:$I44,Advancements!$L$2:$L44))),not(REGEXMATCH(XLOOKUP($O$2,Advancements!$I$2:$I44,Advancements!$L$2:$L44),LOWER(CONCATENATE($N17,""_"",V$5))))))"),FALSE)</f>
        <v>0</v>
      </c>
      <c r="W17" s="639" t="b">
        <f>IFERROR(__xludf.DUMMYFUNCTION("if($N$2,true,and(not(ISBLANK(XLOOKUP($O$2,Advancements!$I$2:$I44,Advancements!$L$2:$L44))),not(REGEXMATCH(XLOOKUP($O$2,Advancements!$I$2:$I44,Advancements!$L$2:$L44),LOWER(CONCATENATE($N17,""_"",W$5))))))"),FALSE)</f>
        <v>0</v>
      </c>
      <c r="X17" s="622"/>
      <c r="AA17" s="622"/>
    </row>
    <row r="18">
      <c r="C18" s="175" t="b">
        <f>IFERROR(__xludf.DUMMYFUNCTION("if($C$2,true,and(not(ISBLANK(XLOOKUP($D$2,Advancements!$I$2:$I44,Advancements!$L$2:$L44))),not(REGEXMATCH(XLOOKUP($D$2,Advancements!$I$2:$I44,Advancements!$L$2:$L44),lower(D18)))))"),FALSE)</f>
        <v>0</v>
      </c>
      <c r="D18" s="51" t="s">
        <v>7417</v>
      </c>
      <c r="E18" s="51" t="b">
        <f>IFERROR(__xludf.DUMMYFUNCTION("if($C$2,true,and(not(ISBLANK(XLOOKUP($D$2,Advancements!$I$2:$I44,Advancements!$L$2:$L44))),not(REGEXMATCH(XLOOKUP($D$2,Advancements!$I$2:$I44,Advancements!$L$2:$L44),lower(F18)))))"),FALSE)</f>
        <v>0</v>
      </c>
      <c r="F18" s="51" t="s">
        <v>7418</v>
      </c>
      <c r="G18" s="357" t="b">
        <f>IFERROR(__xludf.DUMMYFUNCTION("if($C$2,true,and(not(ISBLANK(XLOOKUP($D$2,Advancements!$I$2:$I44,Advancements!$L$2:$L44))),not(REGEXMATCH(XLOOKUP($D$2,Advancements!$I$2:$I44,Advancements!$L$2:$L44),lower(H18)))))"),FALSE)</f>
        <v>0</v>
      </c>
      <c r="H18" s="610" t="s">
        <v>7419</v>
      </c>
      <c r="J18" s="623" t="b">
        <f>IFERROR(__xludf.DUMMYFUNCTION("if($C$2,true,and(not(ISBLANK(XLOOKUP($D$2,Advancements!$I$2:$I44,Advancements!$L$2:$L44))),not(REGEXMATCH(XLOOKUP($D$2,Advancements!$I$2:$I44,Advancements!$L$2:$L44),lower(K18)))))"),FALSE)</f>
        <v>0</v>
      </c>
      <c r="K18" s="610" t="s">
        <v>7420</v>
      </c>
      <c r="N18" s="633" t="s">
        <v>7421</v>
      </c>
      <c r="P18" s="634"/>
      <c r="Q18" s="635" t="b">
        <f>IFERROR(__xludf.DUMMYFUNCTION("if($N$2,true,and(not(ISBLANK(XLOOKUP($O$2,Advancements!$I$2:$I44,Advancements!$L$2:$L44))),not(REGEXMATCH(XLOOKUP($O$2,Advancements!$I$2:$I44,Advancements!$L$2:$L44),LOWER(CONCATENATE($N18,""_"",Q$5))))))"),FALSE)</f>
        <v>0</v>
      </c>
      <c r="R18" s="636" t="b">
        <f>IFERROR(__xludf.DUMMYFUNCTION("if($N$2,true,and(not(ISBLANK(XLOOKUP($O$2,Advancements!$I$2:$I44,Advancements!$L$2:$L44))),not(REGEXMATCH(XLOOKUP($O$2,Advancements!$I$2:$I44,Advancements!$L$2:$L44),LOWER(CONCATENATE($N18,""_"",R$5))))))"),FALSE)</f>
        <v>0</v>
      </c>
      <c r="S18" s="637" t="b">
        <f>IFERROR(__xludf.DUMMYFUNCTION("if($N$2,true,and(not(ISBLANK(XLOOKUP($O$2,Advancements!$I$2:$I44,Advancements!$L$2:$L44))),not(REGEXMATCH(XLOOKUP($O$2,Advancements!$I$2:$I44,Advancements!$L$2:$L44),LOWER(CONCATENATE($N18,""_"",S$5))))))"),FALSE)</f>
        <v>0</v>
      </c>
      <c r="T18" s="239" t="b">
        <f>IFERROR(__xludf.DUMMYFUNCTION("if($N$2,true,and(not(ISBLANK(XLOOKUP($O$2,Advancements!$I$2:$I44,Advancements!$L$2:$L44))),not(REGEXMATCH(XLOOKUP($O$2,Advancements!$I$2:$I44,Advancements!$L$2:$L44),LOWER(CONCATENATE($N18,""_"",T$5))))))"),FALSE)</f>
        <v>0</v>
      </c>
      <c r="U18" s="635" t="b">
        <f>IFERROR(__xludf.DUMMYFUNCTION("if($N$2,true,and(not(ISBLANK(XLOOKUP($O$2,Advancements!$I$2:$I44,Advancements!$L$2:$L44))),not(REGEXMATCH(XLOOKUP($O$2,Advancements!$I$2:$I44,Advancements!$L$2:$L44),LOWER(CONCATENATE($N18,""_"",U$5))))))"),FALSE)</f>
        <v>0</v>
      </c>
      <c r="V18" s="638" t="b">
        <f>IFERROR(__xludf.DUMMYFUNCTION("if($N$2,true,and(not(ISBLANK(XLOOKUP($O$2,Advancements!$I$2:$I44,Advancements!$L$2:$L44))),not(REGEXMATCH(XLOOKUP($O$2,Advancements!$I$2:$I44,Advancements!$L$2:$L44),LOWER(CONCATENATE($N18,""_"",V$5))))))"),FALSE)</f>
        <v>0</v>
      </c>
      <c r="W18" s="639" t="b">
        <f>IFERROR(__xludf.DUMMYFUNCTION("if($N$2,true,and(not(ISBLANK(XLOOKUP($O$2,Advancements!$I$2:$I44,Advancements!$L$2:$L44))),not(REGEXMATCH(XLOOKUP($O$2,Advancements!$I$2:$I44,Advancements!$L$2:$L44),LOWER(CONCATENATE($N18,""_"",W$5))))))"),FALSE)</f>
        <v>0</v>
      </c>
      <c r="X18" s="622"/>
      <c r="AA18" s="622"/>
    </row>
    <row r="19">
      <c r="C19" s="175" t="b">
        <f>IFERROR(__xludf.DUMMYFUNCTION("if($C$2,true,and(not(ISBLANK(XLOOKUP($D$2,Advancements!$I$2:$I44,Advancements!$L$2:$L44))),not(REGEXMATCH(XLOOKUP($D$2,Advancements!$I$2:$I44,Advancements!$L$2:$L44),lower(D19)))))"),FALSE)</f>
        <v>0</v>
      </c>
      <c r="D19" s="51" t="s">
        <v>7422</v>
      </c>
      <c r="E19" s="51" t="b">
        <f>IFERROR(__xludf.DUMMYFUNCTION("if($C$2,true,and(not(ISBLANK(XLOOKUP($D$2,Advancements!$I$2:$I44,Advancements!$L$2:$L44))),not(REGEXMATCH(XLOOKUP($D$2,Advancements!$I$2:$I44,Advancements!$L$2:$L44),lower(F19)))))"),FALSE)</f>
        <v>0</v>
      </c>
      <c r="F19" s="51" t="s">
        <v>7423</v>
      </c>
      <c r="G19" s="357" t="b">
        <f>IFERROR(__xludf.DUMMYFUNCTION("if($C$2,true,and(not(ISBLANK(XLOOKUP($D$2,Advancements!$I$2:$I44,Advancements!$L$2:$L44))),not(REGEXMATCH(XLOOKUP($D$2,Advancements!$I$2:$I44,Advancements!$L$2:$L44),lower(H19)))))"),FALSE)</f>
        <v>0</v>
      </c>
      <c r="H19" s="610" t="s">
        <v>7424</v>
      </c>
      <c r="J19" s="175" t="b">
        <f>IFERROR(__xludf.DUMMYFUNCTION("if($C$2,true,and(not(ISBLANK(XLOOKUP($D$2,Advancements!$I$2:$I44,Advancements!$L$2:$L44))),not(REGEXMATCH(XLOOKUP($D$2,Advancements!$I$2:$I44,Advancements!$L$2:$L44),lower(K19)))))"),FALSE)</f>
        <v>0</v>
      </c>
      <c r="K19" s="176" t="s">
        <v>7425</v>
      </c>
      <c r="N19" s="633" t="s">
        <v>3624</v>
      </c>
      <c r="P19" s="634"/>
      <c r="Q19" s="635" t="b">
        <f>IFERROR(__xludf.DUMMYFUNCTION("if($N$2,true,and(not(ISBLANK(XLOOKUP($O$2,Advancements!$I$2:$I44,Advancements!$L$2:$L44))),not(REGEXMATCH(XLOOKUP($O$2,Advancements!$I$2:$I44,Advancements!$L$2:$L44),LOWER(CONCATENATE($N19,""_"",Q$5))))))"),FALSE)</f>
        <v>0</v>
      </c>
      <c r="R19" s="636" t="b">
        <f>IFERROR(__xludf.DUMMYFUNCTION("if($N$2,true,and(not(ISBLANK(XLOOKUP($O$2,Advancements!$I$2:$I44,Advancements!$L$2:$L44))),not(REGEXMATCH(XLOOKUP($O$2,Advancements!$I$2:$I44,Advancements!$L$2:$L44),LOWER(CONCATENATE($N19,""_"",R$5))))))"),FALSE)</f>
        <v>0</v>
      </c>
      <c r="S19" s="637" t="b">
        <f>IFERROR(__xludf.DUMMYFUNCTION("if($N$2,true,and(not(ISBLANK(XLOOKUP($O$2,Advancements!$I$2:$I44,Advancements!$L$2:$L44))),not(REGEXMATCH(XLOOKUP($O$2,Advancements!$I$2:$I44,Advancements!$L$2:$L44),LOWER(CONCATENATE($N19,""_"",S$5))))))"),FALSE)</f>
        <v>0</v>
      </c>
      <c r="T19" s="239" t="b">
        <f>IFERROR(__xludf.DUMMYFUNCTION("if($N$2,true,and(not(ISBLANK(XLOOKUP($O$2,Advancements!$I$2:$I44,Advancements!$L$2:$L44))),not(REGEXMATCH(XLOOKUP($O$2,Advancements!$I$2:$I44,Advancements!$L$2:$L44),LOWER(CONCATENATE($N19,""_"",T$5))))))"),FALSE)</f>
        <v>0</v>
      </c>
      <c r="U19" s="635" t="b">
        <f>IFERROR(__xludf.DUMMYFUNCTION("if($N$2,true,and(not(ISBLANK(XLOOKUP($O$2,Advancements!$I$2:$I44,Advancements!$L$2:$L44))),not(REGEXMATCH(XLOOKUP($O$2,Advancements!$I$2:$I44,Advancements!$L$2:$L44),LOWER(CONCATENATE($N19,""_"",U$5))))))"),FALSE)</f>
        <v>0</v>
      </c>
      <c r="V19" s="638" t="b">
        <f>IFERROR(__xludf.DUMMYFUNCTION("if($N$2,true,and(not(ISBLANK(XLOOKUP($O$2,Advancements!$I$2:$I44,Advancements!$L$2:$L44))),not(REGEXMATCH(XLOOKUP($O$2,Advancements!$I$2:$I44,Advancements!$L$2:$L44),LOWER(CONCATENATE($N19,""_"",V$5))))))"),FALSE)</f>
        <v>0</v>
      </c>
      <c r="W19" s="639" t="b">
        <f>IFERROR(__xludf.DUMMYFUNCTION("if($N$2,true,and(not(ISBLANK(XLOOKUP($O$2,Advancements!$I$2:$I44,Advancements!$L$2:$L44))),not(REGEXMATCH(XLOOKUP($O$2,Advancements!$I$2:$I44,Advancements!$L$2:$L44),LOWER(CONCATENATE($N19,""_"",W$5))))))"),FALSE)</f>
        <v>0</v>
      </c>
      <c r="X19" s="622"/>
      <c r="AA19" s="622"/>
    </row>
    <row r="20">
      <c r="C20" s="623" t="b">
        <f>IFERROR(__xludf.DUMMYFUNCTION("if($C$2,true,and(not(ISBLANK(XLOOKUP($D$2,Advancements!$I$2:$I44,Advancements!$L$2:$L44))),not(REGEXMATCH(XLOOKUP($D$2,Advancements!$I$2:$I44,Advancements!$L$2:$L44),lower(D20)))))"),FALSE)</f>
        <v>0</v>
      </c>
      <c r="D20" s="357" t="s">
        <v>7426</v>
      </c>
      <c r="E20" s="51" t="b">
        <f>IFERROR(__xludf.DUMMYFUNCTION("if($C$2,true,and(not(ISBLANK(XLOOKUP($D$2,Advancements!$I$2:$I44,Advancements!$L$2:$L44))),not(REGEXMATCH(XLOOKUP($D$2,Advancements!$I$2:$I44,Advancements!$L$2:$L44),lower(F20)))))"),FALSE)</f>
        <v>0</v>
      </c>
      <c r="F20" s="51" t="s">
        <v>7427</v>
      </c>
      <c r="G20" s="357" t="b">
        <f>IFERROR(__xludf.DUMMYFUNCTION("if($C$2,true,and(not(ISBLANK(XLOOKUP($D$2,Advancements!$I$2:$I44,Advancements!$L$2:$L44))),not(REGEXMATCH(XLOOKUP($D$2,Advancements!$I$2:$I44,Advancements!$L$2:$L44),lower(H20)))))"),FALSE)</f>
        <v>0</v>
      </c>
      <c r="H20" s="610" t="s">
        <v>7428</v>
      </c>
      <c r="J20" s="175" t="b">
        <f>IFERROR(__xludf.DUMMYFUNCTION("if($C$2,true,and(not(ISBLANK(XLOOKUP($D$2,Advancements!$I$2:$I44,Advancements!$L$2:$L44))),not(REGEXMATCH(XLOOKUP($D$2,Advancements!$I$2:$I44,Advancements!$L$2:$L44),lower(K20)))))"),FALSE)</f>
        <v>0</v>
      </c>
      <c r="K20" s="176" t="s">
        <v>7429</v>
      </c>
      <c r="N20" s="644" t="s">
        <v>7430</v>
      </c>
      <c r="O20" s="4"/>
      <c r="P20" s="645"/>
      <c r="Q20" s="646" t="b">
        <f>IFERROR(__xludf.DUMMYFUNCTION("if($N$2,true,and(not(ISBLANK(XLOOKUP($O$2,Advancements!$I$2:$I44,Advancements!$L$2:$L44))),not(REGEXMATCH(XLOOKUP($O$2,Advancements!$I$2:$I44,Advancements!$L$2:$L44),LOWER(CONCATENATE($N20,""_"",Q$5))))))"),FALSE)</f>
        <v>0</v>
      </c>
      <c r="R20" s="647" t="b">
        <f>IFERROR(__xludf.DUMMYFUNCTION("if($N$2,true,and(not(ISBLANK(XLOOKUP($O$2,Advancements!$I$2:$I44,Advancements!$L$2:$L44))),not(REGEXMATCH(XLOOKUP($O$2,Advancements!$I$2:$I44,Advancements!$L$2:$L44),LOWER(CONCATENATE($N20,""_"",R$5))))))"),FALSE)</f>
        <v>0</v>
      </c>
      <c r="S20" s="648" t="b">
        <f>IFERROR(__xludf.DUMMYFUNCTION("if($N$2,true,and(not(ISBLANK(XLOOKUP($O$2,Advancements!$I$2:$I44,Advancements!$L$2:$L44))),not(REGEXMATCH(XLOOKUP($O$2,Advancements!$I$2:$I44,Advancements!$L$2:$L44),LOWER(CONCATENATE($N20,""_"",S$5))))))"),FALSE)</f>
        <v>0</v>
      </c>
      <c r="T20" s="649" t="b">
        <f>IFERROR(__xludf.DUMMYFUNCTION("if($N$2,true,and(not(ISBLANK(XLOOKUP($O$2,Advancements!$I$2:$I44,Advancements!$L$2:$L44))),not(REGEXMATCH(XLOOKUP($O$2,Advancements!$I$2:$I44,Advancements!$L$2:$L44),LOWER(CONCATENATE($N20,""_"",T$5))))))"),FALSE)</f>
        <v>0</v>
      </c>
      <c r="U20" s="646" t="b">
        <f>IFERROR(__xludf.DUMMYFUNCTION("if($N$2,true,and(not(ISBLANK(XLOOKUP($O$2,Advancements!$I$2:$I44,Advancements!$L$2:$L44))),not(REGEXMATCH(XLOOKUP($O$2,Advancements!$I$2:$I44,Advancements!$L$2:$L44),LOWER(CONCATENATE($N20,""_"",U$5))))))"),FALSE)</f>
        <v>0</v>
      </c>
      <c r="V20" s="650" t="b">
        <f>IFERROR(__xludf.DUMMYFUNCTION("if($N$2,true,and(not(ISBLANK(XLOOKUP($O$2,Advancements!$I$2:$I44,Advancements!$L$2:$L44))),not(REGEXMATCH(XLOOKUP($O$2,Advancements!$I$2:$I44,Advancements!$L$2:$L44),LOWER(CONCATENATE($N20,""_"",V$5))))))"),FALSE)</f>
        <v>0</v>
      </c>
      <c r="W20" s="651" t="b">
        <f>IFERROR(__xludf.DUMMYFUNCTION("if($N$2,true,and(not(ISBLANK(XLOOKUP($O$2,Advancements!$I$2:$I44,Advancements!$L$2:$L44))),not(REGEXMATCH(XLOOKUP($O$2,Advancements!$I$2:$I44,Advancements!$L$2:$L44),LOWER(CONCATENATE($N20,""_"",W$5))))))"),FALSE)</f>
        <v>0</v>
      </c>
      <c r="X20" s="622"/>
      <c r="AA20" s="622"/>
    </row>
    <row r="21">
      <c r="C21" s="175" t="b">
        <f>IFERROR(__xludf.DUMMYFUNCTION("if($C$2,true,and(not(ISBLANK(XLOOKUP($D$2,Advancements!$I$2:$I44,Advancements!$L$2:$L44))),not(REGEXMATCH(XLOOKUP($D$2,Advancements!$I$2:$I44,Advancements!$L$2:$L44),lower(D21)))))"),FALSE)</f>
        <v>0</v>
      </c>
      <c r="D21" s="51" t="s">
        <v>7431</v>
      </c>
      <c r="E21" s="357" t="b">
        <f>IFERROR(__xludf.DUMMYFUNCTION("if($C$2,true,and(not(ISBLANK(XLOOKUP($D$2,Advancements!$I$2:$I44,Advancements!$L$2:$L44))),not(REGEXMATCH(XLOOKUP($D$2,Advancements!$I$2:$I44,Advancements!$L$2:$L44),lower(F21)))))"),FALSE)</f>
        <v>0</v>
      </c>
      <c r="F21" s="357" t="s">
        <v>7432</v>
      </c>
      <c r="G21" s="51" t="b">
        <f>IFERROR(__xludf.DUMMYFUNCTION("if($C$2,true,and(not(ISBLANK(XLOOKUP($D$2,Advancements!$I$2:$I44,Advancements!$L$2:$L44))),not(REGEXMATCH(XLOOKUP($D$2,Advancements!$I$2:$I44,Advancements!$L$2:$L44),lower(H21)))))"),FALSE)</f>
        <v>0</v>
      </c>
      <c r="H21" s="176" t="s">
        <v>7433</v>
      </c>
      <c r="J21" s="652" t="b">
        <f>IFERROR(__xludf.DUMMYFUNCTION("if($C$2,true,and(not(ISBLANK(XLOOKUP($D$2,Advancements!$I$2:$I44,Advancements!$L$2:$L44))),not(REGEXMATCH(XLOOKUP($D$2,Advancements!$I$2:$I44,Advancements!$L$2:$L44),lower(K21)))))"),FALSE)</f>
        <v>0</v>
      </c>
      <c r="K21" s="653" t="s">
        <v>7434</v>
      </c>
    </row>
    <row r="22">
      <c r="C22" s="175" t="b">
        <f>IFERROR(__xludf.DUMMYFUNCTION("if($C$2,true,and(not(ISBLANK(XLOOKUP($D$2,Advancements!$I$2:$I44,Advancements!$L$2:$L44))),not(REGEXMATCH(XLOOKUP($D$2,Advancements!$I$2:$I44,Advancements!$L$2:$L44),lower(D22)))))"),FALSE)</f>
        <v>0</v>
      </c>
      <c r="D22" s="51" t="s">
        <v>7435</v>
      </c>
      <c r="E22" s="357" t="b">
        <f>IFERROR(__xludf.DUMMYFUNCTION("if($C$2,true,and(not(ISBLANK(XLOOKUP($D$2,Advancements!$I$2:$I44,Advancements!$L$2:$L44))),not(REGEXMATCH(XLOOKUP($D$2,Advancements!$I$2:$I44,Advancements!$L$2:$L44),lower(F22)))))"),FALSE)</f>
        <v>0</v>
      </c>
      <c r="F22" s="357" t="s">
        <v>7436</v>
      </c>
      <c r="G22" s="51" t="b">
        <f>IFERROR(__xludf.DUMMYFUNCTION("if($C$2,true,and(not(ISBLANK(XLOOKUP($D$2,Advancements!$I$2:$I44,Advancements!$L$2:$L44))),not(REGEXMATCH(XLOOKUP($D$2,Advancements!$I$2:$I44,Advancements!$L$2:$L44),lower(H22)))))"),FALSE)</f>
        <v>0</v>
      </c>
      <c r="H22" s="176" t="s">
        <v>7437</v>
      </c>
      <c r="M22" s="590" t="str">
        <f t="array" ref="M22">XLOOKUP(O22,Advancements!$I$2:$I44,Advancements!$C$2:$C44)</f>
        <v/>
      </c>
      <c r="N22" s="654" t="b">
        <f t="array" ref="N22">XLOOKUP($O$22,Advancements!$I$2:$I44,Advancements!$G$2:$G44)</f>
        <v>0</v>
      </c>
      <c r="O22" s="655" t="s">
        <v>7438</v>
      </c>
      <c r="P22" s="42"/>
      <c r="Q22" s="42"/>
      <c r="R22" s="42"/>
      <c r="S22" s="656" t="str">
        <f t="array" ref="S22">XLOOKUP(O22,Advancements!$I$2:$I44,Advancements!$D$2:$D44)</f>
        <v/>
      </c>
      <c r="T22" s="657" t="s">
        <v>4909</v>
      </c>
      <c r="U22" s="42"/>
      <c r="V22" s="42"/>
      <c r="W22" s="46"/>
      <c r="Y22" s="51"/>
    </row>
    <row r="23">
      <c r="C23" s="175" t="b">
        <f>IFERROR(__xludf.DUMMYFUNCTION("if($C$2,true,and(not(ISBLANK(XLOOKUP($D$2,Advancements!$I$2:$I44,Advancements!$L$2:$L44))),not(REGEXMATCH(XLOOKUP($D$2,Advancements!$I$2:$I44,Advancements!$L$2:$L44),lower(D23)))))"),FALSE)</f>
        <v>0</v>
      </c>
      <c r="D23" s="51" t="s">
        <v>7439</v>
      </c>
      <c r="E23" s="357" t="b">
        <f>IFERROR(__xludf.DUMMYFUNCTION("if($C$2,true,and(not(ISBLANK(XLOOKUP($D$2,Advancements!$I$2:$I44,Advancements!$L$2:$L44))),not(REGEXMATCH(XLOOKUP($D$2,Advancements!$I$2:$I44,Advancements!$L$2:$L44),lower(F23)))))"),FALSE)</f>
        <v>0</v>
      </c>
      <c r="F23" s="357" t="s">
        <v>7440</v>
      </c>
      <c r="G23" s="51" t="b">
        <f>IFERROR(__xludf.DUMMYFUNCTION("if($C$2,true,and(not(ISBLANK(XLOOKUP($D$2,Advancements!$I$2:$I44,Advancements!$L$2:$L44))),not(REGEXMATCH(XLOOKUP($D$2,Advancements!$I$2:$I44,Advancements!$L$2:$L44),lower(H23)))))"),FALSE)</f>
        <v>0</v>
      </c>
      <c r="H23" s="176" t="s">
        <v>7441</v>
      </c>
      <c r="K23" s="658"/>
      <c r="N23" s="109"/>
      <c r="O23" s="109"/>
      <c r="P23" s="4"/>
      <c r="Q23" s="4"/>
      <c r="R23" s="4"/>
      <c r="S23" s="4"/>
      <c r="T23" s="109"/>
      <c r="U23" s="4"/>
      <c r="V23" s="4"/>
      <c r="W23" s="93"/>
    </row>
    <row r="24">
      <c r="C24" s="175" t="b">
        <f>IFERROR(__xludf.DUMMYFUNCTION("if($C$2,true,and(not(ISBLANK(XLOOKUP($D$2,Advancements!$I$2:$I44,Advancements!$L$2:$L44))),not(REGEXMATCH(XLOOKUP($D$2,Advancements!$I$2:$I44,Advancements!$L$2:$L44),lower(D24)))))"),FALSE)</f>
        <v>0</v>
      </c>
      <c r="D24" s="51" t="s">
        <v>7442</v>
      </c>
      <c r="E24" s="51" t="b">
        <f>IFERROR(__xludf.DUMMYFUNCTION("if($C$2,true,and(not(ISBLANK(XLOOKUP($D$2,Advancements!$I$2:$I44,Advancements!$L$2:$L44))),not(REGEXMATCH(XLOOKUP($D$2,Advancements!$I$2:$I44,Advancements!$L$2:$L44),lower(F24)))))"),FALSE)</f>
        <v>0</v>
      </c>
      <c r="F24" s="51" t="s">
        <v>7443</v>
      </c>
      <c r="G24" s="51" t="b">
        <f>IFERROR(__xludf.DUMMYFUNCTION("if($C$2,true,and(not(ISBLANK(XLOOKUP($D$2,Advancements!$I$2:$I44,Advancements!$L$2:$L44))),not(REGEXMATCH(XLOOKUP($D$2,Advancements!$I$2:$I44,Advancements!$L$2:$L44),lower(H24)))))"),FALSE)</f>
        <v>0</v>
      </c>
      <c r="H24" s="176" t="s">
        <v>7444</v>
      </c>
      <c r="K24" s="658"/>
      <c r="N24" s="597" t="str">
        <f t="array" ref="N24">iferror(SPARKLINE(XLOOKUP(O22,Advancements!$I$2:$I44,Advancements!$E$2:$E44)/XLOOKUP(O22,Advancements!$I$2:$I44,Advancements!$F$2:$F44),{"charttype","bar";"max",100%;"color1","green";"empty","zero"}))</f>
        <v/>
      </c>
      <c r="O24" s="15"/>
      <c r="P24" s="15"/>
      <c r="Q24" s="15"/>
      <c r="R24" s="15"/>
      <c r="S24" s="15"/>
      <c r="T24" s="15"/>
      <c r="U24" s="15"/>
      <c r="V24" s="15"/>
      <c r="W24" s="16"/>
    </row>
    <row r="25">
      <c r="C25" s="175" t="b">
        <f>IFERROR(__xludf.DUMMYFUNCTION("if($C$2,true,and(not(ISBLANK(XLOOKUP($D$2,Advancements!$I$2:$I44,Advancements!$L$2:$L44))),not(REGEXMATCH(XLOOKUP($D$2,Advancements!$I$2:$I44,Advancements!$L$2:$L44),lower(D25)))))"),FALSE)</f>
        <v>0</v>
      </c>
      <c r="D25" s="51" t="s">
        <v>7445</v>
      </c>
      <c r="E25" s="51" t="b">
        <f>IFERROR(__xludf.DUMMYFUNCTION("if($C$2,true,and(not(ISBLANK(XLOOKUP($D$2,Advancements!$I$2:$I44,Advancements!$L$2:$L44))),not(REGEXMATCH(XLOOKUP($D$2,Advancements!$I$2:$I44,Advancements!$L$2:$L44),lower(F25)))))"),FALSE)</f>
        <v>0</v>
      </c>
      <c r="F25" s="51" t="s">
        <v>7446</v>
      </c>
      <c r="G25" s="51" t="b">
        <f>IFERROR(__xludf.DUMMYFUNCTION("if($C$2,true,and(not(ISBLANK(XLOOKUP($D$2,Advancements!$I$2:$I44,Advancements!$L$2:$L44))),not(REGEXMATCH(XLOOKUP($D$2,Advancements!$I$2:$I44,Advancements!$L$2:$L44),lower(H25)))))"),FALSE)</f>
        <v>0</v>
      </c>
      <c r="H25" s="176" t="s">
        <v>7447</v>
      </c>
    </row>
    <row r="26">
      <c r="C26" s="623" t="b">
        <f>IFERROR(__xludf.DUMMYFUNCTION("if($C$2,true,and(not(ISBLANK(XLOOKUP($D$2,Advancements!$I$2:$I44,Advancements!$L$2:$L44))),not(REGEXMATCH(XLOOKUP($D$2,Advancements!$I$2:$I44,Advancements!$L$2:$L44),lower(D26)))))"),FALSE)</f>
        <v>0</v>
      </c>
      <c r="D26" s="357" t="s">
        <v>7448</v>
      </c>
      <c r="E26" s="51" t="b">
        <f>IFERROR(__xludf.DUMMYFUNCTION("if($C$2,true,and(not(ISBLANK(XLOOKUP($D$2,Advancements!$I$2:$I44,Advancements!$L$2:$L44))),not(REGEXMATCH(XLOOKUP($D$2,Advancements!$I$2:$I44,Advancements!$L$2:$L44),lower(F26)))))"),FALSE)</f>
        <v>0</v>
      </c>
      <c r="F26" s="51" t="s">
        <v>7449</v>
      </c>
      <c r="G26" s="357" t="b">
        <f>IFERROR(__xludf.DUMMYFUNCTION("if($C$2,true,and(not(ISBLANK(XLOOKUP($D$2,Advancements!$I$2:$I44,Advancements!$L$2:$L44))),not(REGEXMATCH(XLOOKUP($D$2,Advancements!$I$2:$I44,Advancements!$L$2:$L44),lower(H26)))))"),FALSE)</f>
        <v>0</v>
      </c>
      <c r="H26" s="610" t="s">
        <v>7450</v>
      </c>
      <c r="N26" s="600" t="s">
        <v>7451</v>
      </c>
      <c r="O26" s="42"/>
      <c r="P26" s="42"/>
      <c r="Q26" s="46"/>
      <c r="R26" s="600" t="s">
        <v>7452</v>
      </c>
      <c r="S26" s="42"/>
      <c r="T26" s="42"/>
      <c r="U26" s="42"/>
      <c r="V26" s="42"/>
      <c r="W26" s="46"/>
    </row>
    <row r="27">
      <c r="C27" s="623" t="b">
        <f>IFERROR(__xludf.DUMMYFUNCTION("if($C$2,true,and(not(ISBLANK(XLOOKUP($D$2,Advancements!$I$2:$I44,Advancements!$L$2:$L44))),not(REGEXMATCH(XLOOKUP($D$2,Advancements!$I$2:$I44,Advancements!$L$2:$L44),lower(D27)))))"),FALSE)</f>
        <v>0</v>
      </c>
      <c r="D27" s="357" t="s">
        <v>7453</v>
      </c>
      <c r="E27" s="357" t="b">
        <f>IFERROR(__xludf.DUMMYFUNCTION("if($C$2,true,and(not(ISBLANK(XLOOKUP($D$2,Advancements!$I$2:$I44,Advancements!$L$2:$L44))),not(REGEXMATCH(XLOOKUP($D$2,Advancements!$I$2:$I44,Advancements!$L$2:$L44),lower(F27)))))"),FALSE)</f>
        <v>0</v>
      </c>
      <c r="F27" s="357" t="s">
        <v>7454</v>
      </c>
      <c r="G27" s="51" t="b">
        <f>IFERROR(__xludf.DUMMYFUNCTION("if($C$2,true,and(not(ISBLANK(XLOOKUP($D$2,Advancements!$I$2:$I44,Advancements!$L$2:$L44))),not(REGEXMATCH(XLOOKUP($D$2,Advancements!$I$2:$I44,Advancements!$L$2:$L44),lower(H27)))))"),FALSE)</f>
        <v>0</v>
      </c>
      <c r="H27" s="176" t="s">
        <v>7455</v>
      </c>
      <c r="N27" s="659" t="s">
        <v>7456</v>
      </c>
      <c r="Q27" s="176" t="b">
        <f>IFERROR(__xludf.DUMMYFUNCTION("if($N$22,true,and(not(ISBLANK(XLOOKUP($O$22,Advancements!$I$2:$I44,Advancements!$L$2:$L44))),not(REGEXMATCH(XLOOKUP($O$22,Advancements!$I$2:$I44,Advancements!$L$2:$L44),lower(N27)))))"),FALSE)</f>
        <v>0</v>
      </c>
      <c r="R27" s="175" t="s">
        <v>7457</v>
      </c>
      <c r="T27" s="51" t="b">
        <f>IFERROR(__xludf.DUMMYFUNCTION("if($N$22,true,and(not(ISBLANK(XLOOKUP($O$22,Advancements!$I$2:$I44,Advancements!$L$2:$L44))),not(REGEXMATCH(XLOOKUP($O$22,Advancements!$I$2:$I44,Advancements!$L$2:$L44),lower(R27)))))"),FALSE)</f>
        <v>0</v>
      </c>
      <c r="U27" s="51" t="s">
        <v>7458</v>
      </c>
      <c r="W27" s="176" t="b">
        <f>IFERROR(__xludf.DUMMYFUNCTION("if($N$22,true,and(not(ISBLANK(XLOOKUP($O$22,Advancements!$I$2:$I44,Advancements!$L$2:$L44))),not(REGEXMATCH(XLOOKUP($O$22,Advancements!$I$2:$I44,Advancements!$L$2:$L44),lower(U27)))))"),FALSE)</f>
        <v>0</v>
      </c>
    </row>
    <row r="28">
      <c r="C28" s="623" t="b">
        <f>IFERROR(__xludf.DUMMYFUNCTION("if($C$2,true,and(not(ISBLANK(XLOOKUP($D$2,Advancements!$I$2:$I44,Advancements!$L$2:$L44))),not(REGEXMATCH(XLOOKUP($D$2,Advancements!$I$2:$I44,Advancements!$L$2:$L44),lower(D28)))))"),FALSE)</f>
        <v>0</v>
      </c>
      <c r="D28" s="357" t="s">
        <v>7459</v>
      </c>
      <c r="E28" s="357" t="b">
        <f>IFERROR(__xludf.DUMMYFUNCTION("if($C$2,true,and(not(ISBLANK(XLOOKUP($D$2,Advancements!$I$2:$I44,Advancements!$L$2:$L44))),not(REGEXMATCH(XLOOKUP($D$2,Advancements!$I$2:$I44,Advancements!$L$2:$L44),lower(F28)))))"),FALSE)</f>
        <v>0</v>
      </c>
      <c r="F28" s="357" t="s">
        <v>7460</v>
      </c>
      <c r="G28" s="51" t="b">
        <f>IFERROR(__xludf.DUMMYFUNCTION("if($C$2,true,and(not(ISBLANK(XLOOKUP($D$2,Advancements!$I$2:$I44,Advancements!$L$2:$L44))),not(REGEXMATCH(XLOOKUP($D$2,Advancements!$I$2:$I44,Advancements!$L$2:$L44),lower(H28)))))"),FALSE)</f>
        <v>0</v>
      </c>
      <c r="H28" s="176" t="s">
        <v>7461</v>
      </c>
      <c r="N28" s="659" t="s">
        <v>7462</v>
      </c>
      <c r="Q28" s="176" t="b">
        <f>IFERROR(__xludf.DUMMYFUNCTION("if($N$22,true,and(not(ISBLANK(XLOOKUP($O$22,Advancements!$I$2:$I44,Advancements!$L$2:$L44))),not(REGEXMATCH(XLOOKUP($O$22,Advancements!$I$2:$I44,Advancements!$L$2:$L44),lower(N28)))))"),FALSE)</f>
        <v>0</v>
      </c>
      <c r="R28" s="175" t="s">
        <v>7463</v>
      </c>
      <c r="T28" s="51" t="b">
        <f>IFERROR(__xludf.DUMMYFUNCTION("if($N$22,true,and(not(ISBLANK(XLOOKUP($O$22,Advancements!$I$2:$I44,Advancements!$L$2:$L44))),not(REGEXMATCH(XLOOKUP($O$22,Advancements!$I$2:$I44,Advancements!$L$2:$L44),lower(R28)))))"),FALSE)</f>
        <v>0</v>
      </c>
      <c r="U28" s="51" t="s">
        <v>7464</v>
      </c>
      <c r="W28" s="176" t="b">
        <f>IFERROR(__xludf.DUMMYFUNCTION("if($N$22,true,and(not(ISBLANK(XLOOKUP($O$22,Advancements!$I$2:$I44,Advancements!$L$2:$L44))),not(REGEXMATCH(XLOOKUP($O$22,Advancements!$I$2:$I44,Advancements!$L$2:$L44),lower(U28)))))"),FALSE)</f>
        <v>0</v>
      </c>
    </row>
    <row r="29">
      <c r="C29" s="175" t="b">
        <f>IFERROR(__xludf.DUMMYFUNCTION("if($C$2,true,and(not(ISBLANK(XLOOKUP($D$2,Advancements!$I$2:$I44,Advancements!$L$2:$L44))),not(REGEXMATCH(XLOOKUP($D$2,Advancements!$I$2:$I44,Advancements!$L$2:$L44),lower(D29)))))"),FALSE)</f>
        <v>0</v>
      </c>
      <c r="D29" s="51" t="s">
        <v>7465</v>
      </c>
      <c r="E29" s="357" t="b">
        <f>IFERROR(__xludf.DUMMYFUNCTION("if($C$2,true,and(not(ISBLANK(XLOOKUP($D$2,Advancements!$I$2:$I44,Advancements!$L$2:$L44))),not(REGEXMATCH(XLOOKUP($D$2,Advancements!$I$2:$I44,Advancements!$L$2:$L44),lower(F29)))))"),FALSE)</f>
        <v>0</v>
      </c>
      <c r="F29" s="357" t="s">
        <v>7466</v>
      </c>
      <c r="G29" s="51" t="b">
        <f>IFERROR(__xludf.DUMMYFUNCTION("if($C$2,true,and(not(ISBLANK(XLOOKUP($D$2,Advancements!$I$2:$I44,Advancements!$L$2:$L44))),not(REGEXMATCH(XLOOKUP($D$2,Advancements!$I$2:$I44,Advancements!$L$2:$L44),lower(H29)))))"),FALSE)</f>
        <v>0</v>
      </c>
      <c r="H29" s="176" t="s">
        <v>7467</v>
      </c>
      <c r="N29" s="175" t="s">
        <v>7468</v>
      </c>
      <c r="Q29" s="176" t="b">
        <f>IFERROR(__xludf.DUMMYFUNCTION("if($N$22,true,and(not(ISBLANK(XLOOKUP($O$22,Advancements!$I$2:$I44,Advancements!$L$2:$L44))),not(REGEXMATCH(XLOOKUP($O$22,Advancements!$I$2:$I44,Advancements!$L$2:$L44),lower(N29)))))"),FALSE)</f>
        <v>0</v>
      </c>
      <c r="R29" s="175" t="s">
        <v>7469</v>
      </c>
      <c r="T29" s="51" t="b">
        <f>IFERROR(__xludf.DUMMYFUNCTION("if($N$22,true,and(not(ISBLANK(XLOOKUP($O$22,Advancements!$I$2:$I44,Advancements!$L$2:$L44))),not(REGEXMATCH(XLOOKUP($O$22,Advancements!$I$2:$I44,Advancements!$L$2:$L44),lower(R29)))))"),FALSE)</f>
        <v>0</v>
      </c>
      <c r="U29" s="51" t="s">
        <v>7470</v>
      </c>
      <c r="W29" s="176" t="b">
        <f>IFERROR(__xludf.DUMMYFUNCTION("if($N$22,true,and(not(ISBLANK(XLOOKUP($O$22,Advancements!$I$2:$I44,Advancements!$L$2:$L44))),not(REGEXMATCH(XLOOKUP($O$22,Advancements!$I$2:$I44,Advancements!$L$2:$L44),lower(U29)))))"),FALSE)</f>
        <v>0</v>
      </c>
    </row>
    <row r="30">
      <c r="C30" s="175" t="b">
        <f>IFERROR(__xludf.DUMMYFUNCTION("if($C$2,true,and(not(ISBLANK(XLOOKUP($D$2,Advancements!$I$2:$I44,Advancements!$L$2:$L44))),not(REGEXMATCH(XLOOKUP($D$2,Advancements!$I$2:$I44,Advancements!$L$2:$L44),lower(D30)))))"),FALSE)</f>
        <v>0</v>
      </c>
      <c r="D30" s="51" t="s">
        <v>7471</v>
      </c>
      <c r="E30" s="51" t="b">
        <f>IFERROR(__xludf.DUMMYFUNCTION("if($C$2,true,and(not(ISBLANK(XLOOKUP($D$2,Advancements!$I$2:$I44,Advancements!$L$2:$L44))),not(REGEXMATCH(XLOOKUP($D$2,Advancements!$I$2:$I44,Advancements!$L$2:$L44),lower(F30)))))"),FALSE)</f>
        <v>0</v>
      </c>
      <c r="F30" s="51" t="s">
        <v>7472</v>
      </c>
      <c r="G30" s="51" t="b">
        <f>IFERROR(__xludf.DUMMYFUNCTION("if($C$2,true,and(not(ISBLANK(XLOOKUP($D$2,Advancements!$I$2:$I44,Advancements!$L$2:$L44))),not(REGEXMATCH(XLOOKUP($D$2,Advancements!$I$2:$I44,Advancements!$L$2:$L44),lower(H30)))))"),FALSE)</f>
        <v>0</v>
      </c>
      <c r="H30" s="176" t="s">
        <v>7473</v>
      </c>
      <c r="N30" s="175" t="s">
        <v>7474</v>
      </c>
      <c r="Q30" s="176" t="b">
        <f>IFERROR(__xludf.DUMMYFUNCTION("if($N$22,true,and(not(ISBLANK(XLOOKUP($O$22,Advancements!$I$2:$I44,Advancements!$L$2:$L44))),not(REGEXMATCH(XLOOKUP($O$22,Advancements!$I$2:$I44,Advancements!$L$2:$L44),lower(N30)))))"),FALSE)</f>
        <v>0</v>
      </c>
      <c r="R30" s="175" t="s">
        <v>7475</v>
      </c>
      <c r="T30" s="51" t="b">
        <f>IFERROR(__xludf.DUMMYFUNCTION("if($N$22,true,and(not(ISBLANK(XLOOKUP($O$22,Advancements!$I$2:$I44,Advancements!$L$2:$L44))),not(REGEXMATCH(XLOOKUP($O$22,Advancements!$I$2:$I44,Advancements!$L$2:$L44),lower(R30)))))"),FALSE)</f>
        <v>0</v>
      </c>
      <c r="U30" s="51" t="s">
        <v>7476</v>
      </c>
      <c r="W30" s="176" t="b">
        <f>IFERROR(__xludf.DUMMYFUNCTION("if($N$22,true,and(not(ISBLANK(XLOOKUP($O$22,Advancements!$I$2:$I44,Advancements!$L$2:$L44))),not(REGEXMATCH(XLOOKUP($O$22,Advancements!$I$2:$I44,Advancements!$L$2:$L44),lower(U30)))))"),FALSE)</f>
        <v>0</v>
      </c>
    </row>
    <row r="31">
      <c r="C31" s="175" t="b">
        <f>IFERROR(__xludf.DUMMYFUNCTION("if($C$2,true,and(not(ISBLANK(XLOOKUP($D$2,Advancements!$I$2:$I44,Advancements!$L$2:$L44))),not(REGEXMATCH(XLOOKUP($D$2,Advancements!$I$2:$I44,Advancements!$L$2:$L44),lower(D31)))))"),FALSE)</f>
        <v>0</v>
      </c>
      <c r="D31" s="51" t="s">
        <v>7477</v>
      </c>
      <c r="E31" s="357" t="b">
        <f>IFERROR(__xludf.DUMMYFUNCTION("if($C$2,true,and(not(ISBLANK(XLOOKUP($D$2,Advancements!$I$2:$I44,Advancements!$L$2:$L44))),not(REGEXMATCH(XLOOKUP($D$2,Advancements!$I$2:$I44,Advancements!$L$2:$L44),lower(F31)))))"),FALSE)</f>
        <v>0</v>
      </c>
      <c r="F31" s="357" t="s">
        <v>7478</v>
      </c>
      <c r="G31" s="51" t="b">
        <f>IFERROR(__xludf.DUMMYFUNCTION("if($C$2,true,and(not(ISBLANK(XLOOKUP($D$2,Advancements!$I$2:$I44,Advancements!$L$2:$L44))),not(REGEXMATCH(XLOOKUP($D$2,Advancements!$I$2:$I44,Advancements!$L$2:$L44),lower(H31)))))"),FALSE)</f>
        <v>0</v>
      </c>
      <c r="H31" s="176" t="s">
        <v>7479</v>
      </c>
      <c r="N31" s="659" t="s">
        <v>7480</v>
      </c>
      <c r="Q31" s="176" t="b">
        <f>IFERROR(__xludf.DUMMYFUNCTION("if($N$22,true,and(not(ISBLANK(XLOOKUP($O$22,Advancements!$I$2:$I44,Advancements!$L$2:$L44))),not(REGEXMATCH(XLOOKUP($O$22,Advancements!$I$2:$I44,Advancements!$L$2:$L44),lower(N31)))))"),FALSE)</f>
        <v>0</v>
      </c>
      <c r="R31" s="175" t="s">
        <v>7481</v>
      </c>
      <c r="T31" s="51" t="b">
        <f>IFERROR(__xludf.DUMMYFUNCTION("if($N$22,true,and(not(ISBLANK(XLOOKUP($O$22,Advancements!$I$2:$I44,Advancements!$L$2:$L44))),not(REGEXMATCH(XLOOKUP($O$22,Advancements!$I$2:$I44,Advancements!$L$2:$L44),lower(R31)))))"),FALSE)</f>
        <v>0</v>
      </c>
      <c r="U31" s="51" t="s">
        <v>7482</v>
      </c>
      <c r="W31" s="176" t="b">
        <f>IFERROR(__xludf.DUMMYFUNCTION("if($N$22,true,and(not(ISBLANK(XLOOKUP($O$22,Advancements!$I$2:$I44,Advancements!$L$2:$L44))),not(REGEXMATCH(XLOOKUP($O$22,Advancements!$I$2:$I44,Advancements!$L$2:$L44),lower(U31)))))"),FALSE)</f>
        <v>0</v>
      </c>
    </row>
    <row r="32">
      <c r="C32" s="175" t="b">
        <f>IFERROR(__xludf.DUMMYFUNCTION("if($C$2,true,and(not(ISBLANK(XLOOKUP($D$2,Advancements!$I$2:$I44,Advancements!$L$2:$L44))),not(REGEXMATCH(XLOOKUP($D$2,Advancements!$I$2:$I44,Advancements!$L$2:$L44),lower(D32)))))"),FALSE)</f>
        <v>0</v>
      </c>
      <c r="D32" s="51" t="s">
        <v>7483</v>
      </c>
      <c r="E32" s="357" t="b">
        <f>IFERROR(__xludf.DUMMYFUNCTION("if($C$2,true,and(not(ISBLANK(XLOOKUP($D$2,Advancements!$I$2:$I44,Advancements!$L$2:$L44))),not(REGEXMATCH(XLOOKUP($D$2,Advancements!$I$2:$I44,Advancements!$L$2:$L44),lower(F32)))))"),FALSE)</f>
        <v>0</v>
      </c>
      <c r="F32" s="357" t="s">
        <v>7484</v>
      </c>
      <c r="G32" s="357" t="b">
        <f>IFERROR(__xludf.DUMMYFUNCTION("if($C$2,true,and(not(ISBLANK(XLOOKUP($D$2,Advancements!$I$2:$I44,Advancements!$L$2:$L44))),not(REGEXMATCH(XLOOKUP($D$2,Advancements!$I$2:$I44,Advancements!$L$2:$L44),lower(H32)))))"),FALSE)</f>
        <v>0</v>
      </c>
      <c r="H32" s="610" t="s">
        <v>7485</v>
      </c>
      <c r="N32" s="659" t="s">
        <v>7486</v>
      </c>
      <c r="Q32" s="176" t="b">
        <f>IFERROR(__xludf.DUMMYFUNCTION("if($N$22,true,and(not(ISBLANK(XLOOKUP($O$22,Advancements!$I$2:$I44,Advancements!$L$2:$L44))),not(REGEXMATCH(XLOOKUP($O$22,Advancements!$I$2:$I44,Advancements!$L$2:$L44),lower(N32)))))"),FALSE)</f>
        <v>0</v>
      </c>
      <c r="R32" s="175" t="s">
        <v>7487</v>
      </c>
      <c r="T32" s="51" t="b">
        <f>IFERROR(__xludf.DUMMYFUNCTION("if($N$22,true,and(not(ISBLANK(XLOOKUP($O$22,Advancements!$I$2:$I44,Advancements!$L$2:$L44))),not(REGEXMATCH(XLOOKUP($O$22,Advancements!$I$2:$I44,Advancements!$L$2:$L44),lower(R32)))))"),FALSE)</f>
        <v>0</v>
      </c>
      <c r="U32" s="51" t="s">
        <v>7488</v>
      </c>
      <c r="W32" s="176" t="b">
        <f>IFERROR(__xludf.DUMMYFUNCTION("if($N$22,true,and(not(ISBLANK(XLOOKUP($O$22,Advancements!$I$2:$I44,Advancements!$L$2:$L44))),not(REGEXMATCH(XLOOKUP($O$22,Advancements!$I$2:$I44,Advancements!$L$2:$L44),lower(U32)))))"),FALSE)</f>
        <v>0</v>
      </c>
    </row>
    <row r="33">
      <c r="C33" s="175" t="b">
        <f>IFERROR(__xludf.DUMMYFUNCTION("if($C$2,true,and(not(ISBLANK(XLOOKUP($D$2,Advancements!$I$2:$I44,Advancements!$L$2:$L44))),not(REGEXMATCH(XLOOKUP($D$2,Advancements!$I$2:$I44,Advancements!$L$2:$L44),lower(D33)))))"),FALSE)</f>
        <v>0</v>
      </c>
      <c r="D33" s="51" t="s">
        <v>7489</v>
      </c>
      <c r="E33" s="357" t="b">
        <f>IFERROR(__xludf.DUMMYFUNCTION("if($C$2,true,and(not(ISBLANK(XLOOKUP($D$2,Advancements!$I$2:$I44,Advancements!$L$2:$L44))),not(REGEXMATCH(XLOOKUP($D$2,Advancements!$I$2:$I44,Advancements!$L$2:$L44),lower(F33)))))"),FALSE)</f>
        <v>0</v>
      </c>
      <c r="F33" s="357" t="s">
        <v>7490</v>
      </c>
      <c r="G33" s="357" t="b">
        <f>IFERROR(__xludf.DUMMYFUNCTION("if($C$2,true,and(not(ISBLANK(XLOOKUP($D$2,Advancements!$I$2:$I44,Advancements!$L$2:$L44))),not(REGEXMATCH(XLOOKUP($D$2,Advancements!$I$2:$I44,Advancements!$L$2:$L44),lower(H33)))))"),FALSE)</f>
        <v>0</v>
      </c>
      <c r="H33" s="610" t="s">
        <v>7491</v>
      </c>
      <c r="N33" s="659" t="s">
        <v>7492</v>
      </c>
      <c r="Q33" s="176" t="b">
        <f>IFERROR(__xludf.DUMMYFUNCTION("if($N$22,true,and(not(ISBLANK(XLOOKUP($O$22,Advancements!$I$2:$I44,Advancements!$L$2:$L44))),not(REGEXMATCH(XLOOKUP($O$22,Advancements!$I$2:$I44,Advancements!$L$2:$L44),lower(N33)))))"),FALSE)</f>
        <v>0</v>
      </c>
      <c r="R33" s="175" t="s">
        <v>7493</v>
      </c>
      <c r="T33" s="51" t="b">
        <f>IFERROR(__xludf.DUMMYFUNCTION("if($N$22,true,and(not(ISBLANK(XLOOKUP($O$22,Advancements!$I$2:$I44,Advancements!$L$2:$L44))),not(REGEXMATCH(XLOOKUP($O$22,Advancements!$I$2:$I44,Advancements!$L$2:$L44),lower(R33)))))"),FALSE)</f>
        <v>0</v>
      </c>
      <c r="U33" s="51" t="s">
        <v>7494</v>
      </c>
      <c r="W33" s="176" t="b">
        <f>IFERROR(__xludf.DUMMYFUNCTION("if($N$22,true,and(not(ISBLANK(XLOOKUP($O$22,Advancements!$I$2:$I44,Advancements!$L$2:$L44))),not(REGEXMATCH(XLOOKUP($O$22,Advancements!$I$2:$I44,Advancements!$L$2:$L44),lower(U33)))))"),FALSE)</f>
        <v>0</v>
      </c>
    </row>
    <row r="34">
      <c r="C34" s="623" t="b">
        <f>IFERROR(__xludf.DUMMYFUNCTION("if($C$2,true,and(not(ISBLANK(XLOOKUP($D$2,Advancements!$I$2:$I44,Advancements!$L$2:$L44))),not(REGEXMATCH(XLOOKUP($D$2,Advancements!$I$2:$I44,Advancements!$L$2:$L44),lower(D34)))))"),FALSE)</f>
        <v>0</v>
      </c>
      <c r="D34" s="357" t="s">
        <v>7495</v>
      </c>
      <c r="E34" s="357" t="b">
        <f>IFERROR(__xludf.DUMMYFUNCTION("if($C$2,true,and(not(ISBLANK(XLOOKUP($D$2,Advancements!$I$2:$I44,Advancements!$L$2:$L44))),not(REGEXMATCH(XLOOKUP($D$2,Advancements!$I$2:$I44,Advancements!$L$2:$L44),lower(F34)))))"),FALSE)</f>
        <v>0</v>
      </c>
      <c r="F34" s="357" t="s">
        <v>7496</v>
      </c>
      <c r="G34" s="357" t="b">
        <f>IFERROR(__xludf.DUMMYFUNCTION("if($C$2,true,and(not(ISBLANK(XLOOKUP($D$2,Advancements!$I$2:$I44,Advancements!$L$2:$L44))),not(REGEXMATCH(XLOOKUP($D$2,Advancements!$I$2:$I44,Advancements!$L$2:$L44),lower(H34)))))"),FALSE)</f>
        <v>0</v>
      </c>
      <c r="H34" s="610" t="s">
        <v>7497</v>
      </c>
      <c r="N34" s="175" t="s">
        <v>7498</v>
      </c>
      <c r="Q34" s="176" t="b">
        <f>IFERROR(__xludf.DUMMYFUNCTION("if($N$22,true,and(not(ISBLANK(XLOOKUP($O$22,Advancements!$I$2:$I44,Advancements!$L$2:$L44))),not(REGEXMATCH(XLOOKUP($O$22,Advancements!$I$2:$I44,Advancements!$L$2:$L44),lower(N34)))))"),FALSE)</f>
        <v>0</v>
      </c>
      <c r="R34" s="175" t="s">
        <v>7499</v>
      </c>
      <c r="T34" s="51" t="b">
        <f>IFERROR(__xludf.DUMMYFUNCTION("if($N$22,true,and(not(ISBLANK(XLOOKUP($O$22,Advancements!$I$2:$I44,Advancements!$L$2:$L44))),not(REGEXMATCH(XLOOKUP($O$22,Advancements!$I$2:$I44,Advancements!$L$2:$L44),lower(R34)))))"),FALSE)</f>
        <v>0</v>
      </c>
      <c r="U34" s="51" t="s">
        <v>7500</v>
      </c>
      <c r="W34" s="176" t="b">
        <f>IFERROR(__xludf.DUMMYFUNCTION("if($N$22,true,and(not(ISBLANK(XLOOKUP($O$22,Advancements!$I$2:$I44,Advancements!$L$2:$L44))),not(REGEXMATCH(XLOOKUP($O$22,Advancements!$I$2:$I44,Advancements!$L$2:$L44),lower(U34)))))"),FALSE)</f>
        <v>0</v>
      </c>
    </row>
    <row r="35">
      <c r="C35" s="623" t="b">
        <f>IFERROR(__xludf.DUMMYFUNCTION("if($C$2,true,and(not(ISBLANK(XLOOKUP($D$2,Advancements!$I$2:$I44,Advancements!$L$2:$L44))),not(REGEXMATCH(XLOOKUP($D$2,Advancements!$I$2:$I44,Advancements!$L$2:$L44),lower(D35)))))"),FALSE)</f>
        <v>0</v>
      </c>
      <c r="D35" s="357" t="s">
        <v>7501</v>
      </c>
      <c r="E35" s="51" t="b">
        <f>IFERROR(__xludf.DUMMYFUNCTION("if($C$2,true,and(not(ISBLANK(XLOOKUP($D$2,Advancements!$I$2:$I44,Advancements!$L$2:$L44))),not(REGEXMATCH(XLOOKUP($D$2,Advancements!$I$2:$I44,Advancements!$L$2:$L44),lower(F35)))))"),FALSE)</f>
        <v>0</v>
      </c>
      <c r="F35" s="51" t="s">
        <v>7502</v>
      </c>
      <c r="G35" s="51" t="b">
        <f>IFERROR(__xludf.DUMMYFUNCTION("if($C$2,true,and(not(ISBLANK(XLOOKUP($D$2,Advancements!$I$2:$I44,Advancements!$L$2:$L44))),not(REGEXMATCH(XLOOKUP($D$2,Advancements!$I$2:$I44,Advancements!$L$2:$L44),lower(H35)))))"),FALSE)</f>
        <v>0</v>
      </c>
      <c r="H35" s="176" t="s">
        <v>7503</v>
      </c>
      <c r="N35" s="660" t="s">
        <v>7504</v>
      </c>
      <c r="Q35" s="176" t="b">
        <f>IFERROR(__xludf.DUMMYFUNCTION("if($N$22,true,and(not(ISBLANK(XLOOKUP($O$22,Advancements!$I$2:$I44,Advancements!$L$2:$L44))),not(REGEXMATCH(XLOOKUP($O$22,Advancements!$I$2:$I44,Advancements!$L$2:$L44),lower(N35)))))"),FALSE)</f>
        <v>0</v>
      </c>
      <c r="R35" s="175" t="s">
        <v>7505</v>
      </c>
      <c r="T35" s="51" t="b">
        <f>IFERROR(__xludf.DUMMYFUNCTION("if($N$22,true,and(not(ISBLANK(XLOOKUP($O$22,Advancements!$I$2:$I44,Advancements!$L$2:$L44))),not(REGEXMATCH(XLOOKUP($O$22,Advancements!$I$2:$I44,Advancements!$L$2:$L44),lower(R35)))))"),FALSE)</f>
        <v>0</v>
      </c>
      <c r="U35" s="51" t="s">
        <v>7506</v>
      </c>
      <c r="W35" s="176" t="b">
        <f>IFERROR(__xludf.DUMMYFUNCTION("if($N$22,true,and(not(ISBLANK(XLOOKUP($O$22,Advancements!$I$2:$I44,Advancements!$L$2:$L44))),not(REGEXMATCH(XLOOKUP($O$22,Advancements!$I$2:$I44,Advancements!$L$2:$L44),lower(U35)))))"),FALSE)</f>
        <v>0</v>
      </c>
    </row>
    <row r="36">
      <c r="C36" s="623" t="b">
        <f>IFERROR(__xludf.DUMMYFUNCTION("if($C$2,true,and(not(ISBLANK(XLOOKUP($D$2,Advancements!$I$2:$I44,Advancements!$L$2:$L44))),not(REGEXMATCH(XLOOKUP($D$2,Advancements!$I$2:$I44,Advancements!$L$2:$L44),lower(D36)))))"),FALSE)</f>
        <v>0</v>
      </c>
      <c r="D36" s="357" t="s">
        <v>7507</v>
      </c>
      <c r="E36" s="51" t="b">
        <f>IFERROR(__xludf.DUMMYFUNCTION("if($C$2,true,and(not(ISBLANK(XLOOKUP($D$2,Advancements!$I$2:$I44,Advancements!$L$2:$L44))),not(REGEXMATCH(XLOOKUP($D$2,Advancements!$I$2:$I44,Advancements!$L$2:$L44),lower(F36)))))"),FALSE)</f>
        <v>0</v>
      </c>
      <c r="F36" s="51" t="s">
        <v>7508</v>
      </c>
      <c r="G36" s="51" t="b">
        <f>IFERROR(__xludf.DUMMYFUNCTION("if($C$2,true,and(not(ISBLANK(XLOOKUP($D$2,Advancements!$I$2:$I44,Advancements!$L$2:$L44))),not(REGEXMATCH(XLOOKUP($D$2,Advancements!$I$2:$I44,Advancements!$L$2:$L44),lower(H36)))))"),FALSE)</f>
        <v>0</v>
      </c>
      <c r="H36" s="176" t="s">
        <v>7509</v>
      </c>
      <c r="N36" s="175" t="s">
        <v>7510</v>
      </c>
      <c r="Q36" s="176" t="b">
        <f>IFERROR(__xludf.DUMMYFUNCTION("if($N$22,true,and(not(ISBLANK(XLOOKUP($O$22,Advancements!$I$2:$I44,Advancements!$L$2:$L44))),not(REGEXMATCH(XLOOKUP($O$22,Advancements!$I$2:$I44,Advancements!$L$2:$L44),lower(N36)))))"),FALSE)</f>
        <v>0</v>
      </c>
      <c r="R36" s="175" t="s">
        <v>7511</v>
      </c>
      <c r="T36" s="51" t="b">
        <f>IFERROR(__xludf.DUMMYFUNCTION("if($N$22,true,and(not(ISBLANK(XLOOKUP($O$22,Advancements!$I$2:$I44,Advancements!$L$2:$L44))),not(REGEXMATCH(XLOOKUP($O$22,Advancements!$I$2:$I44,Advancements!$L$2:$L44),lower(R36)))))"),FALSE)</f>
        <v>0</v>
      </c>
      <c r="U36" s="51" t="s">
        <v>7512</v>
      </c>
      <c r="W36" s="176" t="b">
        <f>IFERROR(__xludf.DUMMYFUNCTION("if($N$22,true,and(not(ISBLANK(XLOOKUP($O$22,Advancements!$I$2:$I44,Advancements!$L$2:$L44))),not(REGEXMATCH(XLOOKUP($O$22,Advancements!$I$2:$I44,Advancements!$L$2:$L44),lower(U36)))))"),FALSE)</f>
        <v>0</v>
      </c>
    </row>
    <row r="37">
      <c r="C37" s="623" t="b">
        <f>IFERROR(__xludf.DUMMYFUNCTION("if($C$2,true,and(not(ISBLANK(XLOOKUP($D$2,Advancements!$I$2:$I44,Advancements!$L$2:$L44))),not(REGEXMATCH(XLOOKUP($D$2,Advancements!$I$2:$I44,Advancements!$L$2:$L44),lower(D37)))))"),FALSE)</f>
        <v>0</v>
      </c>
      <c r="D37" s="357" t="s">
        <v>7513</v>
      </c>
      <c r="E37" s="51" t="b">
        <f>IFERROR(__xludf.DUMMYFUNCTION("if($C$2,true,and(not(ISBLANK(XLOOKUP($D$2,Advancements!$I$2:$I44,Advancements!$L$2:$L44))),not(REGEXMATCH(XLOOKUP($D$2,Advancements!$I$2:$I44,Advancements!$L$2:$L44),lower(F37)))))"),FALSE)</f>
        <v>0</v>
      </c>
      <c r="F37" s="51" t="s">
        <v>7514</v>
      </c>
      <c r="G37" s="51" t="b">
        <f>IFERROR(__xludf.DUMMYFUNCTION("if($C$2,true,and(not(ISBLANK(XLOOKUP($D$2,Advancements!$I$2:$I44,Advancements!$L$2:$L44))),not(REGEXMATCH(XLOOKUP($D$2,Advancements!$I$2:$I44,Advancements!$L$2:$L44),lower(H37)))))"),FALSE)</f>
        <v>0</v>
      </c>
      <c r="H37" s="176" t="s">
        <v>7515</v>
      </c>
      <c r="N37" s="175" t="s">
        <v>7516</v>
      </c>
      <c r="Q37" s="176" t="b">
        <f>IFERROR(__xludf.DUMMYFUNCTION("if($N$22,true,and(not(ISBLANK(XLOOKUP($O$22,Advancements!$I$2:$I44,Advancements!$L$2:$L44))),not(REGEXMATCH(XLOOKUP($O$22,Advancements!$I$2:$I44,Advancements!$L$2:$L44),lower(N37)))))"),FALSE)</f>
        <v>0</v>
      </c>
      <c r="R37" s="175" t="s">
        <v>7517</v>
      </c>
      <c r="T37" s="51" t="b">
        <f>IFERROR(__xludf.DUMMYFUNCTION("if($N$22,true,and(not(ISBLANK(XLOOKUP($O$22,Advancements!$I$2:$I44,Advancements!$L$2:$L44))),not(REGEXMATCH(XLOOKUP($O$22,Advancements!$I$2:$I44,Advancements!$L$2:$L44),lower(R37)))))"),FALSE)</f>
        <v>0</v>
      </c>
      <c r="U37" s="51" t="s">
        <v>7518</v>
      </c>
      <c r="W37" s="176" t="b">
        <f>IFERROR(__xludf.DUMMYFUNCTION("if($N$22,true,and(not(ISBLANK(XLOOKUP($O$22,Advancements!$I$2:$I44,Advancements!$L$2:$L44))),not(REGEXMATCH(XLOOKUP($O$22,Advancements!$I$2:$I44,Advancements!$L$2:$L44),lower(U37)))))"),FALSE)</f>
        <v>0</v>
      </c>
    </row>
    <row r="38">
      <c r="C38" s="175" t="b">
        <f>IFERROR(__xludf.DUMMYFUNCTION("if($C$2,true,and(not(ISBLANK(XLOOKUP($D$2,Advancements!$I$2:$I44,Advancements!$L$2:$L44))),not(REGEXMATCH(XLOOKUP($D$2,Advancements!$I$2:$I44,Advancements!$L$2:$L44),lower(D38)))))"),FALSE)</f>
        <v>0</v>
      </c>
      <c r="D38" s="51" t="s">
        <v>7519</v>
      </c>
      <c r="E38" s="51" t="b">
        <f>IFERROR(__xludf.DUMMYFUNCTION("if($C$2,true,and(not(ISBLANK(XLOOKUP($D$2,Advancements!$I$2:$I44,Advancements!$L$2:$L44))),not(REGEXMATCH(XLOOKUP($D$2,Advancements!$I$2:$I44,Advancements!$L$2:$L44),lower(F38)))))"),FALSE)</f>
        <v>0</v>
      </c>
      <c r="F38" s="51" t="s">
        <v>7520</v>
      </c>
      <c r="G38" s="357" t="b">
        <f>IFERROR(__xludf.DUMMYFUNCTION("if($C$2,true,and(not(ISBLANK(XLOOKUP($D$2,Advancements!$I$2:$I44,Advancements!$L$2:$L44))),not(REGEXMATCH(XLOOKUP($D$2,Advancements!$I$2:$I44,Advancements!$L$2:$L44),lower(H38)))))"),FALSE)</f>
        <v>0</v>
      </c>
      <c r="H38" s="610" t="s">
        <v>7521</v>
      </c>
      <c r="N38" s="175" t="s">
        <v>7522</v>
      </c>
      <c r="Q38" s="176" t="b">
        <f>IFERROR(__xludf.DUMMYFUNCTION("if($N$22,true,and(not(ISBLANK(XLOOKUP($O$22,Advancements!$I$2:$I44,Advancements!$L$2:$L44))),not(REGEXMATCH(XLOOKUP($O$22,Advancements!$I$2:$I44,Advancements!$L$2:$L44),lower(N38)))))"),FALSE)</f>
        <v>0</v>
      </c>
      <c r="R38" s="175" t="s">
        <v>7523</v>
      </c>
      <c r="T38" s="51" t="b">
        <f>IFERROR(__xludf.DUMMYFUNCTION("if($N$22,true,and(not(ISBLANK(XLOOKUP($O$22,Advancements!$I$2:$I44,Advancements!$L$2:$L44))),not(REGEXMATCH(XLOOKUP($O$22,Advancements!$I$2:$I44,Advancements!$L$2:$L44),lower(R38)))))"),FALSE)</f>
        <v>0</v>
      </c>
      <c r="U38" s="51" t="s">
        <v>7524</v>
      </c>
      <c r="W38" s="176" t="b">
        <f>IFERROR(__xludf.DUMMYFUNCTION("if($N$22,true,and(not(ISBLANK(XLOOKUP($O$22,Advancements!$I$2:$I44,Advancements!$L$2:$L44))),not(REGEXMATCH(XLOOKUP($O$22,Advancements!$I$2:$I44,Advancements!$L$2:$L44),lower(U38)))))"),FALSE)</f>
        <v>0</v>
      </c>
    </row>
    <row r="39">
      <c r="C39" s="175" t="b">
        <f>IFERROR(__xludf.DUMMYFUNCTION("if($C$2,true,and(not(ISBLANK(XLOOKUP($D$2,Advancements!$I$2:$I44,Advancements!$L$2:$L44))),not(REGEXMATCH(XLOOKUP($D$2,Advancements!$I$2:$I44,Advancements!$L$2:$L44),lower(D39)))))"),FALSE)</f>
        <v>0</v>
      </c>
      <c r="D39" s="51" t="s">
        <v>7525</v>
      </c>
      <c r="E39" s="51" t="b">
        <f>IFERROR(__xludf.DUMMYFUNCTION("if($C$2,true,and(not(ISBLANK(XLOOKUP($D$2,Advancements!$I$2:$I44,Advancements!$L$2:$L44))),not(REGEXMATCH(XLOOKUP($D$2,Advancements!$I$2:$I44,Advancements!$L$2:$L44),lower(F39)))))"),FALSE)</f>
        <v>0</v>
      </c>
      <c r="F39" s="51" t="s">
        <v>7526</v>
      </c>
      <c r="G39" s="357" t="b">
        <f>IFERROR(__xludf.DUMMYFUNCTION("if($C$2,true,and(not(ISBLANK(XLOOKUP($D$2,Advancements!$I$2:$I44,Advancements!$L$2:$L44))),not(REGEXMATCH(XLOOKUP($D$2,Advancements!$I$2:$I44,Advancements!$L$2:$L44),lower(H39)))))"),FALSE)</f>
        <v>0</v>
      </c>
      <c r="H39" s="610" t="s">
        <v>7527</v>
      </c>
      <c r="N39" s="659" t="s">
        <v>7528</v>
      </c>
      <c r="Q39" s="176" t="b">
        <f>IFERROR(__xludf.DUMMYFUNCTION("if($N$22,true,and(not(ISBLANK(XLOOKUP($O$22,Advancements!$I$2:$I44,Advancements!$L$2:$L44))),not(REGEXMATCH(XLOOKUP($O$22,Advancements!$I$2:$I44,Advancements!$L$2:$L44),lower(N39)))))"),FALSE)</f>
        <v>0</v>
      </c>
      <c r="R39" s="175" t="s">
        <v>7529</v>
      </c>
      <c r="T39" s="51" t="b">
        <f>IFERROR(__xludf.DUMMYFUNCTION("if($N$22,true,and(not(ISBLANK(XLOOKUP($O$22,Advancements!$I$2:$I44,Advancements!$L$2:$L44))),not(REGEXMATCH(XLOOKUP($O$22,Advancements!$I$2:$I44,Advancements!$L$2:$L44),lower(R39)))))"),FALSE)</f>
        <v>0</v>
      </c>
      <c r="U39" s="51" t="s">
        <v>7530</v>
      </c>
      <c r="W39" s="176" t="b">
        <f>IFERROR(__xludf.DUMMYFUNCTION("if($N$22,true,and(not(ISBLANK(XLOOKUP($O$22,Advancements!$I$2:$I44,Advancements!$L$2:$L44))),not(REGEXMATCH(XLOOKUP($O$22,Advancements!$I$2:$I44,Advancements!$L$2:$L44),lower(U39)))))"),FALSE)</f>
        <v>0</v>
      </c>
    </row>
    <row r="40">
      <c r="C40" s="623" t="b">
        <f>IFERROR(__xludf.DUMMYFUNCTION("if($C$2,true,and(not(ISBLANK(XLOOKUP($D$2,Advancements!$I$2:$I44,Advancements!$L$2:$L44))),not(REGEXMATCH(XLOOKUP($D$2,Advancements!$I$2:$I44,Advancements!$L$2:$L44),lower(D40)))))"),FALSE)</f>
        <v>0</v>
      </c>
      <c r="D40" s="357" t="s">
        <v>7531</v>
      </c>
      <c r="E40" s="357" t="b">
        <f>IFERROR(__xludf.DUMMYFUNCTION("if($C$2,true,and(not(ISBLANK(XLOOKUP($D$2,Advancements!$I$2:$I44,Advancements!$L$2:$L44))),not(REGEXMATCH(XLOOKUP($D$2,Advancements!$I$2:$I44,Advancements!$L$2:$L44),lower(F40)))))"),FALSE)</f>
        <v>0</v>
      </c>
      <c r="F40" s="357" t="s">
        <v>7532</v>
      </c>
      <c r="G40" s="356" t="b">
        <f>IFERROR(__xludf.DUMMYFUNCTION("if($C$2,true,and(not(ISBLANK(XLOOKUP($D$2,Advancements!$I$2:$I44,Advancements!$L$2:$L44))),not(REGEXMATCH(XLOOKUP($D$2,Advancements!$I$2:$I44,Advancements!$L$2:$L44),lower(H40)))))"),FALSE)</f>
        <v>0</v>
      </c>
      <c r="H40" s="610" t="s">
        <v>7533</v>
      </c>
      <c r="N40" s="659" t="s">
        <v>7534</v>
      </c>
      <c r="Q40" s="176" t="b">
        <f>IFERROR(__xludf.DUMMYFUNCTION("if($N$22,true,and(not(ISBLANK(XLOOKUP($O$22,Advancements!$I$2:$I44,Advancements!$L$2:$L44))),not(REGEXMATCH(XLOOKUP($O$22,Advancements!$I$2:$I44,Advancements!$L$2:$L44),lower(N40)))))"),FALSE)</f>
        <v>0</v>
      </c>
      <c r="R40" s="175" t="s">
        <v>7535</v>
      </c>
      <c r="T40" s="51" t="b">
        <f>IFERROR(__xludf.DUMMYFUNCTION("if($N$22,true,and(not(ISBLANK(XLOOKUP($O$22,Advancements!$I$2:$I44,Advancements!$L$2:$L44))),not(REGEXMATCH(XLOOKUP($O$22,Advancements!$I$2:$I44,Advancements!$L$2:$L44),lower(R40)))))"),FALSE)</f>
        <v>0</v>
      </c>
      <c r="U40" s="51" t="s">
        <v>7536</v>
      </c>
      <c r="W40" s="176" t="b">
        <f>IFERROR(__xludf.DUMMYFUNCTION("if($N$22,true,and(not(ISBLANK(XLOOKUP($O$22,Advancements!$I$2:$I44,Advancements!$L$2:$L44))),not(REGEXMATCH(XLOOKUP($O$22,Advancements!$I$2:$I44,Advancements!$L$2:$L44),lower(U40)))))"),FALSE)</f>
        <v>0</v>
      </c>
    </row>
    <row r="41">
      <c r="C41" s="623" t="b">
        <f>IFERROR(__xludf.DUMMYFUNCTION("if($C$2,true,and(not(ISBLANK(XLOOKUP($D$2,Advancements!$I$2:$I44,Advancements!$L$2:$L44))),not(REGEXMATCH(XLOOKUP($D$2,Advancements!$I$2:$I44,Advancements!$L$2:$L44),lower(D41)))))"),FALSE)</f>
        <v>0</v>
      </c>
      <c r="D41" s="357" t="s">
        <v>7537</v>
      </c>
      <c r="E41" s="357" t="b">
        <f>IFERROR(__xludf.DUMMYFUNCTION("if($C$2,true,and(not(ISBLANK(XLOOKUP($D$2,Advancements!$I$2:$I44,Advancements!$L$2:$L44))),not(REGEXMATCH(XLOOKUP($D$2,Advancements!$I$2:$I44,Advancements!$L$2:$L44),lower(F41)))))"),FALSE)</f>
        <v>0</v>
      </c>
      <c r="F41" s="357" t="s">
        <v>7538</v>
      </c>
      <c r="H41" s="176"/>
      <c r="N41" s="652" t="s">
        <v>7539</v>
      </c>
      <c r="O41" s="4"/>
      <c r="P41" s="4"/>
      <c r="Q41" s="661" t="b">
        <f>IFERROR(__xludf.DUMMYFUNCTION("if($N$22,true,and(not(ISBLANK(XLOOKUP($O$22,Advancements!$I$2:$I44,Advancements!$L$2:$L44))),not(REGEXMATCH(XLOOKUP($O$22,Advancements!$I$2:$I44,Advancements!$L$2:$L44),lower(N41)))))"),FALSE)</f>
        <v>0</v>
      </c>
      <c r="R41" s="652" t="s">
        <v>7540</v>
      </c>
      <c r="S41" s="4"/>
      <c r="T41" s="90" t="b">
        <f>IFERROR(__xludf.DUMMYFUNCTION("if($N$22,true,and(not(ISBLANK(XLOOKUP($O$22,Advancements!$I$2:$I44,Advancements!$L$2:$L44))),not(REGEXMATCH(XLOOKUP($O$22,Advancements!$I$2:$I44,Advancements!$L$2:$L44),lower(R41)))))"),FALSE)</f>
        <v>0</v>
      </c>
      <c r="U41" s="90" t="s">
        <v>7541</v>
      </c>
      <c r="V41" s="4"/>
      <c r="W41" s="661" t="b">
        <f>IFERROR(__xludf.DUMMYFUNCTION("if($N$22,true,and(not(ISBLANK(XLOOKUP($O$22,Advancements!$I$2:$I44,Advancements!$L$2:$L44))),not(REGEXMATCH(XLOOKUP($O$22,Advancements!$I$2:$I44,Advancements!$L$2:$L44),lower(U41)))))"),FALSE)</f>
        <v>0</v>
      </c>
    </row>
    <row r="42">
      <c r="C42" s="623" t="b">
        <f>IFERROR(__xludf.DUMMYFUNCTION("if($C$2,true,and(not(ISBLANK(XLOOKUP($D$2,Advancements!$I$2:$I44,Advancements!$L$2:$L44))),not(REGEXMATCH(XLOOKUP($D$2,Advancements!$I$2:$I44,Advancements!$L$2:$L44),lower(D42)))))"),FALSE)</f>
        <v>0</v>
      </c>
      <c r="D42" s="357" t="s">
        <v>7542</v>
      </c>
      <c r="E42" s="357" t="b">
        <f>IFERROR(__xludf.DUMMYFUNCTION("if($C$2,true,and(not(ISBLANK(XLOOKUP($D$2,Advancements!$I$2:$I44,Advancements!$L$2:$L44))),not(REGEXMATCH(XLOOKUP($D$2,Advancements!$I$2:$I44,Advancements!$L$2:$L44),lower(F42)))))"),FALSE)</f>
        <v>0</v>
      </c>
      <c r="F42" s="357" t="s">
        <v>7543</v>
      </c>
      <c r="H42" s="176"/>
      <c r="Y42" s="208" t="s">
        <v>7544</v>
      </c>
    </row>
    <row r="43">
      <c r="C43" s="640" t="b">
        <f>IFERROR(__xludf.DUMMYFUNCTION("if($C$2,true,and(not(ISBLANK(XLOOKUP($D$2,Advancements!$I$2:$I44,Advancements!$L$2:$L44))),not(REGEXMATCH(XLOOKUP($D$2,Advancements!$I$2:$I44,Advancements!$L$2:$L44),lower(D43)))))"),FALSE)</f>
        <v>0</v>
      </c>
      <c r="D43" s="662" t="s">
        <v>7545</v>
      </c>
      <c r="E43" s="663" t="b">
        <f>IFERROR(__xludf.DUMMYFUNCTION("if($C$2,true,and(not(ISBLANK(XLOOKUP($D$2,Advancements!$I$2:$I44,Advancements!$L$2:$L44))),not(REGEXMATCH(XLOOKUP($D$2,Advancements!$I$2:$I44,Advancements!$L$2:$L44),lower(F43)))))"),FALSE)</f>
        <v>0</v>
      </c>
      <c r="F43" s="662" t="s">
        <v>7546</v>
      </c>
      <c r="G43" s="90"/>
      <c r="H43" s="661"/>
      <c r="K43" s="371"/>
    </row>
    <row r="44">
      <c r="C44" s="43"/>
      <c r="D44" s="43"/>
      <c r="K44" s="371"/>
    </row>
  </sheetData>
  <mergeCells count="81">
    <mergeCell ref="C3:K3"/>
    <mergeCell ref="C5:H5"/>
    <mergeCell ref="J5:K5"/>
    <mergeCell ref="O5:P5"/>
    <mergeCell ref="N6:O6"/>
    <mergeCell ref="N7:O7"/>
    <mergeCell ref="N8:O8"/>
    <mergeCell ref="N9:O9"/>
    <mergeCell ref="N10:O10"/>
    <mergeCell ref="N13:O13"/>
    <mergeCell ref="N14:O14"/>
    <mergeCell ref="N15:O15"/>
    <mergeCell ref="N16:O16"/>
    <mergeCell ref="N17:O17"/>
    <mergeCell ref="N18:O18"/>
    <mergeCell ref="N11:O11"/>
    <mergeCell ref="J12:K12"/>
    <mergeCell ref="N12:O12"/>
    <mergeCell ref="D2:E2"/>
    <mergeCell ref="G2:K2"/>
    <mergeCell ref="O2:R2"/>
    <mergeCell ref="T2:W2"/>
    <mergeCell ref="Y2:Y20"/>
    <mergeCell ref="Z2:Z20"/>
    <mergeCell ref="N3:W3"/>
    <mergeCell ref="R26:W26"/>
    <mergeCell ref="N27:P27"/>
    <mergeCell ref="R27:S27"/>
    <mergeCell ref="U27:V27"/>
    <mergeCell ref="N28:P28"/>
    <mergeCell ref="R28:S28"/>
    <mergeCell ref="U28:V28"/>
    <mergeCell ref="N29:P29"/>
    <mergeCell ref="R29:S29"/>
    <mergeCell ref="U29:V29"/>
    <mergeCell ref="N30:P30"/>
    <mergeCell ref="R30:S30"/>
    <mergeCell ref="U30:V30"/>
    <mergeCell ref="N31:P31"/>
    <mergeCell ref="O22:R23"/>
    <mergeCell ref="N26:Q26"/>
    <mergeCell ref="R37:S37"/>
    <mergeCell ref="U37:V37"/>
    <mergeCell ref="N38:P38"/>
    <mergeCell ref="R38:S38"/>
    <mergeCell ref="U38:V38"/>
    <mergeCell ref="N39:P39"/>
    <mergeCell ref="R39:S39"/>
    <mergeCell ref="U39:V39"/>
    <mergeCell ref="N40:P40"/>
    <mergeCell ref="R40:S40"/>
    <mergeCell ref="U40:V40"/>
    <mergeCell ref="N41:P41"/>
    <mergeCell ref="R41:S41"/>
    <mergeCell ref="U41:V41"/>
    <mergeCell ref="N19:O19"/>
    <mergeCell ref="N20:O20"/>
    <mergeCell ref="N22:N23"/>
    <mergeCell ref="S22:S23"/>
    <mergeCell ref="T22:W23"/>
    <mergeCell ref="Y22:Z41"/>
    <mergeCell ref="N24:W24"/>
    <mergeCell ref="Y42:Z42"/>
    <mergeCell ref="R31:S31"/>
    <mergeCell ref="U31:V31"/>
    <mergeCell ref="N32:P32"/>
    <mergeCell ref="R32:S32"/>
    <mergeCell ref="U32:V32"/>
    <mergeCell ref="N33:P33"/>
    <mergeCell ref="R33:S33"/>
    <mergeCell ref="U33:V33"/>
    <mergeCell ref="N34:P34"/>
    <mergeCell ref="R34:S34"/>
    <mergeCell ref="U34:V34"/>
    <mergeCell ref="N35:P35"/>
    <mergeCell ref="R35:S35"/>
    <mergeCell ref="U35:V35"/>
    <mergeCell ref="N36:P36"/>
    <mergeCell ref="R36:S36"/>
    <mergeCell ref="U36:V36"/>
    <mergeCell ref="N37:P37"/>
  </mergeCells>
  <conditionalFormatting sqref="B1 M1">
    <cfRule type="expression" dxfId="4" priority="1">
      <formula>$C1=TRUE</formula>
    </cfRule>
  </conditionalFormatting>
  <conditionalFormatting sqref="B1 M1">
    <cfRule type="expression" dxfId="6" priority="2">
      <formula>$H1="Description"</formula>
    </cfRule>
  </conditionalFormatting>
  <conditionalFormatting sqref="C6:K43">
    <cfRule type="expression" dxfId="3" priority="3">
      <formula>C6</formula>
    </cfRule>
  </conditionalFormatting>
  <conditionalFormatting sqref="C6:K43">
    <cfRule type="expression" dxfId="12" priority="4">
      <formula>B6</formula>
    </cfRule>
  </conditionalFormatting>
  <conditionalFormatting sqref="Q6:W20">
    <cfRule type="expression" dxfId="3" priority="5">
      <formula>Q6</formula>
    </cfRule>
  </conditionalFormatting>
  <conditionalFormatting sqref="N27:Q41">
    <cfRule type="expression" dxfId="3" priority="6">
      <formula>$Q27</formula>
    </cfRule>
  </conditionalFormatting>
  <conditionalFormatting sqref="R27:T41">
    <cfRule type="expression" dxfId="3" priority="7">
      <formula>$T27</formula>
    </cfRule>
  </conditionalFormatting>
  <conditionalFormatting sqref="U27:W42">
    <cfRule type="expression" dxfId="3" priority="8">
      <formula>$W27</formula>
    </cfRule>
  </conditionalFormatting>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4A86E8"/>
    <outlinePr summaryBelow="0" summaryRight="0"/>
  </sheetPr>
  <sheetViews>
    <sheetView workbookViewId="0"/>
  </sheetViews>
  <sheetFormatPr customHeight="1" defaultColWidth="12.63" defaultRowHeight="15.75"/>
  <cols>
    <col customWidth="1" min="1" max="3" width="2.63"/>
    <col customWidth="1" min="4" max="4" width="21.88"/>
    <col customWidth="1" min="5" max="5" width="42.63"/>
    <col customWidth="1" min="6" max="6" width="33.13"/>
    <col customWidth="1" min="7" max="9" width="2.63"/>
    <col customWidth="1" min="10" max="10" width="21.88"/>
    <col customWidth="1" min="11" max="11" width="42.63"/>
    <col customWidth="1" min="12" max="12" width="33.13"/>
    <col customWidth="1" min="13" max="15" width="2.63"/>
    <col customWidth="1" min="16" max="16" width="19.5"/>
    <col customWidth="1" min="17" max="17" width="42.63"/>
    <col customWidth="1" min="18" max="18" width="33.13"/>
    <col customWidth="1" min="19" max="19" width="2.63"/>
  </cols>
  <sheetData>
    <row r="1">
      <c r="E1" s="370"/>
      <c r="F1" s="664"/>
      <c r="K1" s="370"/>
      <c r="L1" s="370"/>
      <c r="P1" s="208"/>
      <c r="Q1" s="370"/>
      <c r="R1" s="370"/>
    </row>
    <row r="2" ht="31.5" customHeight="1">
      <c r="A2" s="208"/>
      <c r="B2" s="665"/>
      <c r="C2" s="15"/>
      <c r="D2" s="666" t="s">
        <v>7547</v>
      </c>
      <c r="E2" s="667" t="s">
        <v>702</v>
      </c>
      <c r="F2" s="16"/>
      <c r="G2" s="208"/>
      <c r="H2" s="668"/>
      <c r="I2" s="15"/>
      <c r="J2" s="669" t="s">
        <v>6087</v>
      </c>
      <c r="K2" s="15"/>
      <c r="L2" s="16"/>
      <c r="N2" s="668"/>
      <c r="O2" s="15"/>
      <c r="P2" s="669" t="s">
        <v>6433</v>
      </c>
      <c r="Q2" s="15"/>
      <c r="R2" s="16"/>
    </row>
    <row r="3">
      <c r="B3" s="670" t="b">
        <f>IFERROR(__xludf.DUMMYFUNCTION("FILTER({Advancements!$G$2:$K1644},(regexmatch(lower(Advancements!$K$2:$K1644),lower(E2))))"),FALSE)</f>
        <v>0</v>
      </c>
      <c r="C3" s="609" t="str">
        <f>IFERROR(__xludf.DUMMYFUNCTION("""COMPUTED_VALUE"""),"")</f>
        <v/>
      </c>
      <c r="D3" s="609" t="str">
        <f>IFERROR(__xludf.DUMMYFUNCTION("""COMPUTED_VALUE"""),"MOAR Broken Tools")</f>
        <v>MOAR Broken Tools</v>
      </c>
      <c r="E3" s="671" t="str">
        <f>IFERROR(__xludf.DUMMYFUNCTION("""COMPUTED_VALUE"""),"Break every single tool in the game (See requirement notes below)")</f>
        <v>Break every single tool in the game (See requirement notes below)</v>
      </c>
      <c r="F3" s="672" t="str">
        <f>IFERROR(__xludf.DUMMYFUNCTION("""COMPUTED_VALUE"""),"4 Diamonds, 2 Netherite Ingots")</f>
        <v>4 Diamonds, 2 Netherite Ingots</v>
      </c>
      <c r="H3" s="673" t="b">
        <f>IFERROR(__xludf.DUMMYFUNCTION("FILTER({Advancements!$G$2:$K1644},regexmatch(Advancements!$K$2:$K1644,J2))"),FALSE)</f>
        <v>0</v>
      </c>
      <c r="I3" s="674" t="str">
        <f>IFERROR(__xludf.DUMMYFUNCTION("""COMPUTED_VALUE"""),"")</f>
        <v/>
      </c>
      <c r="J3" s="674" t="str">
        <f>IFERROR(__xludf.DUMMYFUNCTION("""COMPUTED_VALUE"""),"What a creep!")</f>
        <v>What a creep!</v>
      </c>
      <c r="K3" s="675" t="str">
        <f>IFERROR(__xludf.DUMMYFUNCTION("""COMPUTED_VALUE"""),"Kill a creeper")</f>
        <v>Kill a creeper</v>
      </c>
      <c r="L3" s="676" t="str">
        <f>IFERROR(__xludf.DUMMYFUNCTION("""COMPUTED_VALUE"""),"3 Gunpowder")</f>
        <v>3 Gunpowder</v>
      </c>
      <c r="N3" s="175" t="b">
        <f>IFERROR(__xludf.DUMMYFUNCTION("FILTER({Advancements!$G$2:$K1644},regexmatch(Advancements!$K$2:$K1644,P2))"),FALSE)</f>
        <v>0</v>
      </c>
      <c r="O3" s="51" t="str">
        <f>IFERROR(__xludf.DUMMYFUNCTION("""COMPUTED_VALUE"""),"")</f>
        <v/>
      </c>
      <c r="P3" s="51" t="str">
        <f>IFERROR(__xludf.DUMMYFUNCTION("""COMPUTED_VALUE"""),"MOAR Broken Tools")</f>
        <v>MOAR Broken Tools</v>
      </c>
      <c r="Q3" s="370" t="str">
        <f>IFERROR(__xludf.DUMMYFUNCTION("""COMPUTED_VALUE"""),"Break every single tool in the game (See requirement notes below)")</f>
        <v>Break every single tool in the game (See requirement notes below)</v>
      </c>
      <c r="R3" s="677" t="str">
        <f>IFERROR(__xludf.DUMMYFUNCTION("""COMPUTED_VALUE"""),"4 Diamonds, 2 Netherite Ingots")</f>
        <v>4 Diamonds, 2 Netherite Ingots</v>
      </c>
    </row>
    <row r="4">
      <c r="B4" s="670" t="b">
        <f>IFERROR(__xludf.DUMMYFUNCTION("""COMPUTED_VALUE"""),FALSE)</f>
        <v>0</v>
      </c>
      <c r="C4" s="609" t="str">
        <f>IFERROR(__xludf.DUMMYFUNCTION("""COMPUTED_VALUE"""),"")</f>
        <v/>
      </c>
      <c r="D4" s="609" t="str">
        <f>IFERROR(__xludf.DUMMYFUNCTION("""COMPUTED_VALUE"""),"Where are all your clothes?")</f>
        <v>Where are all your clothes?</v>
      </c>
      <c r="E4" s="671" t="str">
        <f>IFERROR(__xludf.DUMMYFUNCTION("""COMPUTED_VALUE"""),"Break every type of armor piece in the game (See requirement notes below)")</f>
        <v>Break every type of armor piece in the game (See requirement notes below)</v>
      </c>
      <c r="F4" s="672" t="str">
        <f>IFERROR(__xludf.DUMMYFUNCTION("""COMPUTED_VALUE"""),"4 Diamonds, 2 Netherite Ingots")</f>
        <v>4 Diamonds, 2 Netherite Ingots</v>
      </c>
      <c r="H4" s="673" t="b">
        <f>IFERROR(__xludf.DUMMYFUNCTION("""COMPUTED_VALUE"""),FALSE)</f>
        <v>0</v>
      </c>
      <c r="I4" s="674" t="str">
        <f>IFERROR(__xludf.DUMMYFUNCTION("""COMPUTED_VALUE"""),"")</f>
        <v/>
      </c>
      <c r="J4" s="674" t="str">
        <f>IFERROR(__xludf.DUMMYFUNCTION("""COMPUTED_VALUE"""),"Keep your distance")</f>
        <v>Keep your distance</v>
      </c>
      <c r="K4" s="675" t="str">
        <f>IFERROR(__xludf.DUMMYFUNCTION("""COMPUTED_VALUE"""),"Kill a Creeper with arrows (Also works with spectral and tipped arrows)")</f>
        <v>Kill a Creeper with arrows (Also works with spectral and tipped arrows)</v>
      </c>
      <c r="L4" s="676" t="str">
        <f>IFERROR(__xludf.DUMMYFUNCTION("""COMPUTED_VALUE"""),"4 Gunpowder")</f>
        <v>4 Gunpowder</v>
      </c>
      <c r="N4" s="175" t="b">
        <f>IFERROR(__xludf.DUMMYFUNCTION("""COMPUTED_VALUE"""),FALSE)</f>
        <v>0</v>
      </c>
      <c r="O4" s="51" t="str">
        <f>IFERROR(__xludf.DUMMYFUNCTION("""COMPUTED_VALUE"""),"")</f>
        <v/>
      </c>
      <c r="P4" s="51" t="str">
        <f>IFERROR(__xludf.DUMMYFUNCTION("""COMPUTED_VALUE"""),"Where are all your clothes?")</f>
        <v>Where are all your clothes?</v>
      </c>
      <c r="Q4" s="370" t="str">
        <f>IFERROR(__xludf.DUMMYFUNCTION("""COMPUTED_VALUE"""),"Break every type of armor piece in the game (See requirement notes below)")</f>
        <v>Break every type of armor piece in the game (See requirement notes below)</v>
      </c>
      <c r="R4" s="677" t="str">
        <f>IFERROR(__xludf.DUMMYFUNCTION("""COMPUTED_VALUE"""),"4 Diamonds, 2 Netherite Ingots")</f>
        <v>4 Diamonds, 2 Netherite Ingots</v>
      </c>
    </row>
    <row r="5">
      <c r="B5" s="670" t="b">
        <f>IFERROR(__xludf.DUMMYFUNCTION("""COMPUTED_VALUE"""),FALSE)</f>
        <v>0</v>
      </c>
      <c r="C5" s="609" t="str">
        <f>IFERROR(__xludf.DUMMYFUNCTION("""COMPUTED_VALUE"""),"")</f>
        <v/>
      </c>
      <c r="D5" s="609" t="str">
        <f>IFERROR(__xludf.DUMMYFUNCTION("""COMPUTED_VALUE"""),"Diamonds!")</f>
        <v>Diamonds!</v>
      </c>
      <c r="E5" s="671" t="str">
        <f>IFERROR(__xludf.DUMMYFUNCTION("""COMPUTED_VALUE"""),"Obtain diamonds")</f>
        <v>Obtain diamonds</v>
      </c>
      <c r="F5" s="672" t="str">
        <f>IFERROR(__xludf.DUMMYFUNCTION("""COMPUTED_VALUE"""),"1 Diamond")</f>
        <v>1 Diamond</v>
      </c>
      <c r="H5" s="673" t="b">
        <f>IFERROR(__xludf.DUMMYFUNCTION("""COMPUTED_VALUE"""),FALSE)</f>
        <v>0</v>
      </c>
      <c r="I5" s="674" t="str">
        <f>IFERROR(__xludf.DUMMYFUNCTION("""COMPUTED_VALUE"""),"")</f>
        <v/>
      </c>
      <c r="J5" s="674" t="str">
        <f>IFERROR(__xludf.DUMMYFUNCTION("""COMPUTED_VALUE"""),"Blast Shield")</f>
        <v>Blast Shield</v>
      </c>
      <c r="K5" s="675" t="str">
        <f>IFERROR(__xludf.DUMMYFUNCTION("""COMPUTED_VALUE"""),"Survive a creeper's blast with your shield (Block a creeper's explosion)")</f>
        <v>Survive a creeper's blast with your shield (Block a creeper's explosion)</v>
      </c>
      <c r="L5" s="676" t="str">
        <f>IFERROR(__xludf.DUMMYFUNCTION("""COMPUTED_VALUE"""),"8 Gunpowder")</f>
        <v>8 Gunpowder</v>
      </c>
      <c r="N5" s="175" t="b">
        <f>IFERROR(__xludf.DUMMYFUNCTION("""COMPUTED_VALUE"""),FALSE)</f>
        <v>0</v>
      </c>
      <c r="O5" s="51" t="str">
        <f>IFERROR(__xludf.DUMMYFUNCTION("""COMPUTED_VALUE"""),"")</f>
        <v/>
      </c>
      <c r="P5" s="51" t="str">
        <f>IFERROR(__xludf.DUMMYFUNCTION("""COMPUTED_VALUE"""),"Maximum Resistance")</f>
        <v>Maximum Resistance</v>
      </c>
      <c r="Q5" s="370" t="str">
        <f>IFERROR(__xludf.DUMMYFUNCTION("""COMPUTED_VALUE"""),"Take a hit from the Warden with the maximum possible protection (Take damage from a Warden while wearing full Netherite Armor enchanted with Protection IV and are under the Resistance IV effect (from a Turtle Master potion))")</f>
        <v>Take a hit from the Warden with the maximum possible protection (Take damage from a Warden while wearing full Netherite Armor enchanted with Protection IV and are under the Resistance IV effect (from a Turtle Master potion))</v>
      </c>
      <c r="R5" s="677" t="str">
        <f>IFERROR(__xludf.DUMMYFUNCTION("""COMPUTED_VALUE"""),"1 Netherite Ingot")</f>
        <v>1 Netherite Ingot</v>
      </c>
    </row>
    <row r="6">
      <c r="B6" s="670" t="b">
        <f>IFERROR(__xludf.DUMMYFUNCTION("""COMPUTED_VALUE"""),FALSE)</f>
        <v>0</v>
      </c>
      <c r="C6" s="609" t="str">
        <f>IFERROR(__xludf.DUMMYFUNCTION("""COMPUTED_VALUE"""),"")</f>
        <v/>
      </c>
      <c r="D6" s="609" t="str">
        <f>IFERROR(__xludf.DUMMYFUNCTION("""COMPUTED_VALUE"""),"Iconic Merchandising Prop")</f>
        <v>Iconic Merchandising Prop</v>
      </c>
      <c r="E6" s="671" t="str">
        <f>IFERROR(__xludf.DUMMYFUNCTION("""COMPUTED_VALUE"""),"Create a pickaxe of the highest calibre (Obtain a diamond pickaxe)")</f>
        <v>Create a pickaxe of the highest calibre (Obtain a diamond pickaxe)</v>
      </c>
      <c r="F6" s="672" t="str">
        <f>IFERROR(__xludf.DUMMYFUNCTION("""COMPUTED_VALUE"""),"1 Diamond")</f>
        <v>1 Diamond</v>
      </c>
      <c r="H6" s="673" t="b">
        <f>IFERROR(__xludf.DUMMYFUNCTION("""COMPUTED_VALUE"""),FALSE)</f>
        <v>0</v>
      </c>
      <c r="I6" s="674" t="str">
        <f>IFERROR(__xludf.DUMMYFUNCTION("""COMPUTED_VALUE"""),"")</f>
        <v/>
      </c>
      <c r="J6" s="674" t="str">
        <f>IFERROR(__xludf.DUMMYFUNCTION("""COMPUTED_VALUE"""),"Controlled Detonation")</f>
        <v>Controlled Detonation</v>
      </c>
      <c r="K6" s="675" t="str">
        <f>IFERROR(__xludf.DUMMYFUNCTION("""COMPUTED_VALUE"""),"Persuade a Creeper to blow up using Flint and Steel (Right-click a creeper using Flint and Steel OR a Fire Charge)")</f>
        <v>Persuade a Creeper to blow up using Flint and Steel (Right-click a creeper using Flint and Steel OR a Fire Charge)</v>
      </c>
      <c r="L6" s="676" t="str">
        <f>IFERROR(__xludf.DUMMYFUNCTION("""COMPUTED_VALUE"""),"4 Gunpowder")</f>
        <v>4 Gunpowder</v>
      </c>
      <c r="N6" s="175" t="b">
        <f>IFERROR(__xludf.DUMMYFUNCTION("""COMPUTED_VALUE"""),FALSE)</f>
        <v>0</v>
      </c>
      <c r="O6" s="51" t="str">
        <f>IFERROR(__xludf.DUMMYFUNCTION("""COMPUTED_VALUE"""),"")</f>
        <v/>
      </c>
      <c r="P6" s="51" t="str">
        <f>IFERROR(__xludf.DUMMYFUNCTION("""COMPUTED_VALUE"""),"MOAR Upgraded Tools")</f>
        <v>MOAR Upgraded Tools</v>
      </c>
      <c r="Q6" s="370" t="str">
        <f>IFERROR(__xludf.DUMMYFUNCTION("""COMPUTED_VALUE"""),"Craft a Netherite Pickaxe, Axe, Shovel and Hoe (Obtain a Netherite Pickaxe, Axe, Shovel and Hoe)")</f>
        <v>Craft a Netherite Pickaxe, Axe, Shovel and Hoe (Obtain a Netherite Pickaxe, Axe, Shovel and Hoe)</v>
      </c>
      <c r="R6" s="677" t="str">
        <f>IFERROR(__xludf.DUMMYFUNCTION("""COMPUTED_VALUE"""),"1 Netherite Ingot")</f>
        <v>1 Netherite Ingot</v>
      </c>
    </row>
    <row r="7">
      <c r="B7" s="670" t="b">
        <f>IFERROR(__xludf.DUMMYFUNCTION("""COMPUTED_VALUE"""),FALSE)</f>
        <v>0</v>
      </c>
      <c r="C7" s="609" t="str">
        <f>IFERROR(__xludf.DUMMYFUNCTION("""COMPUTED_VALUE"""),"")</f>
        <v/>
      </c>
      <c r="D7" s="609" t="str">
        <f>IFERROR(__xludf.DUMMYFUNCTION("""COMPUTED_VALUE"""),"Stabcraft")</f>
        <v>Stabcraft</v>
      </c>
      <c r="E7" s="671" t="str">
        <f>IFERROR(__xludf.DUMMYFUNCTION("""COMPUTED_VALUE"""),"Do you like my sword sword? (Obtain a diamond sword)")</f>
        <v>Do you like my sword sword? (Obtain a diamond sword)</v>
      </c>
      <c r="F7" s="672" t="str">
        <f>IFERROR(__xludf.DUMMYFUNCTION("""COMPUTED_VALUE"""),"1 Diamond")</f>
        <v>1 Diamond</v>
      </c>
      <c r="H7" s="673" t="b">
        <f>IFERROR(__xludf.DUMMYFUNCTION("""COMPUTED_VALUE"""),FALSE)</f>
        <v>0</v>
      </c>
      <c r="I7" s="674" t="str">
        <f>IFERROR(__xludf.DUMMYFUNCTION("""COMPUTED_VALUE"""),"")</f>
        <v/>
      </c>
      <c r="J7" s="674" t="str">
        <f>IFERROR(__xludf.DUMMYFUNCTION("""COMPUTED_VALUE"""),"Creeper Killer")</f>
        <v>Creeper Killer</v>
      </c>
      <c r="K7" s="675" t="str">
        <f>IFERROR(__xludf.DUMMYFUNCTION("""COMPUTED_VALUE"""),"Collect a stack of gunpowder")</f>
        <v>Collect a stack of gunpowder</v>
      </c>
      <c r="L7" s="676" t="str">
        <f>IFERROR(__xludf.DUMMYFUNCTION("""COMPUTED_VALUE"""),"8 Gunpowder, 1 Looting I Enchanted Book")</f>
        <v>8 Gunpowder, 1 Looting I Enchanted Book</v>
      </c>
      <c r="N7" s="175" t="b">
        <f>IFERROR(__xludf.DUMMYFUNCTION("""COMPUTED_VALUE"""),FALSE)</f>
        <v>0</v>
      </c>
      <c r="O7" s="51" t="str">
        <f>IFERROR(__xludf.DUMMYFUNCTION("""COMPUTED_VALUE"""),"")</f>
        <v/>
      </c>
      <c r="P7" s="51" t="str">
        <f>IFERROR(__xludf.DUMMYFUNCTION("""COMPUTED_VALUE"""),"A Knight to Nether Forget")</f>
        <v>A Knight to Nether Forget</v>
      </c>
      <c r="Q7" s="370" t="str">
        <f>IFERROR(__xludf.DUMMYFUNCTION("""COMPUTED_VALUE"""),"Upgrade your diamond armor to netherite armor (Obtain a full suit of Netherite Armor)")</f>
        <v>Upgrade your diamond armor to netherite armor (Obtain a full suit of Netherite Armor)</v>
      </c>
      <c r="R7" s="677" t="str">
        <f>IFERROR(__xludf.DUMMYFUNCTION("""COMPUTED_VALUE"""),"1 Netherite Ingot")</f>
        <v>1 Netherite Ingot</v>
      </c>
    </row>
    <row r="8">
      <c r="B8" s="670" t="b">
        <f>IFERROR(__xludf.DUMMYFUNCTION("""COMPUTED_VALUE"""),FALSE)</f>
        <v>0</v>
      </c>
      <c r="C8" s="609" t="str">
        <f>IFERROR(__xludf.DUMMYFUNCTION("""COMPUTED_VALUE"""),"")</f>
        <v/>
      </c>
      <c r="D8" s="609" t="str">
        <f>IFERROR(__xludf.DUMMYFUNCTION("""COMPUTED_VALUE"""),"Even MOAR tools")</f>
        <v>Even MOAR tools</v>
      </c>
      <c r="E8" s="671" t="str">
        <f>IFERROR(__xludf.DUMMYFUNCTION("""COMPUTED_VALUE"""),"Craft a full diamond tools set (Craft a diamond pickaxe, shovel, axe and hoe)")</f>
        <v>Craft a full diamond tools set (Craft a diamond pickaxe, shovel, axe and hoe)</v>
      </c>
      <c r="F8" s="672" t="str">
        <f>IFERROR(__xludf.DUMMYFUNCTION("""COMPUTED_VALUE"""),"2 Diamonds")</f>
        <v>2 Diamonds</v>
      </c>
      <c r="H8" s="175" t="b">
        <f>IFERROR(__xludf.DUMMYFUNCTION("""COMPUTED_VALUE"""),FALSE)</f>
        <v>0</v>
      </c>
      <c r="I8" s="51" t="str">
        <f>IFERROR(__xludf.DUMMYFUNCTION("""COMPUTED_VALUE"""),"")</f>
        <v/>
      </c>
      <c r="J8" s="51" t="str">
        <f>IFERROR(__xludf.DUMMYFUNCTION("""COMPUTED_VALUE"""),"Pyrotechnic")</f>
        <v>Pyrotechnic</v>
      </c>
      <c r="K8" s="370" t="str">
        <f>IFERROR(__xludf.DUMMYFUNCTION("""COMPUTED_VALUE"""),"Craft a firework of every shape and additional effect (See requirement notes below)")</f>
        <v>Craft a firework of every shape and additional effect (See requirement notes below)</v>
      </c>
      <c r="L8" s="677" t="str">
        <f>IFERROR(__xludf.DUMMYFUNCTION("""COMPUTED_VALUE"""),"16 Gunpowder, 1 Diamond")</f>
        <v>16 Gunpowder, 1 Diamond</v>
      </c>
      <c r="N8" s="175" t="b">
        <f>IFERROR(__xludf.DUMMYFUNCTION("""COMPUTED_VALUE"""),FALSE)</f>
        <v>0</v>
      </c>
      <c r="O8" s="51" t="str">
        <f>IFERROR(__xludf.DUMMYFUNCTION("""COMPUTED_VALUE"""),"")</f>
        <v/>
      </c>
      <c r="P8" s="51" t="str">
        <f>IFERROR(__xludf.DUMMYFUNCTION("""COMPUTED_VALUE"""),"Soul Runnings!")</f>
        <v>Soul Runnings!</v>
      </c>
      <c r="Q8" s="370" t="str">
        <f>IFERROR(__xludf.DUMMYFUNCTION("""COMPUTED_VALUE"""),"Step on Soul Sand with Netherite Boots enchanted with Soul Speed III (Also works with Soul Soil)")</f>
        <v>Step on Soul Sand with Netherite Boots enchanted with Soul Speed III (Also works with Soul Soil)</v>
      </c>
      <c r="R8" s="677" t="str">
        <f>IFERROR(__xludf.DUMMYFUNCTION("""COMPUTED_VALUE"""),"1 Netherite Ingot")</f>
        <v>1 Netherite Ingot</v>
      </c>
    </row>
    <row r="9">
      <c r="B9" s="670" t="b">
        <f>IFERROR(__xludf.DUMMYFUNCTION("""COMPUTED_VALUE"""),FALSE)</f>
        <v>0</v>
      </c>
      <c r="C9" s="609" t="str">
        <f>IFERROR(__xludf.DUMMYFUNCTION("""COMPUTED_VALUE"""),"")</f>
        <v/>
      </c>
      <c r="D9" s="609" t="str">
        <f>IFERROR(__xludf.DUMMYFUNCTION("""COMPUTED_VALUE"""),"Rest in Pickaxes")</f>
        <v>Rest in Pickaxes</v>
      </c>
      <c r="E9" s="671" t="str">
        <f>IFERROR(__xludf.DUMMYFUNCTION("""COMPUTED_VALUE"""),"Break your first diamond pickaxe")</f>
        <v>Break your first diamond pickaxe</v>
      </c>
      <c r="F9" s="672" t="str">
        <f>IFERROR(__xludf.DUMMYFUNCTION("""COMPUTED_VALUE"""),"2 Diamonds")</f>
        <v>2 Diamonds</v>
      </c>
      <c r="H9" s="673" t="b">
        <f>IFERROR(__xludf.DUMMYFUNCTION("""COMPUTED_VALUE"""),FALSE)</f>
        <v>0</v>
      </c>
      <c r="I9" s="674" t="str">
        <f>IFERROR(__xludf.DUMMYFUNCTION("""COMPUTED_VALUE"""),"")</f>
        <v/>
      </c>
      <c r="J9" s="674" t="str">
        <f>IFERROR(__xludf.DUMMYFUNCTION("""COMPUTED_VALUE"""),"Explosive Fire")</f>
        <v>Explosive Fire</v>
      </c>
      <c r="K9" s="675" t="str">
        <f>IFERROR(__xludf.DUMMYFUNCTION("""COMPUTED_VALUE"""),"Load your crossbow with a firework")</f>
        <v>Load your crossbow with a firework</v>
      </c>
      <c r="L9" s="676" t="str">
        <f>IFERROR(__xludf.DUMMYFUNCTION("""COMPUTED_VALUE"""),"8 Gunpowder")</f>
        <v>8 Gunpowder</v>
      </c>
      <c r="N9" s="652" t="b">
        <f>IFERROR(__xludf.DUMMYFUNCTION("""COMPUTED_VALUE"""),FALSE)</f>
        <v>0</v>
      </c>
      <c r="O9" s="90" t="str">
        <f>IFERROR(__xludf.DUMMYFUNCTION("""COMPUTED_VALUE"""),"")</f>
        <v/>
      </c>
      <c r="P9" s="90" t="str">
        <f>IFERROR(__xludf.DUMMYFUNCTION("""COMPUTED_VALUE"""),"Master Netherite Miner")</f>
        <v>Master Netherite Miner</v>
      </c>
      <c r="Q9" s="678" t="str">
        <f>IFERROR(__xludf.DUMMYFUNCTION("""COMPUTED_VALUE"""),"Mine enough Ancient Debris to make a stack of Netherite Ingots (don’t worry, this datapack won’t make you mine a stack of Netherite Blocks, I’m not that evil…)")</f>
        <v>Mine enough Ancient Debris to make a stack of Netherite Ingots (don’t worry, this datapack won’t make you mine a stack of Netherite Blocks, I’m not that evil…)</v>
      </c>
      <c r="R9" s="679" t="str">
        <f>IFERROR(__xludf.DUMMYFUNCTION("""COMPUTED_VALUE"""),"8 Netherite Ingots")</f>
        <v>8 Netherite Ingots</v>
      </c>
    </row>
    <row r="10">
      <c r="B10" s="670" t="b">
        <f>IFERROR(__xludf.DUMMYFUNCTION("""COMPUTED_VALUE"""),FALSE)</f>
        <v>0</v>
      </c>
      <c r="C10" s="609" t="str">
        <f>IFERROR(__xludf.DUMMYFUNCTION("""COMPUTED_VALUE"""),"")</f>
        <v/>
      </c>
      <c r="D10" s="609" t="str">
        <f>IFERROR(__xludf.DUMMYFUNCTION("""COMPUTED_VALUE"""),"Cover Me With Diamonds")</f>
        <v>Cover Me With Diamonds</v>
      </c>
      <c r="E10" s="671" t="str">
        <f>IFERROR(__xludf.DUMMYFUNCTION("""COMPUTED_VALUE"""),"Diamond armor saves lives (Wear either a diamond helmet, chestplate, leggings, or boots)")</f>
        <v>Diamond armor saves lives (Wear either a diamond helmet, chestplate, leggings, or boots)</v>
      </c>
      <c r="F10" s="672" t="str">
        <f>IFERROR(__xludf.DUMMYFUNCTION("""COMPUTED_VALUE"""),"2 Diamonds")</f>
        <v>2 Diamonds</v>
      </c>
      <c r="H10" s="673" t="b">
        <f>IFERROR(__xludf.DUMMYFUNCTION("""COMPUTED_VALUE"""),FALSE)</f>
        <v>0</v>
      </c>
      <c r="I10" s="674" t="str">
        <f>IFERROR(__xludf.DUMMYFUNCTION("""COMPUTED_VALUE"""),"")</f>
        <v/>
      </c>
      <c r="J10" s="674" t="str">
        <f>IFERROR(__xludf.DUMMYFUNCTION("""COMPUTED_VALUE"""),"My Eyes!")</f>
        <v>My Eyes!</v>
      </c>
      <c r="K10" s="675" t="str">
        <f>IFERROR(__xludf.DUMMYFUNCTION("""COMPUTED_VALUE"""),"Kill a mob using a firework's explosion")</f>
        <v>Kill a mob using a firework's explosion</v>
      </c>
      <c r="L10" s="676" t="str">
        <f>IFERROR(__xludf.DUMMYFUNCTION("""COMPUTED_VALUE"""),"8 Gunpowder")</f>
        <v>8 Gunpowder</v>
      </c>
      <c r="Q10" s="370"/>
      <c r="R10" s="370"/>
    </row>
    <row r="11">
      <c r="B11" s="670" t="b">
        <f>IFERROR(__xludf.DUMMYFUNCTION("""COMPUTED_VALUE"""),FALSE)</f>
        <v>0</v>
      </c>
      <c r="C11" s="609" t="str">
        <f>IFERROR(__xludf.DUMMYFUNCTION("""COMPUTED_VALUE"""),"")</f>
        <v/>
      </c>
      <c r="D11" s="609" t="str">
        <f>IFERROR(__xludf.DUMMYFUNCTION("""COMPUTED_VALUE"""),"Diamond Clad")</f>
        <v>Diamond Clad</v>
      </c>
      <c r="E11" s="671" t="str">
        <f>IFERROR(__xludf.DUMMYFUNCTION("""COMPUTED_VALUE"""),"A full suit of diamond armor saves even more lives (Wear a diamond helmet, chestplate, leggings, and boots at the same time)")</f>
        <v>A full suit of diamond armor saves even more lives (Wear a diamond helmet, chestplate, leggings, and boots at the same time)</v>
      </c>
      <c r="F11" s="672" t="str">
        <f>IFERROR(__xludf.DUMMYFUNCTION("""COMPUTED_VALUE"""),"3 Diamonds")</f>
        <v>3 Diamonds</v>
      </c>
      <c r="H11" s="175" t="b">
        <f>IFERROR(__xludf.DUMMYFUNCTION("""COMPUTED_VALUE"""),FALSE)</f>
        <v>0</v>
      </c>
      <c r="I11" s="51" t="str">
        <f>IFERROR(__xludf.DUMMYFUNCTION("""COMPUTED_VALUE"""),"")</f>
        <v/>
      </c>
      <c r="J11" s="51" t="str">
        <f>IFERROR(__xludf.DUMMYFUNCTION("""COMPUTED_VALUE"""),"Who ya gonna call?")</f>
        <v>Who ya gonna call?</v>
      </c>
      <c r="K11" s="370" t="str">
        <f>IFERROR(__xludf.DUMMYFUNCTION("""COMPUTED_VALUE"""),"Kill a ghast using a firework's explosion")</f>
        <v>Kill a ghast using a firework's explosion</v>
      </c>
      <c r="L11" s="677" t="str">
        <f>IFERROR(__xludf.DUMMYFUNCTION("""COMPUTED_VALUE"""),"16 Gunpowder")</f>
        <v>16 Gunpowder</v>
      </c>
      <c r="N11" s="680"/>
      <c r="O11" s="15"/>
      <c r="P11" s="669" t="s">
        <v>5342</v>
      </c>
      <c r="Q11" s="15"/>
      <c r="R11" s="16"/>
    </row>
    <row r="12">
      <c r="B12" s="670" t="b">
        <f>IFERROR(__xludf.DUMMYFUNCTION("""COMPUTED_VALUE"""),FALSE)</f>
        <v>0</v>
      </c>
      <c r="C12" s="609" t="str">
        <f>IFERROR(__xludf.DUMMYFUNCTION("""COMPUTED_VALUE"""),"")</f>
        <v/>
      </c>
      <c r="D12" s="609" t="str">
        <f>IFERROR(__xludf.DUMMYFUNCTION("""COMPUTED_VALUE"""),"Diamond Miner")</f>
        <v>Diamond Miner</v>
      </c>
      <c r="E12" s="671" t="str">
        <f>IFERROR(__xludf.DUMMYFUNCTION("""COMPUTED_VALUE"""),"Mine a stack of diamonds. Good luck!")</f>
        <v>Mine a stack of diamonds. Good luck!</v>
      </c>
      <c r="F12" s="672" t="str">
        <f>IFERROR(__xludf.DUMMYFUNCTION("""COMPUTED_VALUE"""),"8 Diamonds")</f>
        <v>8 Diamonds</v>
      </c>
      <c r="H12" s="175" t="b">
        <f>IFERROR(__xludf.DUMMYFUNCTION("""COMPUTED_VALUE"""),FALSE)</f>
        <v>0</v>
      </c>
      <c r="I12" s="51" t="str">
        <f>IFERROR(__xludf.DUMMYFUNCTION("""COMPUTED_VALUE"""),"")</f>
        <v/>
      </c>
      <c r="J12" s="51" t="str">
        <f>IFERROR(__xludf.DUMMYFUNCTION("""COMPUTED_VALUE"""),"Ghast Slayer")</f>
        <v>Ghast Slayer</v>
      </c>
      <c r="K12" s="370" t="str">
        <f>IFERROR(__xludf.DUMMYFUNCTION("""COMPUTED_VALUE"""),"Collect a stack of ghast tears")</f>
        <v>Collect a stack of ghast tears</v>
      </c>
      <c r="L12" s="677" t="str">
        <f>IFERROR(__xludf.DUMMYFUNCTION("""COMPUTED_VALUE"""),"8 Ghast Tears, 16 Gunpowder, 1 Punch I Enchanted Book")</f>
        <v>8 Ghast Tears, 16 Gunpowder, 1 Punch I Enchanted Book</v>
      </c>
      <c r="N12" s="681" t="b">
        <f>IFERROR(__xludf.DUMMYFUNCTION("FILTER({Advancements!$G$2:$K1644},regexmatch(Advancements!$K$2:$K1644,P11))"),FALSE)</f>
        <v>0</v>
      </c>
      <c r="O12" s="43" t="str">
        <f>IFERROR(__xludf.DUMMYFUNCTION("""COMPUTED_VALUE"""),"")</f>
        <v/>
      </c>
      <c r="P12" s="43" t="str">
        <f>IFERROR(__xludf.DUMMYFUNCTION("""COMPUTED_VALUE"""),"Spreading Corruption")</f>
        <v>Spreading Corruption</v>
      </c>
      <c r="Q12" s="682" t="str">
        <f>IFERROR(__xludf.DUMMYFUNCTION("""COMPUTED_VALUE"""),"Place one of every Nether block in the Overworld (See requirement notes below)")</f>
        <v>Place one of every Nether block in the Overworld (See requirement notes below)</v>
      </c>
      <c r="R12" s="683" t="str">
        <f>IFERROR(__xludf.DUMMYFUNCTION("""COMPUTED_VALUE"""),"4 Ancient Debris")</f>
        <v>4 Ancient Debris</v>
      </c>
    </row>
    <row r="13">
      <c r="B13" s="670" t="b">
        <f>IFERROR(__xludf.DUMMYFUNCTION("""COMPUTED_VALUE"""),FALSE)</f>
        <v>0</v>
      </c>
      <c r="C13" s="609" t="str">
        <f>IFERROR(__xludf.DUMMYFUNCTION("""COMPUTED_VALUE"""),"")</f>
        <v/>
      </c>
      <c r="D13" s="609" t="str">
        <f>IFERROR(__xludf.DUMMYFUNCTION("""COMPUTED_VALUE"""),"Diamonds to you!")</f>
        <v>Diamonds to you!</v>
      </c>
      <c r="E13" s="671" t="str">
        <f>IFERROR(__xludf.DUMMYFUNCTION("""COMPUTED_VALUE"""),"Throw diamonds at another player or mob (Throw a diamond and have any other entity pick it up)")</f>
        <v>Throw diamonds at another player or mob (Throw a diamond and have any other entity pick it up)</v>
      </c>
      <c r="F13" s="672" t="str">
        <f>IFERROR(__xludf.DUMMYFUNCTION("""COMPUTED_VALUE"""),"2 Diamonds")</f>
        <v>2 Diamonds</v>
      </c>
      <c r="H13" s="175" t="b">
        <f>IFERROR(__xludf.DUMMYFUNCTION("""COMPUTED_VALUE"""),FALSE)</f>
        <v>0</v>
      </c>
      <c r="I13" s="51" t="str">
        <f>IFERROR(__xludf.DUMMYFUNCTION("""COMPUTED_VALUE"""),"")</f>
        <v/>
      </c>
      <c r="J13" s="51" t="str">
        <f>IFERROR(__xludf.DUMMYFUNCTION("""COMPUTED_VALUE"""),"Death By Magic")</f>
        <v>Death By Magic</v>
      </c>
      <c r="K13" s="370" t="str">
        <f>IFERROR(__xludf.DUMMYFUNCTION("""COMPUTED_VALUE"""),"Kill a mob with a splash potion")</f>
        <v>Kill a mob with a splash potion</v>
      </c>
      <c r="L13" s="677" t="str">
        <f>IFERROR(__xludf.DUMMYFUNCTION("""COMPUTED_VALUE"""),"4 Gunpowder")</f>
        <v>4 Gunpowder</v>
      </c>
      <c r="N13" s="175" t="b">
        <f>IFERROR(__xludf.DUMMYFUNCTION("""COMPUTED_VALUE"""),FALSE)</f>
        <v>0</v>
      </c>
      <c r="O13" s="51" t="str">
        <f>IFERROR(__xludf.DUMMYFUNCTION("""COMPUTED_VALUE"""),"")</f>
        <v/>
      </c>
      <c r="P13" s="51" t="str">
        <f>IFERROR(__xludf.DUMMYFUNCTION("""COMPUTED_VALUE"""),"The Struggle Nether Ends")</f>
        <v>The Struggle Nether Ends</v>
      </c>
      <c r="Q13" s="370" t="str">
        <f>IFERROR(__xludf.DUMMYFUNCTION("""COMPUTED_VALUE"""),"Place one of every Nether block in The End (See requirement notes below)")</f>
        <v>Place one of every Nether block in The End (See requirement notes below)</v>
      </c>
      <c r="R13" s="677" t="str">
        <f>IFERROR(__xludf.DUMMYFUNCTION("""COMPUTED_VALUE"""),"4 Ancient Debris")</f>
        <v>4 Ancient Debris</v>
      </c>
    </row>
    <row r="14">
      <c r="B14" s="670" t="b">
        <f>IFERROR(__xludf.DUMMYFUNCTION("""COMPUTED_VALUE"""),FALSE)</f>
        <v>0</v>
      </c>
      <c r="C14" s="609" t="str">
        <f>IFERROR(__xludf.DUMMYFUNCTION("""COMPUTED_VALUE"""),"")</f>
        <v/>
      </c>
      <c r="D14" s="609" t="str">
        <f>IFERROR(__xludf.DUMMYFUNCTION("""COMPUTED_VALUE"""),"Master Diamond Miner")</f>
        <v>Master Diamond Miner</v>
      </c>
      <c r="E14" s="671" t="str">
        <f>IFERROR(__xludf.DUMMYFUNCTION("""COMPUTED_VALUE"""),"Mine enough diamond to make a stack of diamond blocks")</f>
        <v>Mine enough diamond to make a stack of diamond blocks</v>
      </c>
      <c r="F14" s="672" t="str">
        <f>IFERROR(__xludf.DUMMYFUNCTION("""COMPUTED_VALUE"""),"8 Diamond Blocks")</f>
        <v>8 Diamond Blocks</v>
      </c>
      <c r="H14" s="175" t="b">
        <f>IFERROR(__xludf.DUMMYFUNCTION("""COMPUTED_VALUE"""),FALSE)</f>
        <v>0</v>
      </c>
      <c r="I14" s="51" t="str">
        <f>IFERROR(__xludf.DUMMYFUNCTION("""COMPUTED_VALUE"""),"")</f>
        <v/>
      </c>
      <c r="J14" s="51" t="str">
        <f>IFERROR(__xludf.DUMMYFUNCTION("""COMPUTED_VALUE"""),"Stealth Takedown")</f>
        <v>Stealth Takedown</v>
      </c>
      <c r="K14" s="370" t="str">
        <f>IFERROR(__xludf.DUMMYFUNCTION("""COMPUTED_VALUE"""),"Dispatch a Creeper at melee range while you are invisible (Kill a Creeper that is less than 5 blocks away while you are invisible)")</f>
        <v>Dispatch a Creeper at melee range while you are invisible (Kill a Creeper that is less than 5 blocks away while you are invisible)</v>
      </c>
      <c r="L14" s="677" t="str">
        <f>IFERROR(__xludf.DUMMYFUNCTION("""COMPUTED_VALUE"""),"8 Gunpowder")</f>
        <v>8 Gunpowder</v>
      </c>
      <c r="N14" s="175" t="b">
        <f>IFERROR(__xludf.DUMMYFUNCTION("""COMPUTED_VALUE"""),FALSE)</f>
        <v>0</v>
      </c>
      <c r="O14" s="51" t="str">
        <f>IFERROR(__xludf.DUMMYFUNCTION("""COMPUTED_VALUE"""),"")</f>
        <v/>
      </c>
      <c r="P14" s="51" t="str">
        <f>IFERROR(__xludf.DUMMYFUNCTION("""COMPUTED_VALUE"""),"Diamonds Are Not Forever")</f>
        <v>Diamonds Are Not Forever</v>
      </c>
      <c r="Q14" s="370" t="str">
        <f>IFERROR(__xludf.DUMMYFUNCTION("""COMPUTED_VALUE"""),"Use Gold Ingots and Netherite Scrap to make a Netherite Ingot (Obtain a Netherite Ingot)")</f>
        <v>Use Gold Ingots and Netherite Scrap to make a Netherite Ingot (Obtain a Netherite Ingot)</v>
      </c>
      <c r="R14" s="677" t="str">
        <f>IFERROR(__xludf.DUMMYFUNCTION("""COMPUTED_VALUE"""),"4 Ancient Debris")</f>
        <v>4 Ancient Debris</v>
      </c>
    </row>
    <row r="15">
      <c r="B15" s="670" t="b">
        <f>IFERROR(__xludf.DUMMYFUNCTION("""COMPUTED_VALUE"""),FALSE)</f>
        <v>0</v>
      </c>
      <c r="C15" s="609" t="str">
        <f>IFERROR(__xludf.DUMMYFUNCTION("""COMPUTED_VALUE"""),"")</f>
        <v/>
      </c>
      <c r="D15" s="609" t="str">
        <f>IFERROR(__xludf.DUMMYFUNCTION("""COMPUTED_VALUE"""),"Custom Boss Fight!")</f>
        <v>Custom Boss Fight!</v>
      </c>
      <c r="E15" s="671" t="str">
        <f>IFERROR(__xludf.DUMMYFUNCTION("""COMPUTED_VALUE"""),"Give a zombie full diamond armor and a diamond sword... then kill it")</f>
        <v>Give a zombie full diamond armor and a diamond sword... then kill it</v>
      </c>
      <c r="F15" s="672" t="str">
        <f>IFERROR(__xludf.DUMMYFUNCTION("""COMPUTED_VALUE"""),"9 Diamonds")</f>
        <v>9 Diamonds</v>
      </c>
      <c r="H15" s="652" t="b">
        <f>IFERROR(__xludf.DUMMYFUNCTION("""COMPUTED_VALUE"""),FALSE)</f>
        <v>0</v>
      </c>
      <c r="I15" s="90" t="str">
        <f>IFERROR(__xludf.DUMMYFUNCTION("""COMPUTED_VALUE"""),"")</f>
        <v/>
      </c>
      <c r="J15" s="90" t="str">
        <f>IFERROR(__xludf.DUMMYFUNCTION("""COMPUTED_VALUE"""),"Rocketman")</f>
        <v>Rocketman</v>
      </c>
      <c r="K15" s="678" t="str">
        <f>IFERROR(__xludf.DUMMYFUNCTION("""COMPUTED_VALUE"""),"Fill your inventory with full stacks of firework rockets (All inventory slots, including your hotbar and offhand, must be filled, hence requiring 37 stacks of rockets)")</f>
        <v>Fill your inventory with full stacks of firework rockets (All inventory slots, including your hotbar and offhand, must be filled, hence requiring 37 stacks of rockets)</v>
      </c>
      <c r="L15" s="679" t="str">
        <f>IFERROR(__xludf.DUMMYFUNCTION("""COMPUTED_VALUE"""),"64 Gunpowder")</f>
        <v>64 Gunpowder</v>
      </c>
      <c r="N15" s="652" t="b">
        <f>IFERROR(__xludf.DUMMYFUNCTION("""COMPUTED_VALUE"""),FALSE)</f>
        <v>0</v>
      </c>
      <c r="O15" s="90" t="str">
        <f>IFERROR(__xludf.DUMMYFUNCTION("""COMPUTED_VALUE"""),"")</f>
        <v/>
      </c>
      <c r="P15" s="90" t="str">
        <f>IFERROR(__xludf.DUMMYFUNCTION("""COMPUTED_VALUE"""),"Netherite Miner")</f>
        <v>Netherite Miner</v>
      </c>
      <c r="Q15" s="678" t="str">
        <f>IFERROR(__xludf.DUMMYFUNCTION("""COMPUTED_VALUE"""),"Mine a stack of Ancient Debris")</f>
        <v>Mine a stack of Ancient Debris</v>
      </c>
      <c r="R15" s="679" t="str">
        <f>IFERROR(__xludf.DUMMYFUNCTION("""COMPUTED_VALUE"""),"8 Ancient Debris")</f>
        <v>8 Ancient Debris</v>
      </c>
    </row>
    <row r="16">
      <c r="B16" s="670" t="b">
        <f>IFERROR(__xludf.DUMMYFUNCTION("""COMPUTED_VALUE"""),FALSE)</f>
        <v>0</v>
      </c>
      <c r="C16" s="609" t="str">
        <f>IFERROR(__xludf.DUMMYFUNCTION("""COMPUTED_VALUE"""),"")</f>
        <v/>
      </c>
      <c r="D16" s="609" t="str">
        <f>IFERROR(__xludf.DUMMYFUNCTION("""COMPUTED_VALUE"""),"Pupil Poppers")</f>
        <v>Pupil Poppers</v>
      </c>
      <c r="E16" s="671" t="str">
        <f>IFERROR(__xludf.DUMMYFUNCTION("""COMPUTED_VALUE"""),"Eat 1000 Spider Eyes")</f>
        <v>Eat 1000 Spider Eyes</v>
      </c>
      <c r="F16" s="672" t="str">
        <f>IFERROR(__xludf.DUMMYFUNCTION("""COMPUTED_VALUE"""),"77 Diamonds")</f>
        <v>77 Diamonds</v>
      </c>
      <c r="K16" s="370"/>
      <c r="L16" s="370"/>
      <c r="P16" s="208"/>
      <c r="Q16" s="370"/>
      <c r="R16" s="370"/>
    </row>
    <row r="17">
      <c r="B17" s="670" t="b">
        <f>IFERROR(__xludf.DUMMYFUNCTION("""COMPUTED_VALUE"""),FALSE)</f>
        <v>0</v>
      </c>
      <c r="C17" s="609" t="str">
        <f>IFERROR(__xludf.DUMMYFUNCTION("""COMPUTED_VALUE"""),"")</f>
        <v/>
      </c>
      <c r="D17" s="609" t="str">
        <f>IFERROR(__xludf.DUMMYFUNCTION("""COMPUTED_VALUE"""),"Pyrotechnic")</f>
        <v>Pyrotechnic</v>
      </c>
      <c r="E17" s="671" t="str">
        <f>IFERROR(__xludf.DUMMYFUNCTION("""COMPUTED_VALUE"""),"Craft a firework of every shape and additional effect (See requirement notes below)")</f>
        <v>Craft a firework of every shape and additional effect (See requirement notes below)</v>
      </c>
      <c r="F17" s="672" t="str">
        <f>IFERROR(__xludf.DUMMYFUNCTION("""COMPUTED_VALUE"""),"16 Gunpowder, 1 Diamond")</f>
        <v>16 Gunpowder, 1 Diamond</v>
      </c>
      <c r="H17" s="684"/>
      <c r="I17" s="15"/>
      <c r="J17" s="669" t="s">
        <v>7548</v>
      </c>
      <c r="K17" s="15"/>
      <c r="L17" s="16"/>
      <c r="N17" s="680"/>
      <c r="O17" s="15"/>
      <c r="P17" s="669" t="s">
        <v>7549</v>
      </c>
      <c r="Q17" s="15"/>
      <c r="R17" s="16"/>
    </row>
    <row r="18">
      <c r="B18" s="670" t="b">
        <f>IFERROR(__xludf.DUMMYFUNCTION("""COMPUTED_VALUE"""),FALSE)</f>
        <v>0</v>
      </c>
      <c r="C18" s="609" t="str">
        <f>IFERROR(__xludf.DUMMYFUNCTION("""COMPUTED_VALUE"""),"")</f>
        <v/>
      </c>
      <c r="D18" s="609" t="str">
        <f>IFERROR(__xludf.DUMMYFUNCTION("""COMPUTED_VALUE"""),"Beethoven")</f>
        <v>Beethoven</v>
      </c>
      <c r="E18" s="671" t="str">
        <f>IFERROR(__xludf.DUMMYFUNCTION("""COMPUTED_VALUE"""),"Craft a jukebox with planks and a diamond (Obtain a jukebox)")</f>
        <v>Craft a jukebox with planks and a diamond (Obtain a jukebox)</v>
      </c>
      <c r="F18" s="672" t="str">
        <f>IFERROR(__xludf.DUMMYFUNCTION("""COMPUTED_VALUE"""),"1 Diamond")</f>
        <v>1 Diamond</v>
      </c>
      <c r="H18" s="685" t="b">
        <f>IFERROR(__xludf.DUMMYFUNCTION("FILTER({Advancements!$G$2:$K1644},regexmatch(Advancements!$K$2:$K1644,J17))"),FALSE)</f>
        <v>0</v>
      </c>
      <c r="I18" s="686" t="str">
        <f>IFERROR(__xludf.DUMMYFUNCTION("""COMPUTED_VALUE"""),"")</f>
        <v/>
      </c>
      <c r="J18" s="686" t="str">
        <f>IFERROR(__xludf.DUMMYFUNCTION("""COMPUTED_VALUE"""),"Take to the Skies")</f>
        <v>Take to the Skies</v>
      </c>
      <c r="K18" s="687" t="str">
        <f>IFERROR(__xludf.DUMMYFUNCTION("""COMPUTED_VALUE"""),"Fly 10 km with elytra")</f>
        <v>Fly 10 km with elytra</v>
      </c>
      <c r="L18" s="688" t="str">
        <f>IFERROR(__xludf.DUMMYFUNCTION("""COMPUTED_VALUE"""),"64 Firework Rockets (Flight Duration: 1)")</f>
        <v>64 Firework Rockets (Flight Duration: 1)</v>
      </c>
      <c r="N18" s="681" t="b">
        <f>IFERROR(__xludf.DUMMYFUNCTION("FILTER({Advancements!$G$2:$K1644},(regexmatch(lower(Advancements!$K$2:$K1644),lower(P17))))"),FALSE)</f>
        <v>0</v>
      </c>
      <c r="O18" s="43" t="str">
        <f>IFERROR(__xludf.DUMMYFUNCTION("""COMPUTED_VALUE"""),"")</f>
        <v/>
      </c>
      <c r="P18" s="43" t="str">
        <f>IFERROR(__xludf.DUMMYFUNCTION("""COMPUTED_VALUE"""),"Monstrous Music")</f>
        <v>Monstrous Music</v>
      </c>
      <c r="Q18" s="682" t="str">
        <f>IFERROR(__xludf.DUMMYFUNCTION("""COMPUTED_VALUE"""),"Play Note Blocks with each type of mob head above it (Play a note block with a Zombie, Skeleton, Wither Skeleton, Creeper, Piglin and Dragon Head on top)")</f>
        <v>Play Note Blocks with each type of mob head above it (Play a note block with a Zombie, Skeleton, Wither Skeleton, Creeper, Piglin and Dragon Head on top)</v>
      </c>
      <c r="R18" s="683" t="str">
        <f>IFERROR(__xludf.DUMMYFUNCTION("""COMPUTED_VALUE"""),"1 Brown Shulker Box containing 32 Note Blocks and 1 of each type of head")</f>
        <v>1 Brown Shulker Box containing 32 Note Blocks and 1 of each type of head</v>
      </c>
    </row>
    <row r="19">
      <c r="B19" s="670" t="b">
        <f>IFERROR(__xludf.DUMMYFUNCTION("""COMPUTED_VALUE"""),FALSE)</f>
        <v>0</v>
      </c>
      <c r="C19" s="609" t="str">
        <f>IFERROR(__xludf.DUMMYFUNCTION("""COMPUTED_VALUE"""),"")</f>
        <v/>
      </c>
      <c r="D19" s="609" t="str">
        <f>IFERROR(__xludf.DUMMYFUNCTION("""COMPUTED_VALUE"""),"Mold Maker")</f>
        <v>Mold Maker</v>
      </c>
      <c r="E19" s="671" t="str">
        <f>IFERROR(__xludf.DUMMYFUNCTION("""COMPUTED_VALUE"""),"Use seven diamonds to duplicate a Smithing Template (Take a Smithing Template from the output of the crafting table.)")</f>
        <v>Use seven diamonds to duplicate a Smithing Template (Take a Smithing Template from the output of the crafting table.)</v>
      </c>
      <c r="F19" s="672" t="str">
        <f>IFERROR(__xludf.DUMMYFUNCTION("""COMPUTED_VALUE"""),"8 Diamonds")</f>
        <v>8 Diamonds</v>
      </c>
      <c r="H19" s="673" t="b">
        <f>IFERROR(__xludf.DUMMYFUNCTION("""COMPUTED_VALUE"""),FALSE)</f>
        <v>0</v>
      </c>
      <c r="I19" s="674" t="str">
        <f>IFERROR(__xludf.DUMMYFUNCTION("""COMPUTED_VALUE"""),"")</f>
        <v/>
      </c>
      <c r="J19" s="674" t="str">
        <f>IFERROR(__xludf.DUMMYFUNCTION("""COMPUTED_VALUE"""),"Supersonic")</f>
        <v>Supersonic</v>
      </c>
      <c r="K19" s="675" t="str">
        <f>IFERROR(__xludf.DUMMYFUNCTION("""COMPUTED_VALUE"""),"Fly 100km with elytra")</f>
        <v>Fly 100km with elytra</v>
      </c>
      <c r="L19" s="676" t="str">
        <f>IFERROR(__xludf.DUMMYFUNCTION("""COMPUTED_VALUE"""),"192 Firework Rockets (Flight Duration: 2)")</f>
        <v>192 Firework Rockets (Flight Duration: 2)</v>
      </c>
      <c r="N19" s="652" t="b">
        <f>IFERROR(__xludf.DUMMYFUNCTION("""COMPUTED_VALUE"""),FALSE)</f>
        <v>0</v>
      </c>
      <c r="O19" s="90" t="str">
        <f>IFERROR(__xludf.DUMMYFUNCTION("""COMPUTED_VALUE"""),"")</f>
        <v/>
      </c>
      <c r="P19" s="90" t="str">
        <f>IFERROR(__xludf.DUMMYFUNCTION("""COMPUTED_VALUE"""),"Ring of the End")</f>
        <v>Ring of the End</v>
      </c>
      <c r="Q19" s="678" t="str">
        <f>IFERROR(__xludf.DUMMYFUNCTION("""COMPUTED_VALUE"""),"Defeat the Ender Dragon 20 times (Land the killing blow on the Ender Dragon 20 times)")</f>
        <v>Defeat the Ender Dragon 20 times (Land the killing blow on the Ender Dragon 20 times)</v>
      </c>
      <c r="R19" s="679" t="str">
        <f>IFERROR(__xludf.DUMMYFUNCTION("""COMPUTED_VALUE"""),"4 Dragon Heads, 32 Diamonds")</f>
        <v>4 Dragon Heads, 32 Diamonds</v>
      </c>
    </row>
    <row r="20">
      <c r="B20" s="670" t="b">
        <f>IFERROR(__xludf.DUMMYFUNCTION("""COMPUTED_VALUE"""),FALSE)</f>
        <v>0</v>
      </c>
      <c r="C20" s="609" t="str">
        <f>IFERROR(__xludf.DUMMYFUNCTION("""COMPUTED_VALUE"""),"")</f>
        <v/>
      </c>
      <c r="D20" s="609" t="str">
        <f>IFERROR(__xludf.DUMMYFUNCTION("""COMPUTED_VALUE"""),"Coordinated Flair")</f>
        <v>Coordinated Flair</v>
      </c>
      <c r="E20" s="671" t="str">
        <f>IFERROR(__xludf.DUMMYFUNCTION("""COMPUTED_VALUE"""),"Wear a suit of armor with all four pieces trimmed with the same material")</f>
        <v>Wear a suit of armor with all four pieces trimmed with the same material</v>
      </c>
      <c r="F20" s="672" t="str">
        <f>IFERROR(__xludf.DUMMYFUNCTION("""COMPUTED_VALUE"""),"8 Diamonds")</f>
        <v>8 Diamonds</v>
      </c>
      <c r="H20" s="175" t="b">
        <f>IFERROR(__xludf.DUMMYFUNCTION("""COMPUTED_VALUE"""),FALSE)</f>
        <v>0</v>
      </c>
      <c r="I20" s="51" t="str">
        <f>IFERROR(__xludf.DUMMYFUNCTION("""COMPUTED_VALUE"""),"")</f>
        <v/>
      </c>
      <c r="J20" s="51" t="str">
        <f>IFERROR(__xludf.DUMMYFUNCTION("""COMPUTED_VALUE"""),"Frequent Flyer")</f>
        <v>Frequent Flyer</v>
      </c>
      <c r="K20" s="370" t="str">
        <f>IFERROR(__xludf.DUMMYFUNCTION("""COMPUTED_VALUE"""),"Fly 1000km with elytra")</f>
        <v>Fly 1000km with elytra</v>
      </c>
      <c r="L20" s="677" t="str">
        <f>IFERROR(__xludf.DUMMYFUNCTION("""COMPUTED_VALUE"""),"A Shulker Box containing 9 stacks of 64 Firework Rockets (Flight Duration: 3)")</f>
        <v>A Shulker Box containing 9 stacks of 64 Firework Rockets (Flight Duration: 3)</v>
      </c>
      <c r="Q20" s="370"/>
      <c r="R20" s="370"/>
    </row>
    <row r="21">
      <c r="B21" s="670" t="b">
        <f>IFERROR(__xludf.DUMMYFUNCTION("""COMPUTED_VALUE"""),FALSE)</f>
        <v>0</v>
      </c>
      <c r="C21" s="609" t="str">
        <f>IFERROR(__xludf.DUMMYFUNCTION("""COMPUTED_VALUE"""),"")</f>
        <v/>
      </c>
      <c r="D21" s="609" t="str">
        <f>IFERROR(__xludf.DUMMYFUNCTION("""COMPUTED_VALUE"""),"Chromatic Armory")</f>
        <v>Chromatic Armory</v>
      </c>
      <c r="E21" s="671" t="str">
        <f>IFERROR(__xludf.DUMMYFUNCTION("""COMPUTED_VALUE"""),"Trim pieces of armor with all types of materials (See requirement notes below)")</f>
        <v>Trim pieces of armor with all types of materials (See requirement notes below)</v>
      </c>
      <c r="F21" s="672" t="str">
        <f>IFERROR(__xludf.DUMMYFUNCTION("""COMPUTED_VALUE"""),"18 Diamonds")</f>
        <v>18 Diamonds</v>
      </c>
      <c r="H21" s="673" t="b">
        <f>IFERROR(__xludf.DUMMYFUNCTION("""COMPUTED_VALUE"""),FALSE)</f>
        <v>0</v>
      </c>
      <c r="I21" s="674" t="str">
        <f>IFERROR(__xludf.DUMMYFUNCTION("""COMPUTED_VALUE"""),"")</f>
        <v/>
      </c>
      <c r="J21" s="674" t="str">
        <f>IFERROR(__xludf.DUMMYFUNCTION("""COMPUTED_VALUE"""),"Event Horizon")</f>
        <v>Event Horizon</v>
      </c>
      <c r="K21" s="675" t="str">
        <f>IFERROR(__xludf.DUMMYFUNCTION("""COMPUTED_VALUE"""),"Survive void damage (Fly under y=-64 for about a second then get up above y=0 without dying. Only works in the End)")</f>
        <v>Survive void damage (Fly under y=-64 for about a second then get up above y=0 without dying. Only works in the End)</v>
      </c>
      <c r="L21" s="676" t="str">
        <f>IFERROR(__xludf.DUMMYFUNCTION("""COMPUTED_VALUE"""),"64 Firework Rockets (Flight Duration: 3)")</f>
        <v>64 Firework Rockets (Flight Duration: 3)</v>
      </c>
      <c r="N21" s="689"/>
      <c r="O21" s="15"/>
      <c r="P21" s="669" t="s">
        <v>5513</v>
      </c>
      <c r="Q21" s="15"/>
      <c r="R21" s="16"/>
    </row>
    <row r="22">
      <c r="B22" s="670" t="b">
        <f>IFERROR(__xludf.DUMMYFUNCTION("""COMPUTED_VALUE"""),FALSE)</f>
        <v>0</v>
      </c>
      <c r="C22" s="609" t="str">
        <f>IFERROR(__xludf.DUMMYFUNCTION("""COMPUTED_VALUE"""),"")</f>
        <v/>
      </c>
      <c r="D22" s="609" t="str">
        <f>IFERROR(__xludf.DUMMYFUNCTION("""COMPUTED_VALUE"""),"Pick Like Silk")</f>
        <v>Pick Like Silk</v>
      </c>
      <c r="E22" s="671" t="str">
        <f>IFERROR(__xludf.DUMMYFUNCTION("""COMPUTED_VALUE"""),"Use a Silk Touch enchanted pickaxe to obtain diamond ore as a block (Obtain Diamond Ore or Deepslate Diamond Ore)")</f>
        <v>Use a Silk Touch enchanted pickaxe to obtain diamond ore as a block (Obtain Diamond Ore or Deepslate Diamond Ore)</v>
      </c>
      <c r="F22" s="672" t="str">
        <f>IFERROR(__xludf.DUMMYFUNCTION("""COMPUTED_VALUE"""),"2 Diamonds")</f>
        <v>2 Diamonds</v>
      </c>
      <c r="H22" s="673" t="b">
        <f>IFERROR(__xludf.DUMMYFUNCTION("""COMPUTED_VALUE"""),FALSE)</f>
        <v>0</v>
      </c>
      <c r="I22" s="674" t="str">
        <f>IFERROR(__xludf.DUMMYFUNCTION("""COMPUTED_VALUE"""),"")</f>
        <v/>
      </c>
      <c r="J22" s="674" t="str">
        <f>IFERROR(__xludf.DUMMYFUNCTION("""COMPUTED_VALUE"""),"Uh, Houston? We have a problem")</f>
        <v>Uh, Houston? We have a problem</v>
      </c>
      <c r="K22" s="675" t="str">
        <f>IFERROR(__xludf.DUMMYFUNCTION("""COMPUTED_VALUE"""),"Fly up to a ridiculous height (Be above y=1000)")</f>
        <v>Fly up to a ridiculous height (Be above y=1000)</v>
      </c>
      <c r="L22" s="676" t="str">
        <f>IFERROR(__xludf.DUMMYFUNCTION("""COMPUTED_VALUE"""),"32 Firework Rockets (Flight Duration: 1), 1 Feather Falling IV Enchanted Book")</f>
        <v>32 Firework Rockets (Flight Duration: 1), 1 Feather Falling IV Enchanted Book</v>
      </c>
      <c r="N22" s="681" t="b">
        <f>IFERROR(__xludf.DUMMYFUNCTION("FILTER({Advancements!$G$2:$K1644},(regexmatch(lower(Advancements!$K$2:$K1644),lower(P21))))"),FALSE)</f>
        <v>0</v>
      </c>
      <c r="O22" s="43" t="str">
        <f>IFERROR(__xludf.DUMMYFUNCTION("""COMPUTED_VALUE"""),"")</f>
        <v/>
      </c>
      <c r="P22" s="43" t="str">
        <f>IFERROR(__xludf.DUMMYFUNCTION("""COMPUTED_VALUE"""),"Lucky Break")</f>
        <v>Lucky Break</v>
      </c>
      <c r="Q22" s="682" t="str">
        <f>IFERROR(__xludf.DUMMYFUNCTION("""COMPUTED_VALUE"""),"Survive a long fall with just a sliver of health remaining (Fall at least 15 blocks and have 1 or 2 health remaining upon landing)")</f>
        <v>Survive a long fall with just a sliver of health remaining (Fall at least 15 blocks and have 1 or 2 health remaining upon landing)</v>
      </c>
      <c r="R22" s="683" t="str">
        <f>IFERROR(__xludf.DUMMYFUNCTION("""COMPUTED_VALUE"""),"1 Feather Falling II Enchanted Book")</f>
        <v>1 Feather Falling II Enchanted Book</v>
      </c>
    </row>
    <row r="23">
      <c r="B23" s="670" t="b">
        <f>IFERROR(__xludf.DUMMYFUNCTION("""COMPUTED_VALUE"""),FALSE)</f>
        <v>0</v>
      </c>
      <c r="C23" s="609" t="str">
        <f>IFERROR(__xludf.DUMMYFUNCTION("""COMPUTED_VALUE"""),"")</f>
        <v/>
      </c>
      <c r="D23" s="609" t="str">
        <f>IFERROR(__xludf.DUMMYFUNCTION("""COMPUTED_VALUE"""),"Newton's Flaming Laser Sword")</f>
        <v>Newton's Flaming Laser Sword</v>
      </c>
      <c r="E23" s="671" t="str">
        <f>IFERROR(__xludf.DUMMYFUNCTION("""COMPUTED_VALUE"""),"Have a diamond sword with Fire Aspect II")</f>
        <v>Have a diamond sword with Fire Aspect II</v>
      </c>
      <c r="F23" s="672" t="str">
        <f>IFERROR(__xludf.DUMMYFUNCTION("""COMPUTED_VALUE"""),"4 Diamonds")</f>
        <v>4 Diamonds</v>
      </c>
      <c r="H23" s="690" t="b">
        <f>IFERROR(__xludf.DUMMYFUNCTION("""COMPUTED_VALUE"""),FALSE)</f>
        <v>0</v>
      </c>
      <c r="I23" s="691" t="str">
        <f>IFERROR(__xludf.DUMMYFUNCTION("""COMPUTED_VALUE"""),"")</f>
        <v/>
      </c>
      <c r="J23" s="691" t="str">
        <f>IFERROR(__xludf.DUMMYFUNCTION("""COMPUTED_VALUE"""),"Diver's Dozen")</f>
        <v>Diver's Dozen</v>
      </c>
      <c r="K23" s="692" t="str">
        <f>IFERROR(__xludf.DUMMYFUNCTION("""COMPUTED_VALUE"""),"Kill 12 mobs while airborne using Elytra. Stopping flight or touching liquid will reset your progress")</f>
        <v>Kill 12 mobs while airborne using Elytra. Stopping flight or touching liquid will reset your progress</v>
      </c>
      <c r="L23" s="693" t="str">
        <f>IFERROR(__xludf.DUMMYFUNCTION("""COMPUTED_VALUE"""),"64 Firework Rockets (Flight Duration: 1)")</f>
        <v>64 Firework Rockets (Flight Duration: 1)</v>
      </c>
      <c r="N23" s="175" t="b">
        <f>IFERROR(__xludf.DUMMYFUNCTION("""COMPUTED_VALUE"""),FALSE)</f>
        <v>0</v>
      </c>
      <c r="O23" s="51" t="str">
        <f>IFERROR(__xludf.DUMMYFUNCTION("""COMPUTED_VALUE"""),"")</f>
        <v/>
      </c>
      <c r="P23" s="51" t="str">
        <f>IFERROR(__xludf.DUMMYFUNCTION("""COMPUTED_VALUE"""),"Caves &amp; Cliffs")</f>
        <v>Caves &amp; Cliffs</v>
      </c>
      <c r="Q23" s="370" t="str">
        <f>IFERROR(__xludf.DUMMYFUNCTION("""COMPUTED_VALUE"""),"Free fall from the top of the world (build limit) to the bottom of the world and survive‌ (Drop from a point above y-level 319 and land below y-level -59)")</f>
        <v>Free fall from the top of the world (build limit) to the bottom of the world and survive‌ (Drop from a point above y-level 319 and land below y-level -59)</v>
      </c>
      <c r="R23" s="677" t="str">
        <f>IFERROR(__xludf.DUMMYFUNCTION("""COMPUTED_VALUE"""),"1 Feather Falling III Enchanted Book")</f>
        <v>1 Feather Falling III Enchanted Book</v>
      </c>
    </row>
    <row r="24">
      <c r="B24" s="670" t="b">
        <f>IFERROR(__xludf.DUMMYFUNCTION("""COMPUTED_VALUE"""),FALSE)</f>
        <v>0</v>
      </c>
      <c r="C24" s="609" t="str">
        <f>IFERROR(__xludf.DUMMYFUNCTION("""COMPUTED_VALUE"""),"")</f>
        <v/>
      </c>
      <c r="D24" s="609" t="str">
        <f>IFERROR(__xludf.DUMMYFUNCTION("""COMPUTED_VALUE"""),"This name sounds cooler")</f>
        <v>This name sounds cooler</v>
      </c>
      <c r="E24" s="671" t="str">
        <f>IFERROR(__xludf.DUMMYFUNCTION("""COMPUTED_VALUE"""),"Name your Diamond Sword 'Diamond Edge' (Hold the named item in your mainhand)")</f>
        <v>Name your Diamond Sword 'Diamond Edge' (Hold the named item in your mainhand)</v>
      </c>
      <c r="F24" s="672" t="str">
        <f>IFERROR(__xludf.DUMMYFUNCTION("""COMPUTED_VALUE"""),"1 Diamond, 1 Sharpness II Enchanted Book")</f>
        <v>1 Diamond, 1 Sharpness II Enchanted Book</v>
      </c>
      <c r="K24" s="370"/>
      <c r="L24" s="370"/>
      <c r="N24" s="175" t="b">
        <f>IFERROR(__xludf.DUMMYFUNCTION("""COMPUTED_VALUE"""),FALSE)</f>
        <v>0</v>
      </c>
      <c r="O24" s="51" t="str">
        <f>IFERROR(__xludf.DUMMYFUNCTION("""COMPUTED_VALUE"""),"")</f>
        <v/>
      </c>
      <c r="P24" s="208" t="str">
        <f>IFERROR(__xludf.DUMMYFUNCTION("""COMPUTED_VALUE"""),"Bottom to Top")</f>
        <v>Bottom to Top</v>
      </c>
      <c r="Q24" s="370" t="str">
        <f>IFERROR(__xludf.DUMMYFUNCTION("""COMPUTED_VALUE"""),"Place every cave block at the very top of the world (See requirement notes below)")</f>
        <v>Place every cave block at the very top of the world (See requirement notes below)</v>
      </c>
      <c r="R24" s="677" t="str">
        <f>IFERROR(__xludf.DUMMYFUNCTION("""COMPUTED_VALUE"""),"1 Efficiency III Enchanted Book")</f>
        <v>1 Efficiency III Enchanted Book</v>
      </c>
    </row>
    <row r="25">
      <c r="B25" s="670" t="b">
        <f>IFERROR(__xludf.DUMMYFUNCTION("""COMPUTED_VALUE"""),FALSE)</f>
        <v>0</v>
      </c>
      <c r="C25" s="609" t="str">
        <f>IFERROR(__xludf.DUMMYFUNCTION("""COMPUTED_VALUE"""),"")</f>
        <v/>
      </c>
      <c r="D25" s="609" t="str">
        <f>IFERROR(__xludf.DUMMYFUNCTION("""COMPUTED_VALUE"""),"Scourge of the West")</f>
        <v>Scourge of the West</v>
      </c>
      <c r="E25" s="671" t="str">
        <f>IFERROR(__xludf.DUMMYFUNCTION("""COMPUTED_VALUE"""),"Ride 50 km on a horse")</f>
        <v>Ride 50 km on a horse</v>
      </c>
      <c r="F25" s="672" t="str">
        <f>IFERROR(__xludf.DUMMYFUNCTION("""COMPUTED_VALUE"""),"1 Diamond Horse Armor, 64 Leather")</f>
        <v>1 Diamond Horse Armor, 64 Leather</v>
      </c>
      <c r="H25" s="684"/>
      <c r="I25" s="15"/>
      <c r="J25" s="669" t="s">
        <v>7550</v>
      </c>
      <c r="K25" s="15"/>
      <c r="L25" s="16"/>
      <c r="N25" s="175" t="b">
        <f>IFERROR(__xludf.DUMMYFUNCTION("""COMPUTED_VALUE"""),FALSE)</f>
        <v>0</v>
      </c>
      <c r="O25" s="51" t="str">
        <f>IFERROR(__xludf.DUMMYFUNCTION("""COMPUTED_VALUE"""),"")</f>
        <v/>
      </c>
      <c r="P25" s="208" t="str">
        <f>IFERROR(__xludf.DUMMYFUNCTION("""COMPUTED_VALUE"""),"Chestful of Cobblestone")</f>
        <v>Chestful of Cobblestone</v>
      </c>
      <c r="Q25" s="370" t="str">
        <f>IFERROR(__xludf.DUMMYFUNCTION("""COMPUTED_VALUE"""),"Mine 1728 cobblestone, place it in a chest, then stand on it in victory (27 stacks of 64 cobblestone in a single chest. You must stand on top of the chest)")</f>
        <v>Mine 1728 cobblestone, place it in a chest, then stand on it in victory (27 stacks of 64 cobblestone in a single chest. You must stand on top of the chest)</v>
      </c>
      <c r="R25" s="677" t="str">
        <f>IFERROR(__xludf.DUMMYFUNCTION("""COMPUTED_VALUE"""),"1 Efficiency II Enchanted Book")</f>
        <v>1 Efficiency II Enchanted Book</v>
      </c>
    </row>
    <row r="26">
      <c r="B26" s="670" t="b">
        <f>IFERROR(__xludf.DUMMYFUNCTION("""COMPUTED_VALUE"""),FALSE)</f>
        <v>0</v>
      </c>
      <c r="C26" s="609" t="str">
        <f>IFERROR(__xludf.DUMMYFUNCTION("""COMPUTED_VALUE"""),"")</f>
        <v/>
      </c>
      <c r="D26" s="609" t="str">
        <f>IFERROR(__xludf.DUMMYFUNCTION("""COMPUTED_VALUE"""),"Instant Mining")</f>
        <v>Instant Mining</v>
      </c>
      <c r="E26" s="671" t="str">
        <f>IFERROR(__xludf.DUMMYFUNCTION("""COMPUTED_VALUE"""),"Hold a Diamond or Netherite Pickaxe enchanted with Efficiency V while under the Haste II effect")</f>
        <v>Hold a Diamond or Netherite Pickaxe enchanted with Efficiency V while under the Haste II effect</v>
      </c>
      <c r="F26" s="672" t="str">
        <f>IFERROR(__xludf.DUMMYFUNCTION("""COMPUTED_VALUE"""),"4 Diamonds")</f>
        <v>4 Diamonds</v>
      </c>
      <c r="H26" s="673" t="b">
        <f>IFERROR(__xludf.DUMMYFUNCTION("FILTER({Advancements!$G$2:$K1644},regexmatch(Advancements!$K$2:$K1644,J25))"),FALSE)</f>
        <v>0</v>
      </c>
      <c r="I26" s="674" t="str">
        <f>IFERROR(__xludf.DUMMYFUNCTION("""COMPUTED_VALUE"""),"")</f>
        <v/>
      </c>
      <c r="J26" s="674" t="str">
        <f>IFERROR(__xludf.DUMMYFUNCTION("""COMPUTED_VALUE"""),"Revenge!")</f>
        <v>Revenge!</v>
      </c>
      <c r="K26" s="675" t="str">
        <f>IFERROR(__xludf.DUMMYFUNCTION("""COMPUTED_VALUE"""),"Blow up a Creeper with some TNT (Kill a creeper with a TNT's explosion (best to be hand-lit))")</f>
        <v>Blow up a Creeper with some TNT (Kill a creeper with a TNT's explosion (best to be hand-lit))</v>
      </c>
      <c r="L26" s="676" t="str">
        <f>IFERROR(__xludf.DUMMYFUNCTION("""COMPUTED_VALUE"""),"5 TNT")</f>
        <v>5 TNT</v>
      </c>
      <c r="N26" s="175" t="b">
        <f>IFERROR(__xludf.DUMMYFUNCTION("""COMPUTED_VALUE"""),FALSE)</f>
        <v>0</v>
      </c>
      <c r="O26" s="51" t="str">
        <f>IFERROR(__xludf.DUMMYFUNCTION("""COMPUTED_VALUE"""),"")</f>
        <v/>
      </c>
      <c r="P26" s="208" t="str">
        <f>IFERROR(__xludf.DUMMYFUNCTION("""COMPUTED_VALUE"""),"Grass Type")</f>
        <v>Grass Type</v>
      </c>
      <c r="Q26" s="370" t="str">
        <f>IFERROR(__xludf.DUMMYFUNCTION("""COMPUTED_VALUE"""),"Obtain every type of grass block in your inventory (Obtain grass block, podzol, mycelium, crimson nylium, and warped nylium)")</f>
        <v>Obtain every type of grass block in your inventory (Obtain grass block, podzol, mycelium, crimson nylium, and warped nylium)</v>
      </c>
      <c r="R26" s="677" t="str">
        <f>IFERROR(__xludf.DUMMYFUNCTION("""COMPUTED_VALUE"""),"1 Silk Touch Enchanted Book")</f>
        <v>1 Silk Touch Enchanted Book</v>
      </c>
    </row>
    <row r="27">
      <c r="B27" s="670" t="b">
        <f>IFERROR(__xludf.DUMMYFUNCTION("""COMPUTED_VALUE"""),FALSE)</f>
        <v>0</v>
      </c>
      <c r="C27" s="609" t="str">
        <f>IFERROR(__xludf.DUMMYFUNCTION("""COMPUTED_VALUE"""),"")</f>
        <v/>
      </c>
      <c r="D27" s="609" t="str">
        <f>IFERROR(__xludf.DUMMYFUNCTION("""COMPUTED_VALUE"""),"Ring of the End")</f>
        <v>Ring of the End</v>
      </c>
      <c r="E27" s="671" t="str">
        <f>IFERROR(__xludf.DUMMYFUNCTION("""COMPUTED_VALUE"""),"Defeat the Ender Dragon 20 times (Land the killing blow on the Ender Dragon 20 times)")</f>
        <v>Defeat the Ender Dragon 20 times (Land the killing blow on the Ender Dragon 20 times)</v>
      </c>
      <c r="F27" s="672" t="str">
        <f>IFERROR(__xludf.DUMMYFUNCTION("""COMPUTED_VALUE"""),"4 Dragon Heads, 32 Diamonds")</f>
        <v>4 Dragon Heads, 32 Diamonds</v>
      </c>
      <c r="H27" s="175" t="b">
        <f>IFERROR(__xludf.DUMMYFUNCTION("""COMPUTED_VALUE"""),FALSE)</f>
        <v>0</v>
      </c>
      <c r="I27" s="51" t="str">
        <f>IFERROR(__xludf.DUMMYFUNCTION("""COMPUTED_VALUE"""),"")</f>
        <v/>
      </c>
      <c r="J27" s="51" t="str">
        <f>IFERROR(__xludf.DUMMYFUNCTION("""COMPUTED_VALUE"""),"Demolitions Expert")</f>
        <v>Demolitions Expert</v>
      </c>
      <c r="K27" s="370" t="str">
        <f>IFERROR(__xludf.DUMMYFUNCTION("""COMPUTED_VALUE"""),"Blow up every hostile mob with TNT (See requirement notes below)")</f>
        <v>Blow up every hostile mob with TNT (See requirement notes below)</v>
      </c>
      <c r="L27" s="677" t="str">
        <f>IFERROR(__xludf.DUMMYFUNCTION("""COMPUTED_VALUE"""),"25 TNT")</f>
        <v>25 TNT</v>
      </c>
      <c r="N27" s="175" t="b">
        <f>IFERROR(__xludf.DUMMYFUNCTION("""COMPUTED_VALUE"""),FALSE)</f>
        <v>0</v>
      </c>
      <c r="O27" s="51" t="str">
        <f>IFERROR(__xludf.DUMMYFUNCTION("""COMPUTED_VALUE"""),"")</f>
        <v/>
      </c>
      <c r="P27" s="208" t="str">
        <f>IFERROR(__xludf.DUMMYFUNCTION("""COMPUTED_VALUE"""),"An amazing story!")</f>
        <v>An amazing story!</v>
      </c>
      <c r="Q27" s="370" t="str">
        <f>IFERROR(__xludf.DUMMYFUNCTION("""COMPUTED_VALUE"""),"Finish writing in your book or get a book from another player (Obtain a written book)")</f>
        <v>Finish writing in your book or get a book from another player (Obtain a written book)</v>
      </c>
      <c r="R27" s="677" t="str">
        <f>IFERROR(__xludf.DUMMYFUNCTION("""COMPUTED_VALUE"""),"1 Book and Quill")</f>
        <v>1 Book and Quill</v>
      </c>
    </row>
    <row r="28">
      <c r="B28" s="670" t="b">
        <f>IFERROR(__xludf.DUMMYFUNCTION("""COMPUTED_VALUE"""),FALSE)</f>
        <v>0</v>
      </c>
      <c r="C28" s="609" t="str">
        <f>IFERROR(__xludf.DUMMYFUNCTION("""COMPUTED_VALUE"""),"")</f>
        <v/>
      </c>
      <c r="D28" s="609" t="str">
        <f>IFERROR(__xludf.DUMMYFUNCTION("""COMPUTED_VALUE"""),"I am Loot!")</f>
        <v>I am Loot!</v>
      </c>
      <c r="E28" s="671" t="str">
        <f>IFERROR(__xludf.DUMMYFUNCTION("""COMPUTED_VALUE"""),"Open up every type of loot chest (See requirement notes below)")</f>
        <v>Open up every type of loot chest (See requirement notes below)</v>
      </c>
      <c r="F28" s="672" t="str">
        <f>IFERROR(__xludf.DUMMYFUNCTION("""COMPUTED_VALUE"""),"16 Diamonds")</f>
        <v>16 Diamonds</v>
      </c>
      <c r="H28" s="652" t="b">
        <f>IFERROR(__xludf.DUMMYFUNCTION("""COMPUTED_VALUE"""),FALSE)</f>
        <v>0</v>
      </c>
      <c r="I28" s="90" t="str">
        <f>IFERROR(__xludf.DUMMYFUNCTION("""COMPUTED_VALUE"""),"")</f>
        <v/>
      </c>
      <c r="J28" s="90" t="str">
        <f>IFERROR(__xludf.DUMMYFUNCTION("""COMPUTED_VALUE"""),"We Have Liftoff!")</f>
        <v>We Have Liftoff!</v>
      </c>
      <c r="K28" s="678" t="str">
        <f>IFERROR(__xludf.DUMMYFUNCTION("""COMPUTED_VALUE"""),"Build a redstone machine that uses TNT to launch you at least 100 blocks into the stratosphere (An explosion from TNT must launch you at least 100 blocks upward)")</f>
        <v>Build a redstone machine that uses TNT to launch you at least 100 blocks into the stratosphere (An explosion from TNT must launch you at least 100 blocks upward)</v>
      </c>
      <c r="L28" s="679" t="str">
        <f>IFERROR(__xludf.DUMMYFUNCTION("""COMPUTED_VALUE"""),"32 TNT")</f>
        <v>32 TNT</v>
      </c>
      <c r="N28" s="175" t="b">
        <f>IFERROR(__xludf.DUMMYFUNCTION("""COMPUTED_VALUE"""),FALSE)</f>
        <v>0</v>
      </c>
      <c r="O28" s="51" t="str">
        <f>IFERROR(__xludf.DUMMYFUNCTION("""COMPUTED_VALUE"""),"")</f>
        <v/>
      </c>
      <c r="P28" s="208" t="str">
        <f>IFERROR(__xludf.DUMMYFUNCTION("""COMPUTED_VALUE"""),"Mushroom Scientist")</f>
        <v>Mushroom Scientist</v>
      </c>
      <c r="Q28" s="370" t="str">
        <f>IFERROR(__xludf.DUMMYFUNCTION("""COMPUTED_VALUE"""),"Strike a mooshroom with lightning and see what happens")</f>
        <v>Strike a mooshroom with lightning and see what happens</v>
      </c>
      <c r="R28" s="677" t="str">
        <f>IFERROR(__xludf.DUMMYFUNCTION("""COMPUTED_VALUE"""),"1 Silk Touch Enchanted Book")</f>
        <v>1 Silk Touch Enchanted Book</v>
      </c>
    </row>
    <row r="29">
      <c r="B29" s="670"/>
      <c r="C29" s="609"/>
      <c r="D29" s="609"/>
      <c r="E29" s="671"/>
      <c r="F29" s="672"/>
      <c r="K29" s="370"/>
      <c r="L29" s="370"/>
      <c r="N29" s="175" t="b">
        <f>IFERROR(__xludf.DUMMYFUNCTION("""COMPUTED_VALUE"""),FALSE)</f>
        <v>0</v>
      </c>
      <c r="O29" s="51" t="str">
        <f>IFERROR(__xludf.DUMMYFUNCTION("""COMPUTED_VALUE"""),"")</f>
        <v/>
      </c>
      <c r="P29" s="208" t="str">
        <f>IFERROR(__xludf.DUMMYFUNCTION("""COMPUTED_VALUE"""),"Zombie Slayer")</f>
        <v>Zombie Slayer</v>
      </c>
      <c r="Q29" s="370" t="str">
        <f>IFERROR(__xludf.DUMMYFUNCTION("""COMPUTED_VALUE"""),"Collect a stack of rotten flesh")</f>
        <v>Collect a stack of rotten flesh</v>
      </c>
      <c r="R29" s="677" t="str">
        <f>IFERROR(__xludf.DUMMYFUNCTION("""COMPUTED_VALUE"""),"8 Rotten Flesh, 1 Sharpness II Enchanted Book")</f>
        <v>8 Rotten Flesh, 1 Sharpness II Enchanted Book</v>
      </c>
    </row>
    <row r="30">
      <c r="B30" s="670"/>
      <c r="C30" s="609"/>
      <c r="D30" s="609"/>
      <c r="E30" s="671"/>
      <c r="F30" s="672"/>
      <c r="H30" s="41"/>
      <c r="I30" s="42"/>
      <c r="J30" s="694" t="s">
        <v>7551</v>
      </c>
      <c r="K30" s="42"/>
      <c r="L30" s="46"/>
      <c r="N30" s="175" t="b">
        <f>IFERROR(__xludf.DUMMYFUNCTION("""COMPUTED_VALUE"""),FALSE)</f>
        <v>0</v>
      </c>
      <c r="O30" s="51" t="str">
        <f>IFERROR(__xludf.DUMMYFUNCTION("""COMPUTED_VALUE"""),"")</f>
        <v/>
      </c>
      <c r="P30" s="208" t="str">
        <f>IFERROR(__xludf.DUMMYFUNCTION("""COMPUTED_VALUE"""),"Freezing")</f>
        <v>Freezing</v>
      </c>
      <c r="Q30" s="370" t="str">
        <f>IFERROR(__xludf.DUMMYFUNCTION("""COMPUTED_VALUE"""),"Bring a husk to a tundra biome and then kill it (Kill a husk in a snowy tundra or ice spikes biome above y-level 56)")</f>
        <v>Bring a husk to a tundra biome and then kill it (Kill a husk in a snowy tundra or ice spikes biome above y-level 56)</v>
      </c>
      <c r="R30" s="677" t="str">
        <f>IFERROR(__xludf.DUMMYFUNCTION("""COMPUTED_VALUE"""),"32 Sand, Smite II Enchanted Book")</f>
        <v>32 Sand, Smite II Enchanted Book</v>
      </c>
    </row>
    <row r="31">
      <c r="B31" s="670"/>
      <c r="C31" s="609"/>
      <c r="D31" s="609"/>
      <c r="E31" s="671"/>
      <c r="F31" s="672"/>
      <c r="H31" s="685" t="b">
        <f>IFERROR(__xludf.DUMMYFUNCTION("FILTER({Advancements!$G$2:$K1644},regexmatch(Advancements!$K$2:$K1644,J30))"),FALSE)</f>
        <v>0</v>
      </c>
      <c r="I31" s="686" t="str">
        <f>IFERROR(__xludf.DUMMYFUNCTION("""COMPUTED_VALUE"""),"")</f>
        <v/>
      </c>
      <c r="J31" s="686" t="str">
        <f>IFERROR(__xludf.DUMMYFUNCTION("""COMPUTED_VALUE"""),"The ender of ender")</f>
        <v>The ender of ender</v>
      </c>
      <c r="K31" s="687" t="str">
        <f>IFERROR(__xludf.DUMMYFUNCTION("""COMPUTED_VALUE"""),"Kill an enderman")</f>
        <v>Kill an enderman</v>
      </c>
      <c r="L31" s="688" t="str">
        <f>IFERROR(__xludf.DUMMYFUNCTION("""COMPUTED_VALUE"""),"1 Ender Pearl")</f>
        <v>1 Ender Pearl</v>
      </c>
      <c r="N31" s="175" t="b">
        <f>IFERROR(__xludf.DUMMYFUNCTION("""COMPUTED_VALUE"""),FALSE)</f>
        <v>0</v>
      </c>
      <c r="O31" s="51" t="str">
        <f>IFERROR(__xludf.DUMMYFUNCTION("""COMPUTED_VALUE"""),"")</f>
        <v/>
      </c>
      <c r="P31" s="208" t="str">
        <f>IFERROR(__xludf.DUMMYFUNCTION("""COMPUTED_VALUE"""),"Skeleton Smiter")</f>
        <v>Skeleton Smiter</v>
      </c>
      <c r="Q31" s="370" t="str">
        <f>IFERROR(__xludf.DUMMYFUNCTION("""COMPUTED_VALUE"""),"Collect a stack of bones")</f>
        <v>Collect a stack of bones</v>
      </c>
      <c r="R31" s="677" t="str">
        <f>IFERROR(__xludf.DUMMYFUNCTION("""COMPUTED_VALUE"""),"8 Bones, 16 Arrows, 1 Power II Enchanted Book")</f>
        <v>8 Bones, 16 Arrows, 1 Power II Enchanted Book</v>
      </c>
    </row>
    <row r="32">
      <c r="B32" s="670"/>
      <c r="C32" s="609"/>
      <c r="D32" s="609"/>
      <c r="E32" s="671"/>
      <c r="F32" s="672"/>
      <c r="H32" s="673" t="b">
        <f>IFERROR(__xludf.DUMMYFUNCTION("""COMPUTED_VALUE"""),FALSE)</f>
        <v>0</v>
      </c>
      <c r="I32" s="674" t="str">
        <f>IFERROR(__xludf.DUMMYFUNCTION("""COMPUTED_VALUE"""),"")</f>
        <v/>
      </c>
      <c r="J32" s="674" t="str">
        <f>IFERROR(__xludf.DUMMYFUNCTION("""COMPUTED_VALUE"""),"Ender Worm")</f>
        <v>Ender Worm</v>
      </c>
      <c r="K32" s="674" t="str">
        <f>IFERROR(__xludf.DUMMYFUNCTION("""COMPUTED_VALUE"""),"Prevent an Endermite from maturing (Kill an endermite)")</f>
        <v>Prevent an Endermite from maturing (Kill an endermite)</v>
      </c>
      <c r="L32" s="695" t="str">
        <f>IFERROR(__xludf.DUMMYFUNCTION("""COMPUTED_VALUE"""),"1 Ender Pearl")</f>
        <v>1 Ender Pearl</v>
      </c>
      <c r="N32" s="175" t="b">
        <f>IFERROR(__xludf.DUMMYFUNCTION("""COMPUTED_VALUE"""),FALSE)</f>
        <v>0</v>
      </c>
      <c r="O32" s="51" t="str">
        <f>IFERROR(__xludf.DUMMYFUNCTION("""COMPUTED_VALUE"""),"")</f>
        <v/>
      </c>
      <c r="P32" s="208" t="str">
        <f>IFERROR(__xludf.DUMMYFUNCTION("""COMPUTED_VALUE"""),"The Undead Cavalry")</f>
        <v>The Undead Cavalry</v>
      </c>
      <c r="Q32" s="370" t="str">
        <f>IFERROR(__xludf.DUMMYFUNCTION("""COMPUTED_VALUE"""),"Ride a Skeleton Horse")</f>
        <v>Ride a Skeleton Horse</v>
      </c>
      <c r="R32" s="677" t="str">
        <f>IFERROR(__xludf.DUMMYFUNCTION("""COMPUTED_VALUE"""),"16 Arrows, 1 Power III Enchanted Book")</f>
        <v>16 Arrows, 1 Power III Enchanted Book</v>
      </c>
    </row>
    <row r="33">
      <c r="B33" s="670"/>
      <c r="C33" s="609"/>
      <c r="D33" s="609"/>
      <c r="E33" s="671"/>
      <c r="F33" s="672"/>
      <c r="H33" s="673" t="b">
        <f>IFERROR(__xludf.DUMMYFUNCTION("""COMPUTED_VALUE"""),FALSE)</f>
        <v>0</v>
      </c>
      <c r="I33" s="674" t="str">
        <f>IFERROR(__xludf.DUMMYFUNCTION("""COMPUTED_VALUE"""),"")</f>
        <v/>
      </c>
      <c r="J33" s="674" t="str">
        <f>IFERROR(__xludf.DUMMYFUNCTION("""COMPUTED_VALUE"""),"Tele-morph")</f>
        <v>Tele-morph</v>
      </c>
      <c r="K33" s="674" t="str">
        <f>IFERROR(__xludf.DUMMYFUNCTION("""COMPUTED_VALUE"""),"Damage a mob by teleporting into it (Throw an ender pearl such that it hits a mob)")</f>
        <v>Damage a mob by teleporting into it (Throw an ender pearl such that it hits a mob)</v>
      </c>
      <c r="L33" s="695" t="str">
        <f>IFERROR(__xludf.DUMMYFUNCTION("""COMPUTED_VALUE"""),"2 Ender Pearls")</f>
        <v>2 Ender Pearls</v>
      </c>
      <c r="N33" s="175" t="b">
        <f>IFERROR(__xludf.DUMMYFUNCTION("""COMPUTED_VALUE"""),FALSE)</f>
        <v>0</v>
      </c>
      <c r="O33" s="51" t="str">
        <f>IFERROR(__xludf.DUMMYFUNCTION("""COMPUTED_VALUE"""),"")</f>
        <v/>
      </c>
      <c r="P33" s="208" t="str">
        <f>IFERROR(__xludf.DUMMYFUNCTION("""COMPUTED_VALUE"""),"Melting")</f>
        <v>Melting</v>
      </c>
      <c r="Q33" s="370" t="str">
        <f>IFERROR(__xludf.DUMMYFUNCTION("""COMPUTED_VALUE"""),"Bring a stray to a desert biome and then kill it (Kill a stray in a desert biome above y-level 56)")</f>
        <v>Bring a stray to a desert biome and then kill it (Kill a stray in a desert biome above y-level 56)</v>
      </c>
      <c r="R33" s="677" t="str">
        <f>IFERROR(__xludf.DUMMYFUNCTION("""COMPUTED_VALUE"""),"32 Slowness Tipped Arrows, 1 Projectile Protection II Enchanted Book")</f>
        <v>32 Slowness Tipped Arrows, 1 Projectile Protection II Enchanted Book</v>
      </c>
    </row>
    <row r="34">
      <c r="B34" s="670"/>
      <c r="C34" s="609"/>
      <c r="D34" s="609"/>
      <c r="E34" s="671"/>
      <c r="F34" s="672"/>
      <c r="H34" s="673" t="b">
        <f>IFERROR(__xludf.DUMMYFUNCTION("""COMPUTED_VALUE"""),FALSE)</f>
        <v>0</v>
      </c>
      <c r="I34" s="674" t="str">
        <f>IFERROR(__xludf.DUMMYFUNCTION("""COMPUTED_VALUE"""),"")</f>
        <v/>
      </c>
      <c r="J34" s="674" t="str">
        <f>IFERROR(__xludf.DUMMYFUNCTION("""COMPUTED_VALUE"""),"Enderman Destroyer")</f>
        <v>Enderman Destroyer</v>
      </c>
      <c r="K34" s="674" t="str">
        <f>IFERROR(__xludf.DUMMYFUNCTION("""COMPUTED_VALUE"""),"Collect a stack of ender pearls")</f>
        <v>Collect a stack of ender pearls</v>
      </c>
      <c r="L34" s="676" t="str">
        <f>IFERROR(__xludf.DUMMYFUNCTION("""COMPUTED_VALUE"""),"4 Ender Pearls, 1 Knockback I Enchanted Book")</f>
        <v>4 Ender Pearls, 1 Knockback I Enchanted Book</v>
      </c>
      <c r="N34" s="175" t="b">
        <f>IFERROR(__xludf.DUMMYFUNCTION("""COMPUTED_VALUE"""),FALSE)</f>
        <v>0</v>
      </c>
      <c r="O34" s="51" t="str">
        <f>IFERROR(__xludf.DUMMYFUNCTION("""COMPUTED_VALUE"""),"")</f>
        <v/>
      </c>
      <c r="P34" s="208" t="str">
        <f>IFERROR(__xludf.DUMMYFUNCTION("""COMPUTED_VALUE"""),"Spider Smasher")</f>
        <v>Spider Smasher</v>
      </c>
      <c r="Q34" s="370" t="str">
        <f>IFERROR(__xludf.DUMMYFUNCTION("""COMPUTED_VALUE"""),"Collect a stack of string from spiders or cobwebs")</f>
        <v>Collect a stack of string from spiders or cobwebs</v>
      </c>
      <c r="R34" s="677" t="str">
        <f>IFERROR(__xludf.DUMMYFUNCTION("""COMPUTED_VALUE"""),"8 String, 3 Spider Eyes, 1 Protection II Enchanted Book")</f>
        <v>8 String, 3 Spider Eyes, 1 Protection II Enchanted Book</v>
      </c>
    </row>
    <row r="35">
      <c r="B35" s="670"/>
      <c r="C35" s="609"/>
      <c r="D35" s="609"/>
      <c r="E35" s="671"/>
      <c r="F35" s="672"/>
      <c r="H35" s="175" t="b">
        <f>IFERROR(__xludf.DUMMYFUNCTION("""COMPUTED_VALUE"""),FALSE)</f>
        <v>0</v>
      </c>
      <c r="I35" s="51" t="str">
        <f>IFERROR(__xludf.DUMMYFUNCTION("""COMPUTED_VALUE"""),"")</f>
        <v/>
      </c>
      <c r="J35" s="51" t="str">
        <f>IFERROR(__xludf.DUMMYFUNCTION("""COMPUTED_VALUE"""),"Plane Walker")</f>
        <v>Plane Walker</v>
      </c>
      <c r="K35" s="51" t="str">
        <f>IFERROR(__xludf.DUMMYFUNCTION("""COMPUTED_VALUE"""),"Find and kill an enderman in all three dimensions")</f>
        <v>Find and kill an enderman in all three dimensions</v>
      </c>
      <c r="L35" s="176" t="str">
        <f>IFERROR(__xludf.DUMMYFUNCTION("""COMPUTED_VALUE"""),"4 Ender Pearls")</f>
        <v>4 Ender Pearls</v>
      </c>
      <c r="N35" s="175" t="b">
        <f>IFERROR(__xludf.DUMMYFUNCTION("""COMPUTED_VALUE"""),FALSE)</f>
        <v>0</v>
      </c>
      <c r="O35" s="51" t="str">
        <f>IFERROR(__xludf.DUMMYFUNCTION("""COMPUTED_VALUE"""),"")</f>
        <v/>
      </c>
      <c r="P35" s="208" t="str">
        <f>IFERROR(__xludf.DUMMYFUNCTION("""COMPUTED_VALUE"""),"Creeper Killer")</f>
        <v>Creeper Killer</v>
      </c>
      <c r="Q35" s="370" t="str">
        <f>IFERROR(__xludf.DUMMYFUNCTION("""COMPUTED_VALUE"""),"Collect a stack of gunpowder")</f>
        <v>Collect a stack of gunpowder</v>
      </c>
      <c r="R35" s="677" t="str">
        <f>IFERROR(__xludf.DUMMYFUNCTION("""COMPUTED_VALUE"""),"8 Gunpowder, 1 Looting I Enchanted Book")</f>
        <v>8 Gunpowder, 1 Looting I Enchanted Book</v>
      </c>
    </row>
    <row r="36">
      <c r="B36" s="670"/>
      <c r="C36" s="609"/>
      <c r="D36" s="609"/>
      <c r="E36" s="671"/>
      <c r="F36" s="672"/>
      <c r="H36" s="673" t="b">
        <f>IFERROR(__xludf.DUMMYFUNCTION("""COMPUTED_VALUE"""),FALSE)</f>
        <v>0</v>
      </c>
      <c r="I36" s="674" t="str">
        <f>IFERROR(__xludf.DUMMYFUNCTION("""COMPUTED_VALUE"""),"")</f>
        <v/>
      </c>
      <c r="J36" s="674" t="str">
        <f>IFERROR(__xludf.DUMMYFUNCTION("""COMPUTED_VALUE"""),"Impossible...")</f>
        <v>Impossible...</v>
      </c>
      <c r="K36" s="674" t="str">
        <f>IFERROR(__xludf.DUMMYFUNCTION("""COMPUTED_VALUE"""),"Kill an Enderman with an arrow (Kill an Enderman while you are holding an arrow :P Also works with spectral and tipped arrows)")</f>
        <v>Kill an Enderman with an arrow (Kill an Enderman while you are holding an arrow :P Also works with spectral and tipped arrows)</v>
      </c>
      <c r="L36" s="695" t="str">
        <f>IFERROR(__xludf.DUMMYFUNCTION("""COMPUTED_VALUE"""),"6 Ender Pearls")</f>
        <v>6 Ender Pearls</v>
      </c>
      <c r="N36" s="673" t="b">
        <f>IFERROR(__xludf.DUMMYFUNCTION("""COMPUTED_VALUE"""),FALSE)</f>
        <v>0</v>
      </c>
      <c r="O36" s="674" t="str">
        <f>IFERROR(__xludf.DUMMYFUNCTION("""COMPUTED_VALUE"""),"")</f>
        <v/>
      </c>
      <c r="P36" s="696" t="str">
        <f>IFERROR(__xludf.DUMMYFUNCTION("""COMPUTED_VALUE"""),"Camouflage")</f>
        <v>Camouflage</v>
      </c>
      <c r="Q36" s="675" t="str">
        <f>IFERROR(__xludf.DUMMYFUNCTION("""COMPUTED_VALUE"""),"Kill a mob while wearing the same type of mob head (This works for: Creepers, Zombies, Skeletons, Wither Skeletons and Piglins)")</f>
        <v>Kill a mob while wearing the same type of mob head (This works for: Creepers, Zombies, Skeletons, Wither Skeletons and Piglins)</v>
      </c>
      <c r="R36" s="676" t="str">
        <f>IFERROR(__xludf.DUMMYFUNCTION("""COMPUTED_VALUE"""),"1 Channeling Enchanted Book")</f>
        <v>1 Channeling Enchanted Book</v>
      </c>
    </row>
    <row r="37">
      <c r="B37" s="670"/>
      <c r="C37" s="609"/>
      <c r="D37" s="609"/>
      <c r="E37" s="671"/>
      <c r="F37" s="672"/>
      <c r="H37" s="673" t="b">
        <f>IFERROR(__xludf.DUMMYFUNCTION("""COMPUTED_VALUE"""),FALSE)</f>
        <v>0</v>
      </c>
      <c r="I37" s="674" t="str">
        <f>IFERROR(__xludf.DUMMYFUNCTION("""COMPUTED_VALUE"""),"")</f>
        <v/>
      </c>
      <c r="J37" s="674" t="str">
        <f>IFERROR(__xludf.DUMMYFUNCTION("""COMPUTED_VALUE"""),"Slenderman")</f>
        <v>Slenderman</v>
      </c>
      <c r="K37" s="674" t="str">
        <f>IFERROR(__xludf.DUMMYFUNCTION("""COMPUTED_VALUE"""),"Defeat this terrifying monster (Defeat an Enderman named 'Slenderman')")</f>
        <v>Defeat this terrifying monster (Defeat an Enderman named 'Slenderman')</v>
      </c>
      <c r="L37" s="695" t="str">
        <f>IFERROR(__xludf.DUMMYFUNCTION("""COMPUTED_VALUE"""),"1 Name Tag, 3 Ender Pearls")</f>
        <v>1 Name Tag, 3 Ender Pearls</v>
      </c>
      <c r="N37" s="175" t="b">
        <f>IFERROR(__xludf.DUMMYFUNCTION("""COMPUTED_VALUE"""),FALSE)</f>
        <v>0</v>
      </c>
      <c r="O37" s="51" t="str">
        <f>IFERROR(__xludf.DUMMYFUNCTION("""COMPUTED_VALUE"""),"")</f>
        <v/>
      </c>
      <c r="P37" s="208" t="str">
        <f>IFERROR(__xludf.DUMMYFUNCTION("""COMPUTED_VALUE"""),"Enderman Destroyer")</f>
        <v>Enderman Destroyer</v>
      </c>
      <c r="Q37" s="370" t="str">
        <f>IFERROR(__xludf.DUMMYFUNCTION("""COMPUTED_VALUE"""),"Collect a stack of ender pearls")</f>
        <v>Collect a stack of ender pearls</v>
      </c>
      <c r="R37" s="677" t="str">
        <f>IFERROR(__xludf.DUMMYFUNCTION("""COMPUTED_VALUE"""),"4 Ender Pearls, 1 Knockback I Enchanted Book")</f>
        <v>4 Ender Pearls, 1 Knockback I Enchanted Book</v>
      </c>
    </row>
    <row r="38">
      <c r="B38" s="670"/>
      <c r="C38" s="609"/>
      <c r="D38" s="609"/>
      <c r="E38" s="671"/>
      <c r="F38" s="672"/>
      <c r="H38" s="673" t="b">
        <f>IFERROR(__xludf.DUMMYFUNCTION("""COMPUTED_VALUE"""),FALSE)</f>
        <v>0</v>
      </c>
      <c r="I38" s="674" t="str">
        <f>IFERROR(__xludf.DUMMYFUNCTION("""COMPUTED_VALUE"""),"")</f>
        <v/>
      </c>
      <c r="J38" s="674" t="str">
        <f>IFERROR(__xludf.DUMMYFUNCTION("""COMPUTED_VALUE"""),"Genesis of the End")</f>
        <v>Genesis of the End</v>
      </c>
      <c r="K38" s="674" t="str">
        <f>IFERROR(__xludf.DUMMYFUNCTION("""COMPUTED_VALUE"""),"Find the Eye Smithing Template in a Stronghold (Obtain an Eye Armor Trim Smithing Template)")</f>
        <v>Find the Eye Smithing Template in a Stronghold (Obtain an Eye Armor Trim Smithing Template)</v>
      </c>
      <c r="L38" s="695" t="str">
        <f>IFERROR(__xludf.DUMMYFUNCTION("""COMPUTED_VALUE"""),"4 Ender Pearls")</f>
        <v>4 Ender Pearls</v>
      </c>
      <c r="N38" s="175" t="b">
        <f>IFERROR(__xludf.DUMMYFUNCTION("""COMPUTED_VALUE"""),FALSE)</f>
        <v>0</v>
      </c>
      <c r="O38" s="51" t="str">
        <f>IFERROR(__xludf.DUMMYFUNCTION("""COMPUTED_VALUE"""),"")</f>
        <v/>
      </c>
      <c r="P38" s="208" t="str">
        <f>IFERROR(__xludf.DUMMYFUNCTION("""COMPUTED_VALUE"""),"We'll handle this")</f>
        <v>We'll handle this</v>
      </c>
      <c r="Q38" s="370" t="str">
        <f>IFERROR(__xludf.DUMMYFUNCTION("""COMPUTED_VALUE"""),"Lure a Phantom into the Nether and then kill it (Kill a Phantom in the Nether)")</f>
        <v>Lure a Phantom into the Nether and then kill it (Kill a Phantom in the Nether)</v>
      </c>
      <c r="R38" s="677" t="str">
        <f>IFERROR(__xludf.DUMMYFUNCTION("""COMPUTED_VALUE"""),"8 Phantom Membranes, 1 Feather Falling III Enchanted Book")</f>
        <v>8 Phantom Membranes, 1 Feather Falling III Enchanted Book</v>
      </c>
    </row>
    <row r="39">
      <c r="B39" s="670"/>
      <c r="C39" s="609"/>
      <c r="D39" s="609"/>
      <c r="E39" s="671"/>
      <c r="F39" s="672"/>
      <c r="H39" s="175" t="b">
        <f>IFERROR(__xludf.DUMMYFUNCTION("""COMPUTED_VALUE"""),FALSE)</f>
        <v>0</v>
      </c>
      <c r="I39" s="51" t="str">
        <f>IFERROR(__xludf.DUMMYFUNCTION("""COMPUTED_VALUE"""),"")</f>
        <v/>
      </c>
      <c r="J39" s="51" t="str">
        <f>IFERROR(__xludf.DUMMYFUNCTION("""COMPUTED_VALUE"""),"Ender's Chest")</f>
        <v>Ender's Chest</v>
      </c>
      <c r="K39" s="51" t="str">
        <f>IFERROR(__xludf.DUMMYFUNCTION("""COMPUTED_VALUE"""),"Craft an ender chest for some extra inventory space (Obtain an ender chest)")</f>
        <v>Craft an ender chest for some extra inventory space (Obtain an ender chest)</v>
      </c>
      <c r="L39" s="176" t="str">
        <f>IFERROR(__xludf.DUMMYFUNCTION("""COMPUTED_VALUE"""),"1 Eye of Ender")</f>
        <v>1 Eye of Ender</v>
      </c>
      <c r="N39" s="175" t="b">
        <f>IFERROR(__xludf.DUMMYFUNCTION("""COMPUTED_VALUE"""),FALSE)</f>
        <v>0</v>
      </c>
      <c r="O39" s="51" t="str">
        <f>IFERROR(__xludf.DUMMYFUNCTION("""COMPUTED_VALUE"""),"")</f>
        <v/>
      </c>
      <c r="P39" s="208" t="str">
        <f>IFERROR(__xludf.DUMMYFUNCTION("""COMPUTED_VALUE"""),"Sniper Duel")</f>
        <v>Sniper Duel</v>
      </c>
      <c r="Q39" s="370" t="str">
        <f>IFERROR(__xludf.DUMMYFUNCTION("""COMPUTED_VALUE"""),"Kill a skeleton with an arrow from more than 50 metres (Kill a skeleton or stray with an arrow from at least 50 metres)")</f>
        <v>Kill a skeleton with an arrow from more than 50 metres (Kill a skeleton or stray with an arrow from at least 50 metres)</v>
      </c>
      <c r="R39" s="677" t="str">
        <f>IFERROR(__xludf.DUMMYFUNCTION("""COMPUTED_VALUE"""),"32 Arrows, 1 Power III Enchanted Book")</f>
        <v>32 Arrows, 1 Power III Enchanted Book</v>
      </c>
    </row>
    <row r="40">
      <c r="B40" s="670"/>
      <c r="C40" s="609"/>
      <c r="D40" s="609"/>
      <c r="E40" s="671"/>
      <c r="F40" s="672"/>
      <c r="H40" s="673" t="b">
        <f>IFERROR(__xludf.DUMMYFUNCTION("""COMPUTED_VALUE"""),FALSE)</f>
        <v>0</v>
      </c>
      <c r="I40" s="674" t="str">
        <f>IFERROR(__xludf.DUMMYFUNCTION("""COMPUTED_VALUE"""),"")</f>
        <v/>
      </c>
      <c r="J40" s="674" t="str">
        <f>IFERROR(__xludf.DUMMYFUNCTION("""COMPUTED_VALUE"""),"Eye Spy")</f>
        <v>Eye Spy</v>
      </c>
      <c r="K40" s="674" t="str">
        <f>IFERROR(__xludf.DUMMYFUNCTION("""COMPUTED_VALUE"""),"Follow an Ender Eye (Enter a stronghold)")</f>
        <v>Follow an Ender Eye (Enter a stronghold)</v>
      </c>
      <c r="L40" s="695" t="str">
        <f>IFERROR(__xludf.DUMMYFUNCTION("""COMPUTED_VALUE"""),"2 Eyes of Ender")</f>
        <v>2 Eyes of Ender</v>
      </c>
      <c r="N40" s="175" t="b">
        <f>IFERROR(__xludf.DUMMYFUNCTION("""COMPUTED_VALUE"""),FALSE)</f>
        <v>0</v>
      </c>
      <c r="O40" s="51" t="str">
        <f>IFERROR(__xludf.DUMMYFUNCTION("""COMPUTED_VALUE"""),"")</f>
        <v/>
      </c>
      <c r="P40" s="208" t="str">
        <f>IFERROR(__xludf.DUMMYFUNCTION("""COMPUTED_VALUE"""),"The Mighty Hunter")</f>
        <v>The Mighty Hunter</v>
      </c>
      <c r="Q40" s="370" t="str">
        <f>IFERROR(__xludf.DUMMYFUNCTION("""COMPUTED_VALUE"""),"Hunt all types of land animals with your bow (See requirement notes below)")</f>
        <v>Hunt all types of land animals with your bow (See requirement notes below)</v>
      </c>
      <c r="R40" s="677" t="str">
        <f>IFERROR(__xludf.DUMMYFUNCTION("""COMPUTED_VALUE"""),"1 Infinity Enchanted Book")</f>
        <v>1 Infinity Enchanted Book</v>
      </c>
    </row>
    <row r="41">
      <c r="B41" s="670"/>
      <c r="C41" s="609"/>
      <c r="D41" s="609"/>
      <c r="E41" s="671"/>
      <c r="F41" s="672"/>
      <c r="H41" s="690" t="b">
        <f>IFERROR(__xludf.DUMMYFUNCTION("""COMPUTED_VALUE"""),FALSE)</f>
        <v>0</v>
      </c>
      <c r="I41" s="691" t="str">
        <f>IFERROR(__xludf.DUMMYFUNCTION("""COMPUTED_VALUE"""),"")</f>
        <v/>
      </c>
      <c r="J41" s="691" t="str">
        <f>IFERROR(__xludf.DUMMYFUNCTION("""COMPUTED_VALUE"""),"Remote Getaway")</f>
        <v>Remote Getaway</v>
      </c>
      <c r="K41" s="691" t="str">
        <f>IFERROR(__xludf.DUMMYFUNCTION("""COMPUTED_VALUE"""),"Escape the island (Enter an End Gateway OR be beyond 750 or -750 in the x or z direction in the End)")</f>
        <v>Escape the island (Enter an End Gateway OR be beyond 750 or -750 in the x or z direction in the End)</v>
      </c>
      <c r="L41" s="697" t="str">
        <f>IFERROR(__xludf.DUMMYFUNCTION("""COMPUTED_VALUE"""),"4 Ender Pearls")</f>
        <v>4 Ender Pearls</v>
      </c>
      <c r="N41" s="175" t="b">
        <f>IFERROR(__xludf.DUMMYFUNCTION("""COMPUTED_VALUE"""),FALSE)</f>
        <v>0</v>
      </c>
      <c r="O41" s="51" t="str">
        <f>IFERROR(__xludf.DUMMYFUNCTION("""COMPUTED_VALUE"""),"")</f>
        <v/>
      </c>
      <c r="P41" s="208" t="str">
        <f>IFERROR(__xludf.DUMMYFUNCTION("""COMPUTED_VALUE"""),"Artillery")</f>
        <v>Artillery</v>
      </c>
      <c r="Q41" s="370" t="str">
        <f>IFERROR(__xludf.DUMMYFUNCTION("""COMPUTED_VALUE"""),"Have nine loaded crossbows in your hotbar. All set!")</f>
        <v>Have nine loaded crossbows in your hotbar. All set!</v>
      </c>
      <c r="R41" s="677" t="str">
        <f>IFERROR(__xludf.DUMMYFUNCTION("""COMPUTED_VALUE"""),"1 Crossbow, 1 Multishot Enchanted Book, 32 Arrows")</f>
        <v>1 Crossbow, 1 Multishot Enchanted Book, 32 Arrows</v>
      </c>
    </row>
    <row r="42">
      <c r="B42" s="670"/>
      <c r="C42" s="609"/>
      <c r="D42" s="609"/>
      <c r="E42" s="671"/>
      <c r="F42" s="672"/>
      <c r="N42" s="175" t="b">
        <f>IFERROR(__xludf.DUMMYFUNCTION("""COMPUTED_VALUE"""),FALSE)</f>
        <v>0</v>
      </c>
      <c r="O42" s="51" t="str">
        <f>IFERROR(__xludf.DUMMYFUNCTION("""COMPUTED_VALUE"""),"")</f>
        <v/>
      </c>
      <c r="P42" s="208" t="str">
        <f>IFERROR(__xludf.DUMMYFUNCTION("""COMPUTED_VALUE"""),"The Aquatic Hunter")</f>
        <v>The Aquatic Hunter</v>
      </c>
      <c r="Q42" s="370" t="str">
        <f>IFERROR(__xludf.DUMMYFUNCTION("""COMPUTED_VALUE"""),"Hunt all types of aquatic creatures using your trident (See requirement notes below)")</f>
        <v>Hunt all types of aquatic creatures using your trident (See requirement notes below)</v>
      </c>
      <c r="R42" s="677" t="str">
        <f>IFERROR(__xludf.DUMMYFUNCTION("""COMPUTED_VALUE"""),"1 Riptide III Enchanted Book")</f>
        <v>1 Riptide III Enchanted Book</v>
      </c>
    </row>
    <row r="43">
      <c r="B43" s="670"/>
      <c r="C43" s="609"/>
      <c r="D43" s="609"/>
      <c r="E43" s="671"/>
      <c r="F43" s="672"/>
      <c r="H43" s="41"/>
      <c r="I43" s="42"/>
      <c r="J43" s="694" t="s">
        <v>5480</v>
      </c>
      <c r="K43" s="42"/>
      <c r="L43" s="46"/>
      <c r="N43" s="175" t="b">
        <f>IFERROR(__xludf.DUMMYFUNCTION("""COMPUTED_VALUE"""),FALSE)</f>
        <v>0</v>
      </c>
      <c r="O43" s="51" t="str">
        <f>IFERROR(__xludf.DUMMYFUNCTION("""COMPUTED_VALUE"""),"")</f>
        <v/>
      </c>
      <c r="P43" s="208" t="str">
        <f>IFERROR(__xludf.DUMMYFUNCTION("""COMPUTED_VALUE"""),"Poseidon vs. Hades")</f>
        <v>Poseidon vs. Hades</v>
      </c>
      <c r="Q43" s="370" t="str">
        <f>IFERROR(__xludf.DUMMYFUNCTION("""COMPUTED_VALUE"""),"Hunt all types of nether creatures using your trident (See requirement notes below)")</f>
        <v>Hunt all types of nether creatures using your trident (See requirement notes below)</v>
      </c>
      <c r="R43" s="677" t="str">
        <f>IFERROR(__xludf.DUMMYFUNCTION("""COMPUTED_VALUE"""),"1 Loyalty III Enchanted Book")</f>
        <v>1 Loyalty III Enchanted Book</v>
      </c>
    </row>
    <row r="44">
      <c r="B44" s="670"/>
      <c r="C44" s="609"/>
      <c r="D44" s="609"/>
      <c r="E44" s="671"/>
      <c r="F44" s="672"/>
      <c r="H44" s="681" t="b">
        <f>IFERROR(__xludf.DUMMYFUNCTION("FILTER({Advancements!$G$2:$K1644},regexmatch(Advancements!$K$2:$K1644,J43))"),FALSE)</f>
        <v>0</v>
      </c>
      <c r="I44" s="43" t="str">
        <f>IFERROR(__xludf.DUMMYFUNCTION("""COMPUTED_VALUE"""),"")</f>
        <v/>
      </c>
      <c r="J44" s="43" t="str">
        <f>IFERROR(__xludf.DUMMYFUNCTION("""COMPUTED_VALUE"""),"A snowball's chance in hell")</f>
        <v>A snowball's chance in hell</v>
      </c>
      <c r="K44" s="682" t="str">
        <f>IFERROR(__xludf.DUMMYFUNCTION("""COMPUTED_VALUE"""),"Defeat a Blaze using snowballs (Kill a blaze with a thrown snowball)")</f>
        <v>Defeat a Blaze using snowballs (Kill a blaze with a thrown snowball)</v>
      </c>
      <c r="L44" s="683" t="str">
        <f>IFERROR(__xludf.DUMMYFUNCTION("""COMPUTED_VALUE"""),"4 Blaze Rods")</f>
        <v>4 Blaze Rods</v>
      </c>
      <c r="N44" s="673" t="b">
        <f>IFERROR(__xludf.DUMMYFUNCTION("""COMPUTED_VALUE"""),FALSE)</f>
        <v>0</v>
      </c>
      <c r="O44" s="674" t="str">
        <f>IFERROR(__xludf.DUMMYFUNCTION("""COMPUTED_VALUE"""),"")</f>
        <v/>
      </c>
      <c r="P44" s="696" t="str">
        <f>IFERROR(__xludf.DUMMYFUNCTION("""COMPUTED_VALUE"""),"Bullseye")</f>
        <v>Bullseye</v>
      </c>
      <c r="Q44" s="675" t="str">
        <f>IFERROR(__xludf.DUMMYFUNCTION("""COMPUTED_VALUE"""),"Hit the bullseye of a Target Block with an arrow (Output a signal strength of 15 on a Target using an arrow from 30 blocks away)")</f>
        <v>Hit the bullseye of a Target Block with an arrow (Output a signal strength of 15 on a Target using an arrow from 30 blocks away)</v>
      </c>
      <c r="R44" s="676" t="str">
        <f>IFERROR(__xludf.DUMMYFUNCTION("""COMPUTED_VALUE"""),"16 Arrows, 1 Infinity Enchanted Book")</f>
        <v>16 Arrows, 1 Infinity Enchanted Book</v>
      </c>
    </row>
    <row r="45">
      <c r="B45" s="670"/>
      <c r="C45" s="609"/>
      <c r="D45" s="609"/>
      <c r="E45" s="671"/>
      <c r="F45" s="672"/>
      <c r="H45" s="673" t="b">
        <f>IFERROR(__xludf.DUMMYFUNCTION("""COMPUTED_VALUE"""),FALSE)</f>
        <v>0</v>
      </c>
      <c r="I45" s="674" t="str">
        <f>IFERROR(__xludf.DUMMYFUNCTION("""COMPUTED_VALUE"""),"")</f>
        <v/>
      </c>
      <c r="J45" s="674" t="str">
        <f>IFERROR(__xludf.DUMMYFUNCTION("""COMPUTED_VALUE"""),"Backfire")</f>
        <v>Backfire</v>
      </c>
      <c r="K45" s="675" t="str">
        <f>IFERROR(__xludf.DUMMYFUNCTION("""COMPUTED_VALUE"""),"Kill a Blaze using a Blaze Rod while both you and it are on fire")</f>
        <v>Kill a Blaze using a Blaze Rod while both you and it are on fire</v>
      </c>
      <c r="L45" s="695" t="str">
        <f>IFERROR(__xludf.DUMMYFUNCTION("""COMPUTED_VALUE"""),"8 Blaze Rods")</f>
        <v>8 Blaze Rods</v>
      </c>
      <c r="N45" s="175" t="b">
        <f>IFERROR(__xludf.DUMMYFUNCTION("""COMPUTED_VALUE"""),FALSE)</f>
        <v>0</v>
      </c>
      <c r="O45" s="51" t="str">
        <f>IFERROR(__xludf.DUMMYFUNCTION("""COMPUTED_VALUE"""),"")</f>
        <v/>
      </c>
      <c r="P45" s="208" t="str">
        <f>IFERROR(__xludf.DUMMYFUNCTION("""COMPUTED_VALUE"""),"Librarian")</f>
        <v>Librarian</v>
      </c>
      <c r="Q45" s="370" t="str">
        <f>IFERROR(__xludf.DUMMYFUNCTION("""COMPUTED_VALUE"""),"Build some bookshelves for your enchanting table (Obtain a bookshelf)")</f>
        <v>Build some bookshelves for your enchanting table (Obtain a bookshelf)</v>
      </c>
      <c r="R45" s="677" t="str">
        <f>IFERROR(__xludf.DUMMYFUNCTION("""COMPUTED_VALUE"""),"2 Bookshelves")</f>
        <v>2 Bookshelves</v>
      </c>
    </row>
    <row r="46">
      <c r="B46" s="670"/>
      <c r="C46" s="609"/>
      <c r="D46" s="609"/>
      <c r="E46" s="671"/>
      <c r="F46" s="672"/>
      <c r="H46" s="673" t="b">
        <f>IFERROR(__xludf.DUMMYFUNCTION("""COMPUTED_VALUE"""),FALSE)</f>
        <v>0</v>
      </c>
      <c r="I46" s="674" t="str">
        <f>IFERROR(__xludf.DUMMYFUNCTION("""COMPUTED_VALUE"""),"")</f>
        <v/>
      </c>
      <c r="J46" s="674" t="str">
        <f>IFERROR(__xludf.DUMMYFUNCTION("""COMPUTED_VALUE"""),"Into Fire")</f>
        <v>Into Fire</v>
      </c>
      <c r="K46" s="675" t="str">
        <f>IFERROR(__xludf.DUMMYFUNCTION("""COMPUTED_VALUE"""),"Relieve a Blaze of its rod")</f>
        <v>Relieve a Blaze of its rod</v>
      </c>
      <c r="L46" s="695" t="str">
        <f>IFERROR(__xludf.DUMMYFUNCTION("""COMPUTED_VALUE"""),"2 Blaze Rods")</f>
        <v>2 Blaze Rods</v>
      </c>
      <c r="N46" s="175" t="b">
        <f>IFERROR(__xludf.DUMMYFUNCTION("""COMPUTED_VALUE"""),FALSE)</f>
        <v>0</v>
      </c>
      <c r="O46" s="51" t="str">
        <f>IFERROR(__xludf.DUMMYFUNCTION("""COMPUTED_VALUE"""),"")</f>
        <v/>
      </c>
      <c r="P46" s="208" t="str">
        <f>IFERROR(__xludf.DUMMYFUNCTION("""COMPUTED_VALUE"""),"Handmade Blinding")</f>
        <v>Handmade Blinding</v>
      </c>
      <c r="Q46" s="370" t="str">
        <f>IFERROR(__xludf.DUMMYFUNCTION("""COMPUTED_VALUE"""),"Wear a carved pumpkin enchanted with Curse of Binding")</f>
        <v>Wear a carved pumpkin enchanted with Curse of Binding</v>
      </c>
      <c r="R46" s="677" t="str">
        <f>IFERROR(__xludf.DUMMYFUNCTION("""COMPUTED_VALUE"""),"1 Curse of Binding Enchanted Book")</f>
        <v>1 Curse of Binding Enchanted Book</v>
      </c>
    </row>
    <row r="47">
      <c r="B47" s="670"/>
      <c r="C47" s="609"/>
      <c r="D47" s="609"/>
      <c r="E47" s="671"/>
      <c r="F47" s="672"/>
      <c r="H47" s="175" t="b">
        <f>IFERROR(__xludf.DUMMYFUNCTION("""COMPUTED_VALUE"""),FALSE)</f>
        <v>0</v>
      </c>
      <c r="I47" s="51" t="str">
        <f>IFERROR(__xludf.DUMMYFUNCTION("""COMPUTED_VALUE"""),"")</f>
        <v/>
      </c>
      <c r="J47" s="51" t="str">
        <f>IFERROR(__xludf.DUMMYFUNCTION("""COMPUTED_VALUE"""),"The Nether's Shield")</f>
        <v>The Nether's Shield</v>
      </c>
      <c r="K47" s="370" t="str">
        <f>IFERROR(__xludf.DUMMYFUNCTION("""COMPUTED_VALUE"""),"Block some Blaze fireballs (Block a Blaze's fireball with a shield)")</f>
        <v>Block some Blaze fireballs (Block a Blaze's fireball with a shield)</v>
      </c>
      <c r="L47" s="176" t="str">
        <f>IFERROR(__xludf.DUMMYFUNCTION("""COMPUTED_VALUE"""),"3 Blaze Rods")</f>
        <v>3 Blaze Rods</v>
      </c>
      <c r="N47" s="175" t="b">
        <f>IFERROR(__xludf.DUMMYFUNCTION("""COMPUTED_VALUE"""),FALSE)</f>
        <v>0</v>
      </c>
      <c r="O47" s="51" t="str">
        <f>IFERROR(__xludf.DUMMYFUNCTION("""COMPUTED_VALUE"""),"")</f>
        <v/>
      </c>
      <c r="P47" s="208" t="str">
        <f>IFERROR(__xludf.DUMMYFUNCTION("""COMPUTED_VALUE"""),"This name sounds cooler")</f>
        <v>This name sounds cooler</v>
      </c>
      <c r="Q47" s="370" t="str">
        <f>IFERROR(__xludf.DUMMYFUNCTION("""COMPUTED_VALUE"""),"Name your Diamond Sword 'Diamond Edge' (Hold the named item in your mainhand)")</f>
        <v>Name your Diamond Sword 'Diamond Edge' (Hold the named item in your mainhand)</v>
      </c>
      <c r="R47" s="677" t="str">
        <f>IFERROR(__xludf.DUMMYFUNCTION("""COMPUTED_VALUE"""),"1 Diamond, 1 Sharpness II Enchanted Book")</f>
        <v>1 Diamond, 1 Sharpness II Enchanted Book</v>
      </c>
    </row>
    <row r="48">
      <c r="B48" s="670"/>
      <c r="C48" s="609"/>
      <c r="D48" s="609"/>
      <c r="E48" s="671"/>
      <c r="F48" s="672"/>
      <c r="H48" s="175" t="b">
        <f>IFERROR(__xludf.DUMMYFUNCTION("""COMPUTED_VALUE"""),FALSE)</f>
        <v>0</v>
      </c>
      <c r="I48" s="51" t="str">
        <f>IFERROR(__xludf.DUMMYFUNCTION("""COMPUTED_VALUE"""),"")</f>
        <v/>
      </c>
      <c r="J48" s="51" t="str">
        <f>IFERROR(__xludf.DUMMYFUNCTION("""COMPUTED_VALUE"""),"Blaze Extinguisher")</f>
        <v>Blaze Extinguisher</v>
      </c>
      <c r="K48" s="370" t="str">
        <f>IFERROR(__xludf.DUMMYFUNCTION("""COMPUTED_VALUE"""),"Collect a stack of blaze rods")</f>
        <v>Collect a stack of blaze rods</v>
      </c>
      <c r="L48" s="176" t="str">
        <f>IFERROR(__xludf.DUMMYFUNCTION("""COMPUTED_VALUE"""),"8 Blaze Rods, 1 Flame Enchanted Book")</f>
        <v>8 Blaze Rods, 1 Flame Enchanted Book</v>
      </c>
      <c r="N48" s="175" t="b">
        <f>IFERROR(__xludf.DUMMYFUNCTION("""COMPUTED_VALUE"""),FALSE)</f>
        <v>0</v>
      </c>
      <c r="O48" s="51" t="str">
        <f>IFERROR(__xludf.DUMMYFUNCTION("""COMPUTED_VALUE"""),"")</f>
        <v/>
      </c>
      <c r="P48" s="208" t="str">
        <f>IFERROR(__xludf.DUMMYFUNCTION("""COMPUTED_VALUE"""),"I'll be back")</f>
        <v>I'll be back</v>
      </c>
      <c r="Q48" s="370" t="str">
        <f>IFERROR(__xludf.DUMMYFUNCTION("""COMPUTED_VALUE"""),"Name your Bow 'Terminator' (Hold the named item in your mainhand)")</f>
        <v>Name your Bow 'Terminator' (Hold the named item in your mainhand)</v>
      </c>
      <c r="R48" s="677" t="str">
        <f>IFERROR(__xludf.DUMMYFUNCTION("""COMPUTED_VALUE"""),"32 Arrows, 1 Power II Enchanted Book")</f>
        <v>32 Arrows, 1 Power II Enchanted Book</v>
      </c>
    </row>
    <row r="49">
      <c r="B49" s="670"/>
      <c r="C49" s="609"/>
      <c r="D49" s="609"/>
      <c r="E49" s="671"/>
      <c r="F49" s="672"/>
      <c r="H49" s="652" t="b">
        <f>IFERROR(__xludf.DUMMYFUNCTION("""COMPUTED_VALUE"""),FALSE)</f>
        <v>0</v>
      </c>
      <c r="I49" s="90" t="str">
        <f>IFERROR(__xludf.DUMMYFUNCTION("""COMPUTED_VALUE"""),"")</f>
        <v/>
      </c>
      <c r="J49" s="90" t="str">
        <f>IFERROR(__xludf.DUMMYFUNCTION("""COMPUTED_VALUE"""),"Time to Fire Back")</f>
        <v>Time to Fire Back</v>
      </c>
      <c r="K49" s="678" t="str">
        <f>IFERROR(__xludf.DUMMYFUNCTION("""COMPUTED_VALUE"""),"Craft a stack of fire charges")</f>
        <v>Craft a stack of fire charges</v>
      </c>
      <c r="L49" s="661" t="str">
        <f>IFERROR(__xludf.DUMMYFUNCTION("""COMPUTED_VALUE"""),"8 Blaze Rods")</f>
        <v>8 Blaze Rods</v>
      </c>
      <c r="N49" s="175" t="b">
        <f>IFERROR(__xludf.DUMMYFUNCTION("""COMPUTED_VALUE"""),FALSE)</f>
        <v>0</v>
      </c>
      <c r="O49" s="51" t="str">
        <f>IFERROR(__xludf.DUMMYFUNCTION("""COMPUTED_VALUE"""),"")</f>
        <v/>
      </c>
      <c r="P49" s="208" t="str">
        <f>IFERROR(__xludf.DUMMYFUNCTION("""COMPUTED_VALUE"""),"Mob Hunter")</f>
        <v>Mob Hunter</v>
      </c>
      <c r="Q49" s="370" t="str">
        <f>IFERROR(__xludf.DUMMYFUNCTION("""COMPUTED_VALUE"""),"Defeat 250 mobs")</f>
        <v>Defeat 250 mobs</v>
      </c>
      <c r="R49" s="677" t="str">
        <f>IFERROR(__xludf.DUMMYFUNCTION("""COMPUTED_VALUE"""),"Sharpness II Enchanted Book")</f>
        <v>Sharpness II Enchanted Book</v>
      </c>
    </row>
    <row r="50">
      <c r="B50" s="670"/>
      <c r="C50" s="609"/>
      <c r="D50" s="609"/>
      <c r="E50" s="671"/>
      <c r="F50" s="672"/>
      <c r="N50" s="175" t="b">
        <f>IFERROR(__xludf.DUMMYFUNCTION("""COMPUTED_VALUE"""),FALSE)</f>
        <v>0</v>
      </c>
      <c r="O50" s="51" t="str">
        <f>IFERROR(__xludf.DUMMYFUNCTION("""COMPUTED_VALUE"""),"")</f>
        <v/>
      </c>
      <c r="P50" s="208" t="str">
        <f>IFERROR(__xludf.DUMMYFUNCTION("""COMPUTED_VALUE"""),"Bloodthirsty")</f>
        <v>Bloodthirsty</v>
      </c>
      <c r="Q50" s="370" t="str">
        <f>IFERROR(__xludf.DUMMYFUNCTION("""COMPUTED_VALUE"""),"Defeat 2500 mobs")</f>
        <v>Defeat 2500 mobs</v>
      </c>
      <c r="R50" s="677" t="str">
        <f>IFERROR(__xludf.DUMMYFUNCTION("""COMPUTED_VALUE"""),"Sharpness IV Enchanted Book")</f>
        <v>Sharpness IV Enchanted Book</v>
      </c>
    </row>
    <row r="51">
      <c r="B51" s="670"/>
      <c r="C51" s="609"/>
      <c r="D51" s="609"/>
      <c r="E51" s="671"/>
      <c r="F51" s="672"/>
      <c r="H51" s="698"/>
      <c r="I51" s="15"/>
      <c r="J51" s="669" t="s">
        <v>7256</v>
      </c>
      <c r="K51" s="15"/>
      <c r="L51" s="16"/>
      <c r="N51" s="673" t="b">
        <f>IFERROR(__xludf.DUMMYFUNCTION("""COMPUTED_VALUE"""),FALSE)</f>
        <v>0</v>
      </c>
      <c r="O51" s="674" t="str">
        <f>IFERROR(__xludf.DUMMYFUNCTION("""COMPUTED_VALUE"""),"")</f>
        <v/>
      </c>
      <c r="P51" s="696" t="str">
        <f>IFERROR(__xludf.DUMMYFUNCTION("""COMPUTED_VALUE"""),"Kill or be Killed")</f>
        <v>Kill or be Killed</v>
      </c>
      <c r="Q51" s="675" t="str">
        <f>IFERROR(__xludf.DUMMYFUNCTION("""COMPUTED_VALUE"""),"Defeat 25,000 mobs")</f>
        <v>Defeat 25,000 mobs</v>
      </c>
      <c r="R51" s="676" t="str">
        <f>IFERROR(__xludf.DUMMYFUNCTION("""COMPUTED_VALUE"""),"Sharpness V Enchanted Book, Mending Enchanted Book")</f>
        <v>Sharpness V Enchanted Book, Mending Enchanted Book</v>
      </c>
    </row>
    <row r="52">
      <c r="B52" s="670"/>
      <c r="C52" s="609"/>
      <c r="D52" s="609"/>
      <c r="E52" s="671"/>
      <c r="F52" s="672"/>
      <c r="H52" s="681" t="b">
        <f>IFERROR(__xludf.DUMMYFUNCTION("FILTER({Advancements!$G$2:$K1644},regexmatch(Advancements!$K$2:$K1644,J51))"),FALSE)</f>
        <v>0</v>
      </c>
      <c r="I52" s="43" t="str">
        <f>IFERROR(__xludf.DUMMYFUNCTION("""COMPUTED_VALUE"""),"")</f>
        <v/>
      </c>
      <c r="J52" s="43" t="str">
        <f>IFERROR(__xludf.DUMMYFUNCTION("""COMPUTED_VALUE"""),"Smithing With Style")</f>
        <v>Smithing With Style</v>
      </c>
      <c r="K52" s="682" t="str">
        <f>IFERROR(__xludf.DUMMYFUNCTION("""COMPUTED_VALUE"""),"Find one of every Smithing Template (See requirement notes below)")</f>
        <v>Find one of every Smithing Template (See requirement notes below)</v>
      </c>
      <c r="L52" s="683" t="str">
        <f>IFERROR(__xludf.DUMMYFUNCTION("""COMPUTED_VALUE"""),"1 Gray Shulker Box that contains 1 of each Armor Trim Smithing Template")</f>
        <v>1 Gray Shulker Box that contains 1 of each Armor Trim Smithing Template</v>
      </c>
      <c r="N52" s="175" t="b">
        <f>IFERROR(__xludf.DUMMYFUNCTION("""COMPUTED_VALUE"""),FALSE)</f>
        <v>0</v>
      </c>
      <c r="O52" s="51" t="str">
        <f>IFERROR(__xludf.DUMMYFUNCTION("""COMPUTED_VALUE"""),"")</f>
        <v/>
      </c>
      <c r="P52" s="208" t="str">
        <f>IFERROR(__xludf.DUMMYFUNCTION("""COMPUTED_VALUE"""),"Magma Cube Squisher")</f>
        <v>Magma Cube Squisher</v>
      </c>
      <c r="Q52" s="370" t="str">
        <f>IFERROR(__xludf.DUMMYFUNCTION("""COMPUTED_VALUE"""),"Collect a stack of magma cream")</f>
        <v>Collect a stack of magma cream</v>
      </c>
      <c r="R52" s="677" t="str">
        <f>IFERROR(__xludf.DUMMYFUNCTION("""COMPUTED_VALUE"""),"8 Magma Cream, 1 Fire Aspect I Enchanted Book")</f>
        <v>8 Magma Cream, 1 Fire Aspect I Enchanted Book</v>
      </c>
    </row>
    <row r="53">
      <c r="B53" s="670"/>
      <c r="C53" s="609"/>
      <c r="D53" s="609"/>
      <c r="E53" s="671"/>
      <c r="F53" s="672"/>
      <c r="H53" s="175" t="b">
        <f>IFERROR(__xludf.DUMMYFUNCTION("""COMPUTED_VALUE"""),FALSE)</f>
        <v>0</v>
      </c>
      <c r="I53" s="51" t="str">
        <f>IFERROR(__xludf.DUMMYFUNCTION("""COMPUTED_VALUE"""),"")</f>
        <v/>
      </c>
      <c r="J53" s="51" t="str">
        <f>IFERROR(__xludf.DUMMYFUNCTION("""COMPUTED_VALUE"""),"Monstrous Music")</f>
        <v>Monstrous Music</v>
      </c>
      <c r="K53" s="370" t="str">
        <f>IFERROR(__xludf.DUMMYFUNCTION("""COMPUTED_VALUE"""),"Play Note Blocks with each type of mob head above it (Play a note block with a Zombie, Skeleton, Wither Skeleton, Creeper, Piglin and Dragon Head on top)")</f>
        <v>Play Note Blocks with each type of mob head above it (Play a note block with a Zombie, Skeleton, Wither Skeleton, Creeper, Piglin and Dragon Head on top)</v>
      </c>
      <c r="L53" s="677" t="str">
        <f>IFERROR(__xludf.DUMMYFUNCTION("""COMPUTED_VALUE"""),"1 Brown Shulker Box containing 32 Note Blocks and 1 of each type of head")</f>
        <v>1 Brown Shulker Box containing 32 Note Blocks and 1 of each type of head</v>
      </c>
      <c r="N53" s="175" t="b">
        <f>IFERROR(__xludf.DUMMYFUNCTION("""COMPUTED_VALUE"""),FALSE)</f>
        <v>0</v>
      </c>
      <c r="O53" s="51" t="str">
        <f>IFERROR(__xludf.DUMMYFUNCTION("""COMPUTED_VALUE"""),"")</f>
        <v/>
      </c>
      <c r="P53" s="208" t="str">
        <f>IFERROR(__xludf.DUMMYFUNCTION("""COMPUTED_VALUE"""),"Ghast Slayer")</f>
        <v>Ghast Slayer</v>
      </c>
      <c r="Q53" s="370" t="str">
        <f>IFERROR(__xludf.DUMMYFUNCTION("""COMPUTED_VALUE"""),"Collect a stack of ghast tears")</f>
        <v>Collect a stack of ghast tears</v>
      </c>
      <c r="R53" s="677" t="str">
        <f>IFERROR(__xludf.DUMMYFUNCTION("""COMPUTED_VALUE"""),"8 Ghast Tears, 16 Gunpowder, 1 Punch I Enchanted Book")</f>
        <v>8 Ghast Tears, 16 Gunpowder, 1 Punch I Enchanted Book</v>
      </c>
    </row>
    <row r="54">
      <c r="B54" s="670"/>
      <c r="C54" s="609"/>
      <c r="D54" s="609"/>
      <c r="E54" s="671"/>
      <c r="F54" s="672"/>
      <c r="H54" s="175" t="b">
        <f>IFERROR(__xludf.DUMMYFUNCTION("""COMPUTED_VALUE"""),FALSE)</f>
        <v>0</v>
      </c>
      <c r="I54" s="51" t="str">
        <f>IFERROR(__xludf.DUMMYFUNCTION("""COMPUTED_VALUE"""),"")</f>
        <v/>
      </c>
      <c r="J54" s="51" t="str">
        <f>IFERROR(__xludf.DUMMYFUNCTION("""COMPUTED_VALUE"""),"Sculker Box")</f>
        <v>Sculker Box</v>
      </c>
      <c r="K54" s="370" t="str">
        <f>IFERROR(__xludf.DUMMYFUNCTION("""COMPUTED_VALUE"""),"Hold a Shulker Box that is completely filled with Sculk")</f>
        <v>Hold a Shulker Box that is completely filled with Sculk</v>
      </c>
      <c r="L54" s="677" t="str">
        <f>IFERROR(__xludf.DUMMYFUNCTION("""COMPUTED_VALUE"""),"4 Shulker Shells")</f>
        <v>4 Shulker Shells</v>
      </c>
      <c r="N54" s="175" t="b">
        <f>IFERROR(__xludf.DUMMYFUNCTION("""COMPUTED_VALUE"""),FALSE)</f>
        <v>0</v>
      </c>
      <c r="O54" s="51" t="str">
        <f>IFERROR(__xludf.DUMMYFUNCTION("""COMPUTED_VALUE"""),"")</f>
        <v/>
      </c>
      <c r="P54" s="208" t="str">
        <f>IFERROR(__xludf.DUMMYFUNCTION("""COMPUTED_VALUE"""),"Spooky Scary Skeleton")</f>
        <v>Spooky Scary Skeleton</v>
      </c>
      <c r="Q54" s="370" t="str">
        <f>IFERROR(__xludf.DUMMYFUNCTION("""COMPUTED_VALUE"""),"Obtain a wither skeleton's skull")</f>
        <v>Obtain a wither skeleton's skull</v>
      </c>
      <c r="R54" s="677" t="str">
        <f>IFERROR(__xludf.DUMMYFUNCTION("""COMPUTED_VALUE"""),"1 Looting II Enchanted Book")</f>
        <v>1 Looting II Enchanted Book</v>
      </c>
    </row>
    <row r="55">
      <c r="B55" s="670"/>
      <c r="C55" s="609"/>
      <c r="D55" s="609"/>
      <c r="E55" s="671"/>
      <c r="F55" s="672"/>
      <c r="H55" s="175" t="b">
        <f>IFERROR(__xludf.DUMMYFUNCTION("""COMPUTED_VALUE"""),FALSE)</f>
        <v>0</v>
      </c>
      <c r="I55" s="51" t="str">
        <f>IFERROR(__xludf.DUMMYFUNCTION("""COMPUTED_VALUE"""),"")</f>
        <v/>
      </c>
      <c r="J55" s="51" t="str">
        <f>IFERROR(__xludf.DUMMYFUNCTION("""COMPUTED_VALUE"""),"Frequent Flyer")</f>
        <v>Frequent Flyer</v>
      </c>
      <c r="K55" s="370" t="str">
        <f>IFERROR(__xludf.DUMMYFUNCTION("""COMPUTED_VALUE"""),"Fly 1000km with elytra")</f>
        <v>Fly 1000km with elytra</v>
      </c>
      <c r="L55" s="677" t="str">
        <f>IFERROR(__xludf.DUMMYFUNCTION("""COMPUTED_VALUE"""),"A Shulker Box containing 9 stacks of 64 Firework Rockets (Flight Duration: 3)")</f>
        <v>A Shulker Box containing 9 stacks of 64 Firework Rockets (Flight Duration: 3)</v>
      </c>
      <c r="N55" s="175" t="b">
        <f>IFERROR(__xludf.DUMMYFUNCTION("""COMPUTED_VALUE"""),FALSE)</f>
        <v>0</v>
      </c>
      <c r="O55" s="51" t="str">
        <f>IFERROR(__xludf.DUMMYFUNCTION("""COMPUTED_VALUE"""),"")</f>
        <v/>
      </c>
      <c r="P55" s="208" t="str">
        <f>IFERROR(__xludf.DUMMYFUNCTION("""COMPUTED_VALUE"""),"Blaze Extinguisher")</f>
        <v>Blaze Extinguisher</v>
      </c>
      <c r="Q55" s="370" t="str">
        <f>IFERROR(__xludf.DUMMYFUNCTION("""COMPUTED_VALUE"""),"Collect a stack of blaze rods")</f>
        <v>Collect a stack of blaze rods</v>
      </c>
      <c r="R55" s="677" t="str">
        <f>IFERROR(__xludf.DUMMYFUNCTION("""COMPUTED_VALUE"""),"8 Blaze Rods, 1 Flame Enchanted Book")</f>
        <v>8 Blaze Rods, 1 Flame Enchanted Book</v>
      </c>
    </row>
    <row r="56">
      <c r="B56" s="670"/>
      <c r="C56" s="609"/>
      <c r="D56" s="609"/>
      <c r="E56" s="671"/>
      <c r="F56" s="672"/>
      <c r="H56" s="673" t="b">
        <f>IFERROR(__xludf.DUMMYFUNCTION("""COMPUTED_VALUE"""),FALSE)</f>
        <v>0</v>
      </c>
      <c r="I56" s="674" t="str">
        <f>IFERROR(__xludf.DUMMYFUNCTION("""COMPUTED_VALUE"""),"")</f>
        <v/>
      </c>
      <c r="J56" s="674" t="str">
        <f>IFERROR(__xludf.DUMMYFUNCTION("""COMPUTED_VALUE"""),"A Wizard’s Breakfast")</f>
        <v>A Wizard’s Breakfast</v>
      </c>
      <c r="K56" s="675" t="str">
        <f>IFERROR(__xludf.DUMMYFUNCTION("""COMPUTED_VALUE"""),"Eat a stack of Chorus Fruit in one go (Eat 64 chorus fruit with less than five seconds in-between each fruit and no other food eaten)")</f>
        <v>Eat a stack of Chorus Fruit in one go (Eat 64 chorus fruit with less than five seconds in-between each fruit and no other food eaten)</v>
      </c>
      <c r="L56" s="676" t="str">
        <f>IFERROR(__xludf.DUMMYFUNCTION("""COMPUTED_VALUE"""),"4 Shulker Shells")</f>
        <v>4 Shulker Shells</v>
      </c>
      <c r="N56" s="175" t="b">
        <f>IFERROR(__xludf.DUMMYFUNCTION("""COMPUTED_VALUE"""),FALSE)</f>
        <v>0</v>
      </c>
      <c r="O56" s="51" t="str">
        <f>IFERROR(__xludf.DUMMYFUNCTION("""COMPUTED_VALUE"""),"")</f>
        <v/>
      </c>
      <c r="P56" s="208" t="str">
        <f>IFERROR(__xludf.DUMMYFUNCTION("""COMPUTED_VALUE"""),"Dogfight")</f>
        <v>Dogfight</v>
      </c>
      <c r="Q56" s="370" t="str">
        <f>IFERROR(__xludf.DUMMYFUNCTION("""COMPUTED_VALUE"""),"Kill a Skeleton or Stray while both you and it have levitation")</f>
        <v>Kill a Skeleton or Stray while both you and it have levitation</v>
      </c>
      <c r="R56" s="677" t="str">
        <f>IFERROR(__xludf.DUMMYFUNCTION("""COMPUTED_VALUE"""),"1 Power III Enchanted Book")</f>
        <v>1 Power III Enchanted Book</v>
      </c>
    </row>
    <row r="57">
      <c r="B57" s="670"/>
      <c r="C57" s="609"/>
      <c r="D57" s="609"/>
      <c r="E57" s="671"/>
      <c r="F57" s="672"/>
      <c r="H57" s="673" t="b">
        <f>IFERROR(__xludf.DUMMYFUNCTION("""COMPUTED_VALUE"""),FALSE)</f>
        <v>0</v>
      </c>
      <c r="I57" s="674" t="str">
        <f>IFERROR(__xludf.DUMMYFUNCTION("""COMPUTED_VALUE"""),"")</f>
        <v/>
      </c>
      <c r="J57" s="674" t="str">
        <f>IFERROR(__xludf.DUMMYFUNCTION("""COMPUTED_VALUE"""),"The City at the End of the Game")</f>
        <v>The City at the End of the Game</v>
      </c>
      <c r="K57" s="675" t="str">
        <f>IFERROR(__xludf.DUMMYFUNCTION("""COMPUTED_VALUE"""),"Go on in, what could happen? (Enter an End City)")</f>
        <v>Go on in, what could happen? (Enter an End City)</v>
      </c>
      <c r="L57" s="676" t="str">
        <f>IFERROR(__xludf.DUMMYFUNCTION("""COMPUTED_VALUE"""),"1 Shulker Shell")</f>
        <v>1 Shulker Shell</v>
      </c>
      <c r="N57" s="175" t="b">
        <f>IFERROR(__xludf.DUMMYFUNCTION("""COMPUTED_VALUE"""),FALSE)</f>
        <v>0</v>
      </c>
      <c r="O57" s="51" t="str">
        <f>IFERROR(__xludf.DUMMYFUNCTION("""COMPUTED_VALUE"""),"")</f>
        <v/>
      </c>
      <c r="P57" s="208" t="str">
        <f>IFERROR(__xludf.DUMMYFUNCTION("""COMPUTED_VALUE"""),"Sky High")</f>
        <v>Sky High</v>
      </c>
      <c r="Q57" s="370" t="str">
        <f>IFERROR(__xludf.DUMMYFUNCTION("""COMPUTED_VALUE"""),"Climb up to the world height limit (Be above y=325)")</f>
        <v>Climb up to the world height limit (Be above y=325)</v>
      </c>
      <c r="R57" s="677" t="str">
        <f>IFERROR(__xludf.DUMMYFUNCTION("""COMPUTED_VALUE"""),"1 Feather Falling III Enchanted Book")</f>
        <v>1 Feather Falling III Enchanted Book</v>
      </c>
    </row>
    <row r="58">
      <c r="B58" s="670"/>
      <c r="C58" s="609"/>
      <c r="D58" s="609"/>
      <c r="E58" s="671"/>
      <c r="F58" s="672"/>
      <c r="H58" s="673" t="b">
        <f>IFERROR(__xludf.DUMMYFUNCTION("""COMPUTED_VALUE"""),FALSE)</f>
        <v>0</v>
      </c>
      <c r="I58" s="674" t="str">
        <f>IFERROR(__xludf.DUMMYFUNCTION("""COMPUTED_VALUE"""),"")</f>
        <v/>
      </c>
      <c r="J58" s="674" t="str">
        <f>IFERROR(__xludf.DUMMYFUNCTION("""COMPUTED_VALUE"""),"Portable Storage")</f>
        <v>Portable Storage</v>
      </c>
      <c r="K58" s="675" t="str">
        <f>IFERROR(__xludf.DUMMYFUNCTION("""COMPUTED_VALUE"""),"Use shulker shells to craft a shulker box (Obtain a shulker box of any color)")</f>
        <v>Use shulker shells to craft a shulker box (Obtain a shulker box of any color)</v>
      </c>
      <c r="L58" s="676" t="str">
        <f>IFERROR(__xludf.DUMMYFUNCTION("""COMPUTED_VALUE"""),"2 Shulker Shells")</f>
        <v>2 Shulker Shells</v>
      </c>
      <c r="N58" s="673" t="b">
        <f>IFERROR(__xludf.DUMMYFUNCTION("""COMPUTED_VALUE"""),FALSE)</f>
        <v>0</v>
      </c>
      <c r="O58" s="674" t="str">
        <f>IFERROR(__xludf.DUMMYFUNCTION("""COMPUTED_VALUE"""),"")</f>
        <v/>
      </c>
      <c r="P58" s="696" t="str">
        <f>IFERROR(__xludf.DUMMYFUNCTION("""COMPUTED_VALUE"""),"Uh, Houston? We have a problem")</f>
        <v>Uh, Houston? We have a problem</v>
      </c>
      <c r="Q58" s="675" t="str">
        <f>IFERROR(__xludf.DUMMYFUNCTION("""COMPUTED_VALUE"""),"Fly up to a ridiculous height (Be above y=1000)")</f>
        <v>Fly up to a ridiculous height (Be above y=1000)</v>
      </c>
      <c r="R58" s="676" t="str">
        <f>IFERROR(__xludf.DUMMYFUNCTION("""COMPUTED_VALUE"""),"32 Firework Rockets (Flight Duration: 1), 1 Feather Falling IV Enchanted Book")</f>
        <v>32 Firework Rockets (Flight Duration: 1), 1 Feather Falling IV Enchanted Book</v>
      </c>
    </row>
    <row r="59">
      <c r="B59" s="670"/>
      <c r="C59" s="609"/>
      <c r="D59" s="609"/>
      <c r="E59" s="671"/>
      <c r="F59" s="672"/>
      <c r="H59" s="673" t="b">
        <f>IFERROR(__xludf.DUMMYFUNCTION("""COMPUTED_VALUE"""),FALSE)</f>
        <v>0</v>
      </c>
      <c r="I59" s="674" t="str">
        <f>IFERROR(__xludf.DUMMYFUNCTION("""COMPUTED_VALUE"""),"")</f>
        <v/>
      </c>
      <c r="J59" s="674" t="str">
        <f>IFERROR(__xludf.DUMMYFUNCTION("""COMPUTED_VALUE"""),"Organizational Wizard")</f>
        <v>Organizational Wizard</v>
      </c>
      <c r="K59" s="675" t="str">
        <f>IFERROR(__xludf.DUMMYFUNCTION("""COMPUTED_VALUE"""),"Name a Shulker Box 'Blocks' for storing your blocks (Obtain a shulker box of any color that is named ""Blocks"")")</f>
        <v>Name a Shulker Box 'Blocks' for storing your blocks (Obtain a shulker box of any color that is named "Blocks")</v>
      </c>
      <c r="L59" s="676" t="str">
        <f>IFERROR(__xludf.DUMMYFUNCTION("""COMPUTED_VALUE"""),"2 Shulker Shells")</f>
        <v>2 Shulker Shells</v>
      </c>
      <c r="N59" s="673" t="b">
        <f>IFERROR(__xludf.DUMMYFUNCTION("""COMPUTED_VALUE"""),FALSE)</f>
        <v>0</v>
      </c>
      <c r="O59" s="674" t="str">
        <f>IFERROR(__xludf.DUMMYFUNCTION("""COMPUTED_VALUE"""),"")</f>
        <v/>
      </c>
      <c r="P59" s="696" t="str">
        <f>IFERROR(__xludf.DUMMYFUNCTION("""COMPUTED_VALUE"""),"Free Diver")</f>
        <v>Free Diver</v>
      </c>
      <c r="Q59" s="675" t="str">
        <f>IFERROR(__xludf.DUMMYFUNCTION("""COMPUTED_VALUE"""),"Stay underwater for 2 minutes (See warning below)")</f>
        <v>Stay underwater for 2 minutes (See warning below)</v>
      </c>
      <c r="R59" s="676" t="str">
        <f>IFERROR(__xludf.DUMMYFUNCTION("""COMPUTED_VALUE"""),"1 Aqua Affinity Enchanted Book")</f>
        <v>1 Aqua Affinity Enchanted Book</v>
      </c>
    </row>
    <row r="60">
      <c r="B60" s="670"/>
      <c r="C60" s="609"/>
      <c r="D60" s="609"/>
      <c r="E60" s="671"/>
      <c r="F60" s="672"/>
      <c r="H60" s="175" t="b">
        <f>IFERROR(__xludf.DUMMYFUNCTION("""COMPUTED_VALUE"""),FALSE)</f>
        <v>0</v>
      </c>
      <c r="I60" s="51" t="str">
        <f>IFERROR(__xludf.DUMMYFUNCTION("""COMPUTED_VALUE"""),"")</f>
        <v/>
      </c>
      <c r="J60" s="51" t="str">
        <f>IFERROR(__xludf.DUMMYFUNCTION("""COMPUTED_VALUE"""),"Somewhere Over the Rainbow...")</f>
        <v>Somewhere Over the Rainbow...</v>
      </c>
      <c r="K60" s="370" t="str">
        <f>IFERROR(__xludf.DUMMYFUNCTION("""COMPUTED_VALUE"""),"Craft all 16 shulker box types")</f>
        <v>Craft all 16 shulker box types</v>
      </c>
      <c r="L60" s="677" t="str">
        <f>IFERROR(__xludf.DUMMYFUNCTION("""COMPUTED_VALUE"""),"8 Shulker Shells")</f>
        <v>8 Shulker Shells</v>
      </c>
      <c r="N60" s="690" t="b">
        <f>IFERROR(__xludf.DUMMYFUNCTION("""COMPUTED_VALUE"""),FALSE)</f>
        <v>0</v>
      </c>
      <c r="O60" s="691" t="str">
        <f>IFERROR(__xludf.DUMMYFUNCTION("""COMPUTED_VALUE"""),"")</f>
        <v/>
      </c>
      <c r="P60" s="699" t="str">
        <f>IFERROR(__xludf.DUMMYFUNCTION("""COMPUTED_VALUE"""),"Sleep with the Fishes")</f>
        <v>Sleep with the Fishes</v>
      </c>
      <c r="Q60" s="692" t="str">
        <f>IFERROR(__xludf.DUMMYFUNCTION("""COMPUTED_VALUE"""),"Spend a day underwater (See warning below)")</f>
        <v>Spend a day underwater (See warning below)</v>
      </c>
      <c r="R60" s="693" t="str">
        <f>IFERROR(__xludf.DUMMYFUNCTION("""COMPUTED_VALUE"""),"1 Respiration III Enchanted Book")</f>
        <v>1 Respiration III Enchanted Book</v>
      </c>
    </row>
    <row r="61">
      <c r="B61" s="670"/>
      <c r="C61" s="609"/>
      <c r="D61" s="609"/>
      <c r="E61" s="671"/>
      <c r="F61" s="672"/>
      <c r="H61" s="673" t="b">
        <f>IFERROR(__xludf.DUMMYFUNCTION("""COMPUTED_VALUE"""),FALSE)</f>
        <v>0</v>
      </c>
      <c r="I61" s="674" t="str">
        <f>IFERROR(__xludf.DUMMYFUNCTION("""COMPUTED_VALUE"""),"")</f>
        <v/>
      </c>
      <c r="J61" s="674" t="str">
        <f>IFERROR(__xludf.DUMMYFUNCTION("""COMPUTED_VALUE"""),"Shouldn't my shield levitate too?")</f>
        <v>Shouldn't my shield levitate too?</v>
      </c>
      <c r="K61" s="675" t="str">
        <f>IFERROR(__xludf.DUMMYFUNCTION("""COMPUTED_VALUE"""),"Block a Shulker's bullet with your shield")</f>
        <v>Block a Shulker's bullet with your shield</v>
      </c>
      <c r="L61" s="676" t="str">
        <f>IFERROR(__xludf.DUMMYFUNCTION("""COMPUTED_VALUE"""),"3 Shulker Shells")</f>
        <v>3 Shulker Shells</v>
      </c>
      <c r="P61" s="208"/>
      <c r="Q61" s="370"/>
      <c r="R61" s="370"/>
    </row>
    <row r="62">
      <c r="B62" s="670"/>
      <c r="C62" s="609"/>
      <c r="D62" s="609"/>
      <c r="E62" s="671"/>
      <c r="F62" s="672"/>
      <c r="H62" s="673" t="b">
        <f>IFERROR(__xludf.DUMMYFUNCTION("""COMPUTED_VALUE"""),FALSE)</f>
        <v>0</v>
      </c>
      <c r="I62" s="674" t="str">
        <f>IFERROR(__xludf.DUMMYFUNCTION("""COMPUTED_VALUE"""),"")</f>
        <v/>
      </c>
      <c r="J62" s="674" t="str">
        <f>IFERROR(__xludf.DUMMYFUNCTION("""COMPUTED_VALUE"""),"Shulker Breaker")</f>
        <v>Shulker Breaker</v>
      </c>
      <c r="K62" s="675" t="str">
        <f>IFERROR(__xludf.DUMMYFUNCTION("""COMPUTED_VALUE"""),"Collect a stack of shulker shells")</f>
        <v>Collect a stack of shulker shells</v>
      </c>
      <c r="L62" s="676" t="str">
        <f>IFERROR(__xludf.DUMMYFUNCTION("""COMPUTED_VALUE"""),"8 Shulker Shells")</f>
        <v>8 Shulker Shells</v>
      </c>
      <c r="P62" s="208"/>
      <c r="Q62" s="370"/>
      <c r="R62" s="370"/>
    </row>
    <row r="63">
      <c r="B63" s="670"/>
      <c r="C63" s="609"/>
      <c r="D63" s="609"/>
      <c r="E63" s="671"/>
      <c r="F63" s="672"/>
      <c r="H63" s="652" t="b">
        <f>IFERROR(__xludf.DUMMYFUNCTION("""COMPUTED_VALUE"""),FALSE)</f>
        <v>0</v>
      </c>
      <c r="I63" s="90" t="str">
        <f>IFERROR(__xludf.DUMMYFUNCTION("""COMPUTED_VALUE"""),"")</f>
        <v/>
      </c>
      <c r="J63" s="90" t="str">
        <f>IFERROR(__xludf.DUMMYFUNCTION("""COMPUTED_VALUE"""),"Anti-Gravity Generator")</f>
        <v>Anti-Gravity Generator</v>
      </c>
      <c r="K63" s="678" t="str">
        <f>IFERROR(__xludf.DUMMYFUNCTION("""COMPUTED_VALUE"""),"Bring a Shulker into the Overworld and let it give you anti-gravity (Get levitation in the Overworld)")</f>
        <v>Bring a Shulker into the Overworld and let it give you anti-gravity (Get levitation in the Overworld)</v>
      </c>
      <c r="L63" s="679" t="str">
        <f>IFERROR(__xludf.DUMMYFUNCTION("""COMPUTED_VALUE"""),"6 Shulker Shells")</f>
        <v>6 Shulker Shells</v>
      </c>
      <c r="P63" s="208"/>
      <c r="Q63" s="370"/>
      <c r="R63" s="370"/>
    </row>
    <row r="64">
      <c r="B64" s="670"/>
      <c r="C64" s="609"/>
      <c r="D64" s="609"/>
      <c r="E64" s="671"/>
      <c r="F64" s="672"/>
      <c r="K64" s="370"/>
      <c r="L64" s="370"/>
      <c r="P64" s="208"/>
      <c r="Q64" s="370"/>
      <c r="R64" s="370"/>
    </row>
    <row r="65">
      <c r="B65" s="670"/>
      <c r="C65" s="609"/>
      <c r="D65" s="609"/>
      <c r="E65" s="671"/>
      <c r="F65" s="672"/>
      <c r="K65" s="370"/>
      <c r="L65" s="370"/>
      <c r="P65" s="208"/>
      <c r="Q65" s="370"/>
      <c r="R65" s="370"/>
    </row>
    <row r="66">
      <c r="B66" s="670"/>
      <c r="C66" s="609"/>
      <c r="D66" s="609"/>
      <c r="E66" s="671"/>
      <c r="F66" s="672"/>
      <c r="K66" s="370"/>
      <c r="L66" s="370"/>
      <c r="P66" s="208"/>
      <c r="Q66" s="370"/>
      <c r="R66" s="370"/>
    </row>
    <row r="67">
      <c r="B67" s="670"/>
      <c r="C67" s="609"/>
      <c r="D67" s="609"/>
      <c r="E67" s="671"/>
      <c r="F67" s="672"/>
      <c r="K67" s="370"/>
      <c r="L67" s="370"/>
      <c r="P67" s="208"/>
      <c r="Q67" s="370"/>
      <c r="R67" s="370"/>
    </row>
    <row r="68">
      <c r="B68" s="670"/>
      <c r="C68" s="609"/>
      <c r="D68" s="609"/>
      <c r="E68" s="671"/>
      <c r="F68" s="672"/>
      <c r="K68" s="370"/>
      <c r="L68" s="370"/>
      <c r="P68" s="208"/>
      <c r="Q68" s="370"/>
      <c r="R68" s="370"/>
    </row>
    <row r="69">
      <c r="B69" s="670"/>
      <c r="C69" s="609"/>
      <c r="D69" s="609"/>
      <c r="E69" s="671"/>
      <c r="F69" s="672"/>
      <c r="K69" s="370"/>
      <c r="L69" s="370"/>
      <c r="P69" s="208"/>
      <c r="Q69" s="370"/>
      <c r="R69" s="370"/>
    </row>
    <row r="70">
      <c r="B70" s="670"/>
      <c r="C70" s="609"/>
      <c r="D70" s="609"/>
      <c r="E70" s="671"/>
      <c r="F70" s="672"/>
      <c r="K70" s="370"/>
      <c r="L70" s="370"/>
      <c r="P70" s="208"/>
      <c r="Q70" s="370"/>
      <c r="R70" s="370"/>
    </row>
    <row r="71">
      <c r="B71" s="670"/>
      <c r="C71" s="609"/>
      <c r="D71" s="609"/>
      <c r="E71" s="671"/>
      <c r="F71" s="672"/>
      <c r="K71" s="370"/>
      <c r="L71" s="370"/>
      <c r="P71" s="208"/>
      <c r="Q71" s="370"/>
      <c r="R71" s="370"/>
    </row>
    <row r="72">
      <c r="B72" s="670"/>
      <c r="C72" s="609"/>
      <c r="D72" s="609"/>
      <c r="E72" s="671"/>
      <c r="F72" s="672"/>
      <c r="K72" s="370"/>
      <c r="L72" s="370"/>
      <c r="P72" s="208"/>
      <c r="Q72" s="370"/>
      <c r="R72" s="370"/>
    </row>
    <row r="73">
      <c r="B73" s="670"/>
      <c r="C73" s="609"/>
      <c r="D73" s="609"/>
      <c r="E73" s="671"/>
      <c r="F73" s="672"/>
      <c r="K73" s="370"/>
      <c r="L73" s="370"/>
      <c r="P73" s="208"/>
      <c r="Q73" s="370"/>
      <c r="R73" s="370"/>
    </row>
    <row r="74">
      <c r="B74" s="670"/>
      <c r="C74" s="609"/>
      <c r="D74" s="609"/>
      <c r="E74" s="671"/>
      <c r="F74" s="672"/>
      <c r="K74" s="370"/>
      <c r="L74" s="370"/>
      <c r="P74" s="208"/>
      <c r="Q74" s="370"/>
      <c r="R74" s="370"/>
    </row>
    <row r="75">
      <c r="B75" s="670"/>
      <c r="C75" s="609"/>
      <c r="D75" s="609"/>
      <c r="E75" s="671"/>
      <c r="F75" s="672"/>
      <c r="K75" s="370"/>
      <c r="L75" s="370"/>
      <c r="P75" s="208"/>
      <c r="Q75" s="370"/>
      <c r="R75" s="370"/>
    </row>
    <row r="76">
      <c r="B76" s="670"/>
      <c r="C76" s="609"/>
      <c r="D76" s="609"/>
      <c r="E76" s="671"/>
      <c r="F76" s="672"/>
      <c r="K76" s="370"/>
      <c r="L76" s="370"/>
      <c r="P76" s="208"/>
      <c r="Q76" s="370"/>
      <c r="R76" s="370"/>
    </row>
    <row r="77">
      <c r="B77" s="670"/>
      <c r="C77" s="609"/>
      <c r="D77" s="609"/>
      <c r="E77" s="671"/>
      <c r="F77" s="672"/>
      <c r="K77" s="370"/>
      <c r="L77" s="370"/>
      <c r="P77" s="208"/>
      <c r="Q77" s="370"/>
      <c r="R77" s="370"/>
    </row>
    <row r="78">
      <c r="B78" s="670"/>
      <c r="C78" s="609"/>
      <c r="D78" s="609"/>
      <c r="E78" s="671"/>
      <c r="F78" s="672"/>
      <c r="K78" s="370"/>
      <c r="L78" s="370"/>
      <c r="P78" s="208"/>
      <c r="Q78" s="370"/>
      <c r="R78" s="370"/>
    </row>
    <row r="79">
      <c r="B79" s="670"/>
      <c r="C79" s="609"/>
      <c r="D79" s="609"/>
      <c r="E79" s="671"/>
      <c r="F79" s="672"/>
      <c r="P79" s="208"/>
      <c r="Q79" s="370"/>
      <c r="R79" s="370"/>
    </row>
    <row r="80">
      <c r="B80" s="670"/>
      <c r="C80" s="609"/>
      <c r="D80" s="609"/>
      <c r="E80" s="671"/>
      <c r="F80" s="672"/>
      <c r="P80" s="208"/>
      <c r="Q80" s="370"/>
      <c r="R80" s="370"/>
    </row>
    <row r="81">
      <c r="B81" s="670"/>
      <c r="C81" s="609"/>
      <c r="D81" s="609"/>
      <c r="E81" s="671"/>
      <c r="F81" s="672"/>
      <c r="P81" s="208"/>
      <c r="Q81" s="370"/>
      <c r="R81" s="370"/>
    </row>
    <row r="82">
      <c r="B82" s="670"/>
      <c r="C82" s="609"/>
      <c r="D82" s="609"/>
      <c r="E82" s="671"/>
      <c r="F82" s="672"/>
      <c r="P82" s="208"/>
      <c r="Q82" s="370"/>
      <c r="R82" s="370"/>
    </row>
    <row r="83">
      <c r="B83" s="670"/>
      <c r="C83" s="609"/>
      <c r="D83" s="609"/>
      <c r="E83" s="671"/>
      <c r="F83" s="672"/>
      <c r="P83" s="208"/>
      <c r="Q83" s="370"/>
      <c r="R83" s="370"/>
    </row>
    <row r="84">
      <c r="B84" s="670"/>
      <c r="C84" s="609"/>
      <c r="D84" s="609"/>
      <c r="E84" s="671"/>
      <c r="F84" s="672"/>
      <c r="P84" s="208"/>
      <c r="Q84" s="370"/>
      <c r="R84" s="370"/>
    </row>
    <row r="85">
      <c r="B85" s="670"/>
      <c r="C85" s="609"/>
      <c r="D85" s="609"/>
      <c r="E85" s="671"/>
      <c r="F85" s="672"/>
      <c r="P85" s="208"/>
      <c r="Q85" s="370"/>
      <c r="R85" s="370"/>
    </row>
    <row r="86">
      <c r="B86" s="670"/>
      <c r="C86" s="609"/>
      <c r="D86" s="609"/>
      <c r="E86" s="671"/>
      <c r="F86" s="672"/>
      <c r="P86" s="208"/>
      <c r="Q86" s="370"/>
      <c r="R86" s="370"/>
    </row>
    <row r="87">
      <c r="B87" s="670"/>
      <c r="C87" s="609"/>
      <c r="D87" s="609"/>
      <c r="E87" s="671"/>
      <c r="F87" s="672"/>
      <c r="P87" s="208"/>
      <c r="Q87" s="370"/>
      <c r="R87" s="370"/>
    </row>
    <row r="88">
      <c r="B88" s="670"/>
      <c r="C88" s="609"/>
      <c r="D88" s="609"/>
      <c r="E88" s="671"/>
      <c r="F88" s="672"/>
      <c r="P88" s="208"/>
      <c r="Q88" s="370"/>
      <c r="R88" s="370"/>
    </row>
    <row r="89">
      <c r="B89" s="670"/>
      <c r="C89" s="609"/>
      <c r="D89" s="609"/>
      <c r="E89" s="671"/>
      <c r="F89" s="672"/>
      <c r="P89" s="208"/>
      <c r="Q89" s="370"/>
      <c r="R89" s="370"/>
    </row>
    <row r="90">
      <c r="B90" s="670"/>
      <c r="C90" s="609"/>
      <c r="D90" s="609"/>
      <c r="E90" s="671"/>
      <c r="F90" s="672"/>
      <c r="P90" s="208"/>
      <c r="Q90" s="370"/>
      <c r="R90" s="370"/>
    </row>
    <row r="91">
      <c r="B91" s="670"/>
      <c r="C91" s="609"/>
      <c r="D91" s="609"/>
      <c r="E91" s="671"/>
      <c r="F91" s="672"/>
      <c r="P91" s="208"/>
      <c r="Q91" s="370"/>
      <c r="R91" s="370"/>
    </row>
    <row r="92">
      <c r="B92" s="670"/>
      <c r="C92" s="609"/>
      <c r="D92" s="609"/>
      <c r="E92" s="671"/>
      <c r="F92" s="672"/>
      <c r="P92" s="208"/>
      <c r="Q92" s="370"/>
      <c r="R92" s="370"/>
    </row>
    <row r="93">
      <c r="B93" s="670"/>
      <c r="C93" s="609"/>
      <c r="D93" s="609"/>
      <c r="E93" s="671"/>
      <c r="F93" s="672"/>
      <c r="P93" s="208"/>
      <c r="Q93" s="370"/>
      <c r="R93" s="370"/>
    </row>
    <row r="94">
      <c r="B94" s="670"/>
      <c r="C94" s="609"/>
      <c r="D94" s="609"/>
      <c r="E94" s="671"/>
      <c r="F94" s="672"/>
      <c r="P94" s="208"/>
      <c r="Q94" s="370"/>
      <c r="R94" s="370"/>
    </row>
    <row r="95">
      <c r="B95" s="670"/>
      <c r="C95" s="609"/>
      <c r="D95" s="609"/>
      <c r="E95" s="671"/>
      <c r="F95" s="672"/>
      <c r="P95" s="208"/>
      <c r="Q95" s="370"/>
      <c r="R95" s="370"/>
    </row>
    <row r="96">
      <c r="B96" s="670"/>
      <c r="C96" s="609"/>
      <c r="D96" s="609"/>
      <c r="E96" s="671"/>
      <c r="F96" s="672"/>
      <c r="P96" s="208"/>
      <c r="Q96" s="370"/>
      <c r="R96" s="370"/>
    </row>
    <row r="97">
      <c r="B97" s="670"/>
      <c r="C97" s="609"/>
      <c r="D97" s="609"/>
      <c r="E97" s="671"/>
      <c r="F97" s="672"/>
      <c r="K97" s="370"/>
      <c r="L97" s="370"/>
      <c r="P97" s="208"/>
      <c r="Q97" s="370"/>
      <c r="R97" s="370"/>
    </row>
    <row r="98">
      <c r="B98" s="670"/>
      <c r="C98" s="609"/>
      <c r="D98" s="609"/>
      <c r="E98" s="671"/>
      <c r="F98" s="672"/>
      <c r="K98" s="370"/>
      <c r="L98" s="370"/>
      <c r="P98" s="208"/>
      <c r="Q98" s="370"/>
      <c r="R98" s="370"/>
    </row>
    <row r="99">
      <c r="B99" s="670"/>
      <c r="C99" s="609"/>
      <c r="D99" s="609"/>
      <c r="E99" s="671"/>
      <c r="F99" s="672"/>
      <c r="K99" s="370"/>
      <c r="L99" s="370"/>
      <c r="P99" s="208"/>
      <c r="Q99" s="370"/>
      <c r="R99" s="370"/>
    </row>
    <row r="100">
      <c r="B100" s="670"/>
      <c r="C100" s="609"/>
      <c r="D100" s="609"/>
      <c r="E100" s="671"/>
      <c r="F100" s="672"/>
      <c r="K100" s="370"/>
      <c r="L100" s="370"/>
      <c r="P100" s="208"/>
      <c r="Q100" s="370"/>
      <c r="R100" s="370"/>
    </row>
    <row r="101">
      <c r="B101" s="670"/>
      <c r="C101" s="609"/>
      <c r="D101" s="609"/>
      <c r="E101" s="671"/>
      <c r="F101" s="672"/>
      <c r="K101" s="370"/>
      <c r="L101" s="370"/>
      <c r="P101" s="208"/>
      <c r="Q101" s="370"/>
      <c r="R101" s="370"/>
    </row>
    <row r="102">
      <c r="B102" s="670"/>
      <c r="C102" s="609"/>
      <c r="D102" s="609"/>
      <c r="E102" s="671"/>
      <c r="F102" s="672"/>
      <c r="K102" s="370"/>
      <c r="L102" s="370"/>
      <c r="P102" s="208"/>
      <c r="Q102" s="370"/>
      <c r="R102" s="370"/>
    </row>
    <row r="103">
      <c r="B103" s="670"/>
      <c r="C103" s="609"/>
      <c r="D103" s="609"/>
      <c r="E103" s="671"/>
      <c r="F103" s="672"/>
      <c r="K103" s="370"/>
      <c r="L103" s="370"/>
      <c r="P103" s="208"/>
      <c r="Q103" s="370"/>
      <c r="R103" s="370"/>
    </row>
    <row r="104">
      <c r="B104" s="670"/>
      <c r="C104" s="609"/>
      <c r="D104" s="609"/>
      <c r="E104" s="671"/>
      <c r="F104" s="672"/>
      <c r="K104" s="370"/>
      <c r="L104" s="370"/>
      <c r="P104" s="208"/>
      <c r="Q104" s="370"/>
      <c r="R104" s="370"/>
    </row>
    <row r="105">
      <c r="B105" s="670"/>
      <c r="C105" s="609"/>
      <c r="D105" s="609"/>
      <c r="E105" s="671"/>
      <c r="F105" s="672"/>
      <c r="K105" s="370"/>
      <c r="L105" s="370"/>
      <c r="P105" s="208"/>
      <c r="Q105" s="370"/>
      <c r="R105" s="370"/>
    </row>
    <row r="106">
      <c r="B106" s="670"/>
      <c r="C106" s="609"/>
      <c r="D106" s="609"/>
      <c r="E106" s="671"/>
      <c r="F106" s="672"/>
      <c r="K106" s="370"/>
      <c r="L106" s="370"/>
      <c r="P106" s="208"/>
      <c r="Q106" s="370"/>
      <c r="R106" s="370"/>
    </row>
    <row r="107">
      <c r="B107" s="670"/>
      <c r="C107" s="609"/>
      <c r="D107" s="609"/>
      <c r="E107" s="671"/>
      <c r="F107" s="672"/>
      <c r="K107" s="370"/>
      <c r="L107" s="370"/>
      <c r="P107" s="208"/>
      <c r="Q107" s="370"/>
      <c r="R107" s="370"/>
    </row>
    <row r="108">
      <c r="B108" s="670"/>
      <c r="C108" s="609"/>
      <c r="D108" s="609"/>
      <c r="E108" s="671"/>
      <c r="F108" s="672"/>
      <c r="K108" s="370"/>
      <c r="L108" s="370"/>
      <c r="P108" s="208"/>
      <c r="Q108" s="370"/>
      <c r="R108" s="370"/>
    </row>
    <row r="109">
      <c r="B109" s="670"/>
      <c r="C109" s="609"/>
      <c r="D109" s="609"/>
      <c r="E109" s="671"/>
      <c r="F109" s="672"/>
      <c r="K109" s="370"/>
      <c r="L109" s="370"/>
      <c r="P109" s="208"/>
      <c r="Q109" s="370"/>
      <c r="R109" s="370"/>
    </row>
    <row r="110">
      <c r="B110" s="670"/>
      <c r="C110" s="609"/>
      <c r="D110" s="609"/>
      <c r="E110" s="671"/>
      <c r="F110" s="672"/>
      <c r="K110" s="370"/>
      <c r="L110" s="370"/>
      <c r="P110" s="208"/>
      <c r="Q110" s="370"/>
      <c r="R110" s="370"/>
    </row>
    <row r="111">
      <c r="B111" s="670"/>
      <c r="C111" s="609"/>
      <c r="D111" s="609"/>
      <c r="E111" s="671"/>
      <c r="F111" s="672"/>
      <c r="K111" s="370"/>
      <c r="L111" s="370"/>
      <c r="P111" s="208"/>
      <c r="Q111" s="370"/>
      <c r="R111" s="370"/>
    </row>
    <row r="112">
      <c r="B112" s="670"/>
      <c r="C112" s="609"/>
      <c r="D112" s="609"/>
      <c r="E112" s="671"/>
      <c r="F112" s="672"/>
      <c r="K112" s="370"/>
      <c r="L112" s="370"/>
      <c r="P112" s="208"/>
      <c r="Q112" s="370"/>
      <c r="R112" s="370"/>
    </row>
    <row r="113">
      <c r="B113" s="670"/>
      <c r="C113" s="609"/>
      <c r="D113" s="609"/>
      <c r="E113" s="671"/>
      <c r="F113" s="672"/>
      <c r="K113" s="370"/>
      <c r="L113" s="370"/>
      <c r="P113" s="208"/>
      <c r="Q113" s="370"/>
      <c r="R113" s="370"/>
    </row>
    <row r="114">
      <c r="B114" s="670"/>
      <c r="C114" s="609"/>
      <c r="D114" s="609"/>
      <c r="E114" s="671"/>
      <c r="F114" s="672"/>
      <c r="K114" s="370"/>
      <c r="L114" s="370"/>
      <c r="P114" s="208"/>
      <c r="Q114" s="370"/>
      <c r="R114" s="370"/>
    </row>
    <row r="115">
      <c r="B115" s="670"/>
      <c r="C115" s="609"/>
      <c r="D115" s="609"/>
      <c r="E115" s="671"/>
      <c r="F115" s="672"/>
      <c r="K115" s="370"/>
      <c r="L115" s="370"/>
      <c r="P115" s="208"/>
      <c r="Q115" s="370"/>
      <c r="R115" s="370"/>
    </row>
    <row r="116">
      <c r="B116" s="670"/>
      <c r="C116" s="609"/>
      <c r="D116" s="609"/>
      <c r="E116" s="671"/>
      <c r="F116" s="672"/>
      <c r="K116" s="370"/>
      <c r="L116" s="370"/>
      <c r="P116" s="208"/>
      <c r="Q116" s="370"/>
      <c r="R116" s="370"/>
    </row>
    <row r="117">
      <c r="B117" s="670"/>
      <c r="C117" s="609"/>
      <c r="D117" s="609"/>
      <c r="E117" s="671"/>
      <c r="F117" s="672"/>
      <c r="K117" s="370"/>
      <c r="L117" s="370"/>
      <c r="P117" s="208"/>
      <c r="Q117" s="370"/>
      <c r="R117" s="370"/>
    </row>
    <row r="118">
      <c r="B118" s="670"/>
      <c r="C118" s="609"/>
      <c r="D118" s="609"/>
      <c r="E118" s="671"/>
      <c r="F118" s="672"/>
      <c r="K118" s="370"/>
      <c r="L118" s="370"/>
      <c r="P118" s="208"/>
      <c r="Q118" s="370"/>
      <c r="R118" s="370"/>
    </row>
    <row r="119">
      <c r="B119" s="670"/>
      <c r="C119" s="609"/>
      <c r="D119" s="609"/>
      <c r="E119" s="671"/>
      <c r="F119" s="672"/>
      <c r="K119" s="370"/>
      <c r="L119" s="370"/>
      <c r="P119" s="208"/>
      <c r="Q119" s="370"/>
      <c r="R119" s="370"/>
    </row>
    <row r="120">
      <c r="B120" s="670"/>
      <c r="C120" s="609"/>
      <c r="D120" s="609"/>
      <c r="E120" s="671"/>
      <c r="F120" s="672"/>
      <c r="K120" s="370"/>
      <c r="L120" s="370"/>
      <c r="P120" s="208"/>
      <c r="Q120" s="370"/>
      <c r="R120" s="370"/>
    </row>
    <row r="121">
      <c r="B121" s="670"/>
      <c r="C121" s="609"/>
      <c r="D121" s="609"/>
      <c r="E121" s="671"/>
      <c r="F121" s="672"/>
      <c r="K121" s="370"/>
      <c r="L121" s="370"/>
      <c r="P121" s="208"/>
      <c r="Q121" s="370"/>
      <c r="R121" s="370"/>
    </row>
    <row r="122">
      <c r="B122" s="670"/>
      <c r="C122" s="609"/>
      <c r="D122" s="609"/>
      <c r="E122" s="671"/>
      <c r="F122" s="672"/>
      <c r="K122" s="370"/>
      <c r="L122" s="370"/>
      <c r="P122" s="208"/>
      <c r="Q122" s="370"/>
      <c r="R122" s="370"/>
    </row>
    <row r="123">
      <c r="B123" s="670"/>
      <c r="C123" s="609"/>
      <c r="D123" s="609"/>
      <c r="E123" s="671"/>
      <c r="F123" s="672"/>
      <c r="K123" s="370"/>
      <c r="L123" s="370"/>
      <c r="P123" s="208"/>
      <c r="Q123" s="370"/>
      <c r="R123" s="370"/>
    </row>
    <row r="124">
      <c r="B124" s="670"/>
      <c r="C124" s="609"/>
      <c r="D124" s="609"/>
      <c r="E124" s="671"/>
      <c r="F124" s="672"/>
      <c r="K124" s="370"/>
      <c r="L124" s="370"/>
      <c r="P124" s="208"/>
      <c r="Q124" s="370"/>
      <c r="R124" s="370"/>
    </row>
    <row r="125">
      <c r="B125" s="670"/>
      <c r="C125" s="609"/>
      <c r="D125" s="609"/>
      <c r="E125" s="671"/>
      <c r="F125" s="672"/>
      <c r="K125" s="370"/>
      <c r="L125" s="370"/>
      <c r="P125" s="208"/>
      <c r="Q125" s="370"/>
      <c r="R125" s="370"/>
    </row>
    <row r="126">
      <c r="B126" s="670"/>
      <c r="C126" s="609"/>
      <c r="D126" s="609"/>
      <c r="E126" s="671"/>
      <c r="F126" s="672"/>
      <c r="K126" s="370"/>
      <c r="L126" s="370"/>
      <c r="P126" s="208"/>
      <c r="Q126" s="370"/>
      <c r="R126" s="370"/>
    </row>
    <row r="127">
      <c r="B127" s="670"/>
      <c r="C127" s="609"/>
      <c r="D127" s="609"/>
      <c r="E127" s="671"/>
      <c r="F127" s="672"/>
      <c r="K127" s="370"/>
      <c r="L127" s="370"/>
      <c r="P127" s="208"/>
      <c r="Q127" s="370"/>
      <c r="R127" s="370"/>
    </row>
    <row r="128">
      <c r="B128" s="670"/>
      <c r="C128" s="609"/>
      <c r="D128" s="609"/>
      <c r="E128" s="671"/>
      <c r="F128" s="672"/>
      <c r="K128" s="370"/>
      <c r="L128" s="370"/>
      <c r="P128" s="208"/>
      <c r="Q128" s="370"/>
      <c r="R128" s="370"/>
    </row>
    <row r="129">
      <c r="B129" s="670"/>
      <c r="C129" s="609"/>
      <c r="D129" s="609"/>
      <c r="E129" s="671"/>
      <c r="F129" s="672"/>
      <c r="K129" s="370"/>
      <c r="L129" s="370"/>
      <c r="P129" s="208"/>
      <c r="Q129" s="370"/>
      <c r="R129" s="370"/>
    </row>
    <row r="130">
      <c r="B130" s="670"/>
      <c r="C130" s="609"/>
      <c r="D130" s="609"/>
      <c r="E130" s="671"/>
      <c r="F130" s="672"/>
      <c r="K130" s="370"/>
      <c r="L130" s="370"/>
      <c r="P130" s="208"/>
      <c r="Q130" s="370"/>
      <c r="R130" s="370"/>
    </row>
    <row r="131">
      <c r="B131" s="670"/>
      <c r="C131" s="609"/>
      <c r="D131" s="609"/>
      <c r="E131" s="671"/>
      <c r="F131" s="672"/>
      <c r="K131" s="370"/>
      <c r="L131" s="370"/>
      <c r="P131" s="208"/>
      <c r="Q131" s="370"/>
      <c r="R131" s="370"/>
    </row>
    <row r="132">
      <c r="B132" s="670"/>
      <c r="C132" s="609"/>
      <c r="D132" s="609"/>
      <c r="E132" s="671"/>
      <c r="F132" s="672"/>
      <c r="K132" s="370"/>
      <c r="L132" s="370"/>
      <c r="P132" s="208"/>
      <c r="Q132" s="370"/>
      <c r="R132" s="370"/>
    </row>
    <row r="133">
      <c r="B133" s="670"/>
      <c r="C133" s="609"/>
      <c r="D133" s="609"/>
      <c r="E133" s="671"/>
      <c r="F133" s="672"/>
      <c r="K133" s="370"/>
      <c r="L133" s="370"/>
      <c r="P133" s="208"/>
      <c r="Q133" s="370"/>
      <c r="R133" s="370"/>
    </row>
    <row r="134">
      <c r="B134" s="670"/>
      <c r="C134" s="609"/>
      <c r="D134" s="609"/>
      <c r="E134" s="671"/>
      <c r="F134" s="672"/>
      <c r="K134" s="370"/>
      <c r="L134" s="370"/>
      <c r="P134" s="208"/>
      <c r="Q134" s="370"/>
      <c r="R134" s="370"/>
    </row>
    <row r="135">
      <c r="B135" s="670"/>
      <c r="C135" s="609"/>
      <c r="D135" s="609"/>
      <c r="E135" s="671"/>
      <c r="F135" s="672"/>
      <c r="K135" s="370"/>
      <c r="L135" s="370"/>
      <c r="P135" s="208"/>
      <c r="Q135" s="370"/>
      <c r="R135" s="370"/>
    </row>
    <row r="136">
      <c r="B136" s="670"/>
      <c r="C136" s="609"/>
      <c r="D136" s="609"/>
      <c r="E136" s="671"/>
      <c r="F136" s="672"/>
      <c r="K136" s="370"/>
      <c r="L136" s="370"/>
      <c r="P136" s="208"/>
      <c r="Q136" s="370"/>
      <c r="R136" s="370"/>
    </row>
    <row r="137">
      <c r="B137" s="670"/>
      <c r="C137" s="609"/>
      <c r="D137" s="609"/>
      <c r="E137" s="671"/>
      <c r="F137" s="672"/>
      <c r="K137" s="370"/>
      <c r="L137" s="370"/>
      <c r="P137" s="208"/>
      <c r="Q137" s="370"/>
      <c r="R137" s="370"/>
    </row>
    <row r="138">
      <c r="B138" s="670"/>
      <c r="C138" s="609"/>
      <c r="D138" s="609"/>
      <c r="E138" s="671"/>
      <c r="F138" s="672"/>
      <c r="K138" s="370"/>
      <c r="L138" s="370"/>
      <c r="P138" s="208"/>
      <c r="Q138" s="370"/>
      <c r="R138" s="370"/>
    </row>
    <row r="139">
      <c r="B139" s="670"/>
      <c r="C139" s="609"/>
      <c r="D139" s="609"/>
      <c r="E139" s="671"/>
      <c r="F139" s="672"/>
      <c r="K139" s="370"/>
      <c r="L139" s="370"/>
      <c r="P139" s="208"/>
      <c r="Q139" s="370"/>
      <c r="R139" s="370"/>
    </row>
    <row r="140">
      <c r="B140" s="670"/>
      <c r="C140" s="609"/>
      <c r="D140" s="609"/>
      <c r="E140" s="671"/>
      <c r="F140" s="672"/>
      <c r="K140" s="370"/>
      <c r="L140" s="370"/>
      <c r="P140" s="208"/>
      <c r="Q140" s="370"/>
      <c r="R140" s="370"/>
    </row>
    <row r="141">
      <c r="B141" s="670"/>
      <c r="C141" s="609"/>
      <c r="D141" s="609"/>
      <c r="E141" s="671"/>
      <c r="F141" s="672"/>
      <c r="K141" s="370"/>
      <c r="L141" s="370"/>
      <c r="P141" s="208"/>
      <c r="Q141" s="370"/>
      <c r="R141" s="370"/>
    </row>
    <row r="142">
      <c r="B142" s="670"/>
      <c r="C142" s="609"/>
      <c r="D142" s="609"/>
      <c r="E142" s="671"/>
      <c r="F142" s="672"/>
      <c r="K142" s="370"/>
      <c r="L142" s="370"/>
      <c r="P142" s="208"/>
      <c r="Q142" s="370"/>
      <c r="R142" s="370"/>
    </row>
    <row r="143">
      <c r="B143" s="670"/>
      <c r="C143" s="609"/>
      <c r="D143" s="609"/>
      <c r="E143" s="671"/>
      <c r="F143" s="672"/>
      <c r="K143" s="370"/>
      <c r="L143" s="370"/>
      <c r="P143" s="208"/>
      <c r="Q143" s="370"/>
      <c r="R143" s="370"/>
    </row>
    <row r="144">
      <c r="B144" s="670"/>
      <c r="C144" s="609"/>
      <c r="D144" s="609"/>
      <c r="E144" s="671"/>
      <c r="F144" s="672"/>
      <c r="K144" s="370"/>
      <c r="L144" s="370"/>
      <c r="P144" s="208"/>
      <c r="Q144" s="370"/>
      <c r="R144" s="370"/>
    </row>
    <row r="145">
      <c r="B145" s="670"/>
      <c r="C145" s="609"/>
      <c r="D145" s="609"/>
      <c r="E145" s="671"/>
      <c r="F145" s="672"/>
      <c r="K145" s="370"/>
      <c r="L145" s="370"/>
      <c r="P145" s="208"/>
      <c r="Q145" s="370"/>
      <c r="R145" s="370"/>
    </row>
    <row r="146">
      <c r="B146" s="670"/>
      <c r="C146" s="609"/>
      <c r="D146" s="609"/>
      <c r="E146" s="671"/>
      <c r="F146" s="672"/>
      <c r="K146" s="370"/>
      <c r="L146" s="370"/>
      <c r="P146" s="208"/>
      <c r="Q146" s="370"/>
      <c r="R146" s="370"/>
    </row>
    <row r="147">
      <c r="B147" s="670"/>
      <c r="C147" s="609"/>
      <c r="D147" s="609"/>
      <c r="E147" s="671"/>
      <c r="F147" s="672"/>
      <c r="K147" s="370"/>
      <c r="L147" s="370"/>
      <c r="P147" s="208"/>
      <c r="Q147" s="370"/>
      <c r="R147" s="370"/>
    </row>
    <row r="148">
      <c r="B148" s="670"/>
      <c r="C148" s="609"/>
      <c r="D148" s="609"/>
      <c r="E148" s="671"/>
      <c r="F148" s="672"/>
      <c r="K148" s="370"/>
      <c r="L148" s="370"/>
      <c r="P148" s="208"/>
      <c r="Q148" s="370"/>
      <c r="R148" s="370"/>
    </row>
    <row r="149">
      <c r="B149" s="670"/>
      <c r="C149" s="609"/>
      <c r="D149" s="609"/>
      <c r="E149" s="671"/>
      <c r="F149" s="672"/>
      <c r="K149" s="370"/>
      <c r="L149" s="370"/>
      <c r="P149" s="208"/>
      <c r="Q149" s="370"/>
      <c r="R149" s="370"/>
    </row>
    <row r="150">
      <c r="B150" s="670"/>
      <c r="C150" s="609"/>
      <c r="D150" s="609"/>
      <c r="E150" s="671"/>
      <c r="F150" s="672"/>
      <c r="K150" s="370"/>
      <c r="L150" s="370"/>
      <c r="P150" s="208"/>
      <c r="Q150" s="370"/>
      <c r="R150" s="370"/>
    </row>
    <row r="151">
      <c r="B151" s="670"/>
      <c r="C151" s="609"/>
      <c r="D151" s="609"/>
      <c r="E151" s="671"/>
      <c r="F151" s="672"/>
      <c r="K151" s="370"/>
      <c r="L151" s="370"/>
      <c r="P151" s="208"/>
      <c r="Q151" s="370"/>
      <c r="R151" s="370"/>
    </row>
    <row r="152">
      <c r="B152" s="670"/>
      <c r="C152" s="609"/>
      <c r="D152" s="609"/>
      <c r="E152" s="671"/>
      <c r="F152" s="672"/>
      <c r="K152" s="370"/>
      <c r="L152" s="370"/>
      <c r="P152" s="208"/>
      <c r="Q152" s="370"/>
      <c r="R152" s="370"/>
    </row>
    <row r="153">
      <c r="B153" s="670"/>
      <c r="C153" s="609"/>
      <c r="D153" s="609"/>
      <c r="E153" s="671"/>
      <c r="F153" s="672"/>
      <c r="K153" s="370"/>
      <c r="L153" s="370"/>
      <c r="P153" s="208"/>
      <c r="Q153" s="370"/>
      <c r="R153" s="370"/>
    </row>
    <row r="154">
      <c r="B154" s="670"/>
      <c r="C154" s="609"/>
      <c r="D154" s="609"/>
      <c r="E154" s="671"/>
      <c r="F154" s="672"/>
      <c r="K154" s="370"/>
      <c r="L154" s="370"/>
      <c r="P154" s="208"/>
      <c r="Q154" s="370"/>
      <c r="R154" s="370"/>
    </row>
    <row r="155">
      <c r="B155" s="670"/>
      <c r="C155" s="609"/>
      <c r="D155" s="609"/>
      <c r="E155" s="671"/>
      <c r="F155" s="672"/>
      <c r="K155" s="370"/>
      <c r="L155" s="370"/>
      <c r="P155" s="208"/>
      <c r="Q155" s="370"/>
      <c r="R155" s="370"/>
    </row>
    <row r="156">
      <c r="B156" s="670"/>
      <c r="C156" s="609"/>
      <c r="D156" s="609"/>
      <c r="E156" s="671"/>
      <c r="F156" s="672"/>
      <c r="K156" s="370"/>
      <c r="L156" s="370"/>
      <c r="P156" s="208"/>
      <c r="Q156" s="370"/>
      <c r="R156" s="370"/>
    </row>
    <row r="157">
      <c r="B157" s="670"/>
      <c r="C157" s="609"/>
      <c r="D157" s="609"/>
      <c r="E157" s="671"/>
      <c r="F157" s="672"/>
      <c r="K157" s="370"/>
      <c r="L157" s="370"/>
      <c r="P157" s="208"/>
      <c r="Q157" s="370"/>
      <c r="R157" s="370"/>
    </row>
    <row r="158">
      <c r="B158" s="670"/>
      <c r="C158" s="609"/>
      <c r="D158" s="609"/>
      <c r="E158" s="671"/>
      <c r="F158" s="672"/>
      <c r="K158" s="370"/>
      <c r="L158" s="370"/>
      <c r="P158" s="208"/>
      <c r="Q158" s="370"/>
      <c r="R158" s="370"/>
    </row>
    <row r="159">
      <c r="B159" s="670"/>
      <c r="C159" s="609"/>
      <c r="D159" s="609"/>
      <c r="E159" s="671"/>
      <c r="F159" s="672"/>
      <c r="K159" s="370"/>
      <c r="L159" s="370"/>
      <c r="P159" s="208"/>
      <c r="Q159" s="370"/>
      <c r="R159" s="370"/>
    </row>
    <row r="160">
      <c r="B160" s="670"/>
      <c r="C160" s="609"/>
      <c r="D160" s="609"/>
      <c r="E160" s="671"/>
      <c r="F160" s="672"/>
      <c r="K160" s="370"/>
      <c r="L160" s="370"/>
      <c r="P160" s="208"/>
      <c r="Q160" s="370"/>
      <c r="R160" s="370"/>
    </row>
    <row r="161">
      <c r="B161" s="670"/>
      <c r="C161" s="609"/>
      <c r="D161" s="609"/>
      <c r="E161" s="671"/>
      <c r="F161" s="672"/>
      <c r="K161" s="370"/>
      <c r="L161" s="370"/>
      <c r="P161" s="208"/>
      <c r="Q161" s="370"/>
      <c r="R161" s="370"/>
    </row>
    <row r="162">
      <c r="B162" s="670"/>
      <c r="C162" s="609"/>
      <c r="D162" s="609"/>
      <c r="E162" s="671"/>
      <c r="F162" s="672"/>
      <c r="K162" s="370"/>
      <c r="L162" s="370"/>
      <c r="P162" s="208"/>
      <c r="Q162" s="370"/>
      <c r="R162" s="370"/>
    </row>
    <row r="163">
      <c r="B163" s="670"/>
      <c r="C163" s="609"/>
      <c r="D163" s="609"/>
      <c r="E163" s="671"/>
      <c r="F163" s="672"/>
      <c r="K163" s="370"/>
      <c r="L163" s="370"/>
      <c r="P163" s="208"/>
      <c r="Q163" s="370"/>
      <c r="R163" s="370"/>
    </row>
    <row r="164">
      <c r="B164" s="670"/>
      <c r="C164" s="609"/>
      <c r="D164" s="609"/>
      <c r="E164" s="671"/>
      <c r="F164" s="672"/>
      <c r="K164" s="370"/>
      <c r="L164" s="370"/>
      <c r="P164" s="208"/>
      <c r="Q164" s="370"/>
      <c r="R164" s="370"/>
    </row>
    <row r="165">
      <c r="B165" s="670"/>
      <c r="C165" s="609"/>
      <c r="D165" s="609"/>
      <c r="E165" s="671"/>
      <c r="F165" s="672"/>
      <c r="K165" s="370"/>
      <c r="L165" s="370"/>
      <c r="P165" s="208"/>
      <c r="Q165" s="370"/>
      <c r="R165" s="370"/>
    </row>
    <row r="166">
      <c r="B166" s="670"/>
      <c r="C166" s="609"/>
      <c r="D166" s="609"/>
      <c r="E166" s="671"/>
      <c r="F166" s="672"/>
      <c r="K166" s="370"/>
      <c r="L166" s="370"/>
      <c r="P166" s="208"/>
      <c r="Q166" s="370"/>
      <c r="R166" s="370"/>
    </row>
    <row r="167">
      <c r="B167" s="670"/>
      <c r="C167" s="609"/>
      <c r="D167" s="609"/>
      <c r="E167" s="671"/>
      <c r="F167" s="672"/>
      <c r="K167" s="370"/>
      <c r="L167" s="370"/>
      <c r="P167" s="208"/>
      <c r="Q167" s="370"/>
      <c r="R167" s="370"/>
    </row>
    <row r="168">
      <c r="B168" s="670"/>
      <c r="C168" s="609"/>
      <c r="D168" s="609"/>
      <c r="E168" s="671"/>
      <c r="F168" s="672"/>
      <c r="K168" s="370"/>
      <c r="L168" s="370"/>
      <c r="P168" s="208"/>
      <c r="Q168" s="370"/>
      <c r="R168" s="370"/>
    </row>
    <row r="169">
      <c r="B169" s="670"/>
      <c r="C169" s="609"/>
      <c r="D169" s="609"/>
      <c r="E169" s="671"/>
      <c r="F169" s="672"/>
      <c r="K169" s="370"/>
      <c r="L169" s="370"/>
      <c r="P169" s="208"/>
      <c r="Q169" s="370"/>
      <c r="R169" s="370"/>
    </row>
    <row r="170">
      <c r="B170" s="670"/>
      <c r="C170" s="609"/>
      <c r="D170" s="609"/>
      <c r="E170" s="671"/>
      <c r="F170" s="672"/>
      <c r="K170" s="370"/>
      <c r="L170" s="370"/>
      <c r="P170" s="208"/>
      <c r="Q170" s="370"/>
      <c r="R170" s="370"/>
    </row>
    <row r="171">
      <c r="B171" s="670"/>
      <c r="C171" s="609"/>
      <c r="D171" s="609"/>
      <c r="E171" s="671"/>
      <c r="F171" s="672"/>
      <c r="K171" s="370"/>
      <c r="L171" s="370"/>
      <c r="P171" s="208"/>
      <c r="Q171" s="370"/>
      <c r="R171" s="370"/>
    </row>
    <row r="172">
      <c r="B172" s="670"/>
      <c r="C172" s="609"/>
      <c r="D172" s="609"/>
      <c r="E172" s="671"/>
      <c r="F172" s="672"/>
      <c r="K172" s="370"/>
      <c r="L172" s="370"/>
      <c r="P172" s="208"/>
      <c r="Q172" s="370"/>
      <c r="R172" s="370"/>
    </row>
    <row r="173">
      <c r="B173" s="670"/>
      <c r="C173" s="609"/>
      <c r="D173" s="609"/>
      <c r="E173" s="671"/>
      <c r="F173" s="672"/>
      <c r="K173" s="370"/>
      <c r="L173" s="370"/>
      <c r="P173" s="208"/>
      <c r="Q173" s="370"/>
      <c r="R173" s="370"/>
    </row>
    <row r="174">
      <c r="B174" s="670"/>
      <c r="C174" s="609"/>
      <c r="D174" s="609"/>
      <c r="E174" s="671"/>
      <c r="F174" s="672"/>
      <c r="K174" s="370"/>
      <c r="L174" s="370"/>
      <c r="P174" s="208"/>
      <c r="Q174" s="370"/>
      <c r="R174" s="370"/>
    </row>
    <row r="175">
      <c r="B175" s="670"/>
      <c r="C175" s="609"/>
      <c r="D175" s="609"/>
      <c r="E175" s="671"/>
      <c r="F175" s="672"/>
      <c r="K175" s="370"/>
      <c r="L175" s="370"/>
      <c r="P175" s="208"/>
      <c r="Q175" s="370"/>
      <c r="R175" s="370"/>
    </row>
    <row r="176">
      <c r="B176" s="670"/>
      <c r="C176" s="609"/>
      <c r="D176" s="609"/>
      <c r="E176" s="671"/>
      <c r="F176" s="672"/>
      <c r="K176" s="370"/>
      <c r="L176" s="370"/>
      <c r="P176" s="208"/>
      <c r="Q176" s="370"/>
      <c r="R176" s="370"/>
    </row>
    <row r="177">
      <c r="B177" s="670"/>
      <c r="C177" s="609"/>
      <c r="D177" s="609"/>
      <c r="E177" s="671"/>
      <c r="F177" s="672"/>
      <c r="K177" s="370"/>
      <c r="L177" s="370"/>
      <c r="P177" s="208"/>
      <c r="Q177" s="370"/>
      <c r="R177" s="370"/>
    </row>
    <row r="178">
      <c r="B178" s="670"/>
      <c r="C178" s="609"/>
      <c r="D178" s="609"/>
      <c r="E178" s="671"/>
      <c r="F178" s="672"/>
      <c r="K178" s="370"/>
      <c r="L178" s="370"/>
      <c r="P178" s="208"/>
      <c r="Q178" s="370"/>
      <c r="R178" s="370"/>
    </row>
    <row r="179">
      <c r="B179" s="670"/>
      <c r="C179" s="609"/>
      <c r="D179" s="609"/>
      <c r="E179" s="671"/>
      <c r="F179" s="672"/>
      <c r="K179" s="370"/>
      <c r="L179" s="370"/>
      <c r="P179" s="208"/>
      <c r="Q179" s="370"/>
      <c r="R179" s="370"/>
    </row>
    <row r="180">
      <c r="B180" s="670"/>
      <c r="C180" s="609"/>
      <c r="D180" s="609"/>
      <c r="E180" s="671"/>
      <c r="F180" s="672"/>
      <c r="K180" s="370"/>
      <c r="L180" s="370"/>
      <c r="P180" s="208"/>
      <c r="Q180" s="370"/>
      <c r="R180" s="370"/>
    </row>
    <row r="181">
      <c r="B181" s="670"/>
      <c r="C181" s="609"/>
      <c r="D181" s="609"/>
      <c r="E181" s="671"/>
      <c r="F181" s="672"/>
      <c r="K181" s="370"/>
      <c r="L181" s="370"/>
      <c r="P181" s="208"/>
      <c r="Q181" s="370"/>
      <c r="R181" s="370"/>
    </row>
    <row r="182">
      <c r="B182" s="670"/>
      <c r="C182" s="609"/>
      <c r="D182" s="609"/>
      <c r="E182" s="671"/>
      <c r="F182" s="672"/>
      <c r="K182" s="370"/>
      <c r="L182" s="370"/>
      <c r="P182" s="208"/>
      <c r="Q182" s="370"/>
      <c r="R182" s="370"/>
    </row>
    <row r="183">
      <c r="B183" s="670"/>
      <c r="C183" s="609"/>
      <c r="D183" s="609"/>
      <c r="E183" s="671"/>
      <c r="F183" s="672"/>
      <c r="K183" s="370"/>
      <c r="L183" s="370"/>
      <c r="P183" s="208"/>
      <c r="Q183" s="370"/>
      <c r="R183" s="370"/>
    </row>
    <row r="184">
      <c r="B184" s="670"/>
      <c r="C184" s="609"/>
      <c r="D184" s="609"/>
      <c r="E184" s="671"/>
      <c r="F184" s="672"/>
      <c r="K184" s="370"/>
      <c r="L184" s="370"/>
      <c r="P184" s="208"/>
      <c r="Q184" s="370"/>
      <c r="R184" s="370"/>
    </row>
    <row r="185">
      <c r="B185" s="670"/>
      <c r="C185" s="609"/>
      <c r="D185" s="609"/>
      <c r="E185" s="671"/>
      <c r="F185" s="672"/>
      <c r="K185" s="370"/>
      <c r="L185" s="370"/>
      <c r="P185" s="208"/>
      <c r="Q185" s="370"/>
      <c r="R185" s="370"/>
    </row>
    <row r="186">
      <c r="B186" s="670"/>
      <c r="C186" s="609"/>
      <c r="D186" s="609"/>
      <c r="E186" s="671"/>
      <c r="F186" s="672"/>
      <c r="K186" s="370"/>
      <c r="L186" s="370"/>
      <c r="P186" s="208"/>
      <c r="Q186" s="370"/>
      <c r="R186" s="370"/>
    </row>
    <row r="187">
      <c r="B187" s="670"/>
      <c r="C187" s="609"/>
      <c r="D187" s="609"/>
      <c r="E187" s="671"/>
      <c r="F187" s="672"/>
      <c r="K187" s="370"/>
      <c r="L187" s="370"/>
      <c r="P187" s="208"/>
      <c r="Q187" s="370"/>
      <c r="R187" s="370"/>
    </row>
    <row r="188">
      <c r="B188" s="670"/>
      <c r="C188" s="609"/>
      <c r="D188" s="609"/>
      <c r="E188" s="671"/>
      <c r="F188" s="672"/>
      <c r="K188" s="370"/>
      <c r="L188" s="370"/>
      <c r="P188" s="208"/>
      <c r="Q188" s="370"/>
      <c r="R188" s="370"/>
    </row>
    <row r="189">
      <c r="B189" s="670"/>
      <c r="C189" s="609"/>
      <c r="D189" s="609"/>
      <c r="E189" s="671"/>
      <c r="F189" s="672"/>
      <c r="K189" s="370"/>
      <c r="L189" s="370"/>
      <c r="P189" s="208"/>
      <c r="Q189" s="370"/>
      <c r="R189" s="370"/>
    </row>
    <row r="190">
      <c r="B190" s="670"/>
      <c r="C190" s="609"/>
      <c r="D190" s="609"/>
      <c r="E190" s="671"/>
      <c r="F190" s="672"/>
      <c r="K190" s="370"/>
      <c r="L190" s="370"/>
      <c r="P190" s="208"/>
      <c r="Q190" s="370"/>
      <c r="R190" s="370"/>
    </row>
    <row r="191">
      <c r="B191" s="670"/>
      <c r="C191" s="609"/>
      <c r="D191" s="609"/>
      <c r="E191" s="671"/>
      <c r="F191" s="672"/>
      <c r="K191" s="370"/>
      <c r="L191" s="370"/>
      <c r="P191" s="208"/>
      <c r="Q191" s="370"/>
      <c r="R191" s="370"/>
    </row>
    <row r="192">
      <c r="B192" s="670"/>
      <c r="C192" s="609"/>
      <c r="D192" s="609"/>
      <c r="E192" s="671"/>
      <c r="F192" s="672"/>
      <c r="K192" s="370"/>
      <c r="L192" s="370"/>
      <c r="P192" s="208"/>
      <c r="Q192" s="370"/>
      <c r="R192" s="370"/>
    </row>
    <row r="193">
      <c r="B193" s="670"/>
      <c r="C193" s="609"/>
      <c r="D193" s="609"/>
      <c r="E193" s="671"/>
      <c r="F193" s="672"/>
      <c r="K193" s="370"/>
      <c r="L193" s="370"/>
      <c r="P193" s="208"/>
      <c r="Q193" s="370"/>
      <c r="R193" s="370"/>
    </row>
    <row r="194">
      <c r="B194" s="670"/>
      <c r="C194" s="609"/>
      <c r="D194" s="609"/>
      <c r="E194" s="671"/>
      <c r="F194" s="672"/>
      <c r="K194" s="370"/>
      <c r="L194" s="370"/>
      <c r="P194" s="208"/>
      <c r="Q194" s="370"/>
      <c r="R194" s="370"/>
    </row>
    <row r="195">
      <c r="B195" s="670"/>
      <c r="C195" s="609"/>
      <c r="D195" s="609"/>
      <c r="E195" s="671"/>
      <c r="F195" s="672"/>
      <c r="K195" s="370"/>
      <c r="L195" s="370"/>
      <c r="P195" s="208"/>
      <c r="Q195" s="370"/>
      <c r="R195" s="370"/>
    </row>
    <row r="196">
      <c r="B196" s="670"/>
      <c r="C196" s="609"/>
      <c r="D196" s="609"/>
      <c r="E196" s="671"/>
      <c r="F196" s="672"/>
      <c r="K196" s="370"/>
      <c r="L196" s="370"/>
      <c r="P196" s="208"/>
      <c r="Q196" s="370"/>
      <c r="R196" s="370"/>
    </row>
    <row r="197">
      <c r="B197" s="670"/>
      <c r="C197" s="609"/>
      <c r="D197" s="609"/>
      <c r="E197" s="671"/>
      <c r="F197" s="672"/>
      <c r="K197" s="370"/>
      <c r="L197" s="370"/>
      <c r="P197" s="208"/>
      <c r="Q197" s="370"/>
      <c r="R197" s="370"/>
    </row>
    <row r="198">
      <c r="B198" s="670"/>
      <c r="C198" s="609"/>
      <c r="D198" s="609"/>
      <c r="E198" s="671"/>
      <c r="F198" s="672"/>
      <c r="K198" s="370"/>
      <c r="L198" s="370"/>
      <c r="P198" s="208"/>
      <c r="Q198" s="370"/>
      <c r="R198" s="370"/>
    </row>
    <row r="199">
      <c r="B199" s="670"/>
      <c r="C199" s="609"/>
      <c r="D199" s="609"/>
      <c r="E199" s="671"/>
      <c r="F199" s="672"/>
      <c r="K199" s="370"/>
      <c r="L199" s="370"/>
      <c r="P199" s="208"/>
      <c r="Q199" s="370"/>
      <c r="R199" s="370"/>
    </row>
    <row r="200">
      <c r="B200" s="670"/>
      <c r="C200" s="609"/>
      <c r="D200" s="609"/>
      <c r="E200" s="671"/>
      <c r="F200" s="672"/>
      <c r="K200" s="370"/>
      <c r="L200" s="370"/>
      <c r="P200" s="208"/>
      <c r="Q200" s="370"/>
      <c r="R200" s="370"/>
    </row>
    <row r="201">
      <c r="B201" s="670"/>
      <c r="C201" s="609"/>
      <c r="D201" s="609"/>
      <c r="E201" s="671"/>
      <c r="F201" s="672"/>
      <c r="K201" s="370"/>
      <c r="L201" s="370"/>
      <c r="P201" s="208"/>
      <c r="Q201" s="370"/>
      <c r="R201" s="370"/>
    </row>
    <row r="202">
      <c r="B202" s="670"/>
      <c r="C202" s="609"/>
      <c r="D202" s="609"/>
      <c r="E202" s="671"/>
      <c r="F202" s="672"/>
      <c r="K202" s="370"/>
      <c r="L202" s="370"/>
      <c r="P202" s="208"/>
      <c r="Q202" s="370"/>
      <c r="R202" s="370"/>
    </row>
    <row r="203">
      <c r="B203" s="670"/>
      <c r="C203" s="609"/>
      <c r="D203" s="609"/>
      <c r="E203" s="671"/>
      <c r="F203" s="672"/>
      <c r="K203" s="370"/>
      <c r="L203" s="370"/>
      <c r="P203" s="208"/>
      <c r="Q203" s="370"/>
      <c r="R203" s="370"/>
    </row>
    <row r="204">
      <c r="B204" s="670"/>
      <c r="C204" s="609"/>
      <c r="D204" s="609"/>
      <c r="E204" s="671"/>
      <c r="F204" s="672"/>
      <c r="K204" s="370"/>
      <c r="L204" s="370"/>
      <c r="P204" s="208"/>
      <c r="Q204" s="370"/>
      <c r="R204" s="370"/>
    </row>
    <row r="205">
      <c r="B205" s="670"/>
      <c r="C205" s="609"/>
      <c r="D205" s="609"/>
      <c r="E205" s="671"/>
      <c r="F205" s="672"/>
      <c r="K205" s="370"/>
      <c r="L205" s="370"/>
      <c r="P205" s="208"/>
      <c r="Q205" s="370"/>
      <c r="R205" s="370"/>
    </row>
    <row r="206">
      <c r="B206" s="670"/>
      <c r="C206" s="609"/>
      <c r="D206" s="609"/>
      <c r="E206" s="671"/>
      <c r="F206" s="672"/>
      <c r="K206" s="370"/>
      <c r="L206" s="370"/>
      <c r="P206" s="208"/>
      <c r="Q206" s="370"/>
      <c r="R206" s="370"/>
    </row>
    <row r="207">
      <c r="B207" s="670"/>
      <c r="C207" s="609"/>
      <c r="D207" s="609"/>
      <c r="E207" s="671"/>
      <c r="F207" s="672"/>
      <c r="K207" s="370"/>
      <c r="L207" s="370"/>
      <c r="P207" s="208"/>
      <c r="Q207" s="370"/>
      <c r="R207" s="370"/>
    </row>
    <row r="208">
      <c r="B208" s="670"/>
      <c r="C208" s="609"/>
      <c r="D208" s="609"/>
      <c r="E208" s="671"/>
      <c r="F208" s="672"/>
      <c r="K208" s="370"/>
      <c r="L208" s="370"/>
      <c r="P208" s="208"/>
      <c r="Q208" s="370"/>
      <c r="R208" s="370"/>
    </row>
    <row r="209">
      <c r="B209" s="670"/>
      <c r="C209" s="609"/>
      <c r="D209" s="609"/>
      <c r="E209" s="671"/>
      <c r="F209" s="672"/>
      <c r="K209" s="370"/>
      <c r="L209" s="370"/>
      <c r="P209" s="208"/>
      <c r="Q209" s="370"/>
      <c r="R209" s="370"/>
    </row>
    <row r="210">
      <c r="B210" s="670"/>
      <c r="C210" s="609"/>
      <c r="D210" s="609"/>
      <c r="E210" s="671"/>
      <c r="F210" s="672"/>
      <c r="K210" s="370"/>
      <c r="L210" s="370"/>
      <c r="P210" s="208"/>
      <c r="Q210" s="370"/>
      <c r="R210" s="370"/>
    </row>
    <row r="211">
      <c r="B211" s="670"/>
      <c r="C211" s="609"/>
      <c r="D211" s="609"/>
      <c r="E211" s="671"/>
      <c r="F211" s="672"/>
      <c r="K211" s="370"/>
      <c r="L211" s="370"/>
      <c r="P211" s="208"/>
      <c r="Q211" s="370"/>
      <c r="R211" s="370"/>
    </row>
    <row r="212">
      <c r="B212" s="670"/>
      <c r="C212" s="609"/>
      <c r="D212" s="609"/>
      <c r="E212" s="671"/>
      <c r="F212" s="672"/>
      <c r="K212" s="370"/>
      <c r="L212" s="370"/>
      <c r="P212" s="208"/>
      <c r="Q212" s="370"/>
      <c r="R212" s="370"/>
    </row>
    <row r="213">
      <c r="B213" s="670"/>
      <c r="C213" s="609"/>
      <c r="D213" s="609"/>
      <c r="E213" s="671"/>
      <c r="F213" s="672"/>
      <c r="K213" s="370"/>
      <c r="L213" s="370"/>
      <c r="P213" s="208"/>
      <c r="Q213" s="370"/>
      <c r="R213" s="370"/>
    </row>
    <row r="214">
      <c r="B214" s="670"/>
      <c r="C214" s="609"/>
      <c r="D214" s="609"/>
      <c r="E214" s="671"/>
      <c r="F214" s="672"/>
      <c r="K214" s="370"/>
      <c r="L214" s="370"/>
      <c r="P214" s="208"/>
      <c r="Q214" s="370"/>
      <c r="R214" s="370"/>
    </row>
    <row r="215">
      <c r="B215" s="670"/>
      <c r="C215" s="609"/>
      <c r="D215" s="609"/>
      <c r="E215" s="671"/>
      <c r="F215" s="672"/>
      <c r="K215" s="370"/>
      <c r="L215" s="370"/>
      <c r="P215" s="208"/>
      <c r="Q215" s="370"/>
      <c r="R215" s="370"/>
    </row>
    <row r="216">
      <c r="B216" s="670"/>
      <c r="C216" s="609"/>
      <c r="D216" s="609"/>
      <c r="E216" s="671"/>
      <c r="F216" s="672"/>
      <c r="K216" s="370"/>
      <c r="L216" s="370"/>
      <c r="P216" s="208"/>
      <c r="Q216" s="370"/>
      <c r="R216" s="370"/>
    </row>
    <row r="217">
      <c r="B217" s="670"/>
      <c r="C217" s="609"/>
      <c r="D217" s="609"/>
      <c r="E217" s="671"/>
      <c r="F217" s="672"/>
      <c r="K217" s="370"/>
      <c r="L217" s="370"/>
      <c r="P217" s="208"/>
      <c r="Q217" s="370"/>
      <c r="R217" s="370"/>
    </row>
    <row r="218">
      <c r="B218" s="670"/>
      <c r="C218" s="609"/>
      <c r="D218" s="609"/>
      <c r="E218" s="671"/>
      <c r="F218" s="672"/>
      <c r="K218" s="370"/>
      <c r="L218" s="370"/>
      <c r="P218" s="208"/>
      <c r="Q218" s="370"/>
      <c r="R218" s="370"/>
    </row>
    <row r="219">
      <c r="B219" s="670"/>
      <c r="C219" s="609"/>
      <c r="D219" s="609"/>
      <c r="E219" s="671"/>
      <c r="F219" s="672"/>
      <c r="K219" s="370"/>
      <c r="L219" s="370"/>
      <c r="P219" s="208"/>
      <c r="Q219" s="370"/>
      <c r="R219" s="370"/>
    </row>
    <row r="220">
      <c r="B220" s="670"/>
      <c r="C220" s="609"/>
      <c r="D220" s="609"/>
      <c r="E220" s="671"/>
      <c r="F220" s="672"/>
      <c r="K220" s="370"/>
      <c r="L220" s="370"/>
      <c r="P220" s="208"/>
      <c r="Q220" s="370"/>
      <c r="R220" s="370"/>
    </row>
    <row r="221">
      <c r="B221" s="670"/>
      <c r="C221" s="609"/>
      <c r="D221" s="609"/>
      <c r="E221" s="671"/>
      <c r="F221" s="672"/>
      <c r="K221" s="370"/>
      <c r="L221" s="370"/>
      <c r="P221" s="208"/>
      <c r="Q221" s="370"/>
      <c r="R221" s="370"/>
    </row>
    <row r="222">
      <c r="B222" s="670"/>
      <c r="C222" s="609"/>
      <c r="D222" s="609"/>
      <c r="E222" s="671"/>
      <c r="F222" s="672"/>
      <c r="K222" s="370"/>
      <c r="L222" s="370"/>
      <c r="P222" s="208"/>
      <c r="Q222" s="370"/>
      <c r="R222" s="370"/>
    </row>
    <row r="223">
      <c r="B223" s="670"/>
      <c r="C223" s="609"/>
      <c r="D223" s="609"/>
      <c r="E223" s="671"/>
      <c r="F223" s="672"/>
      <c r="K223" s="370"/>
      <c r="L223" s="370"/>
      <c r="P223" s="208"/>
      <c r="Q223" s="370"/>
      <c r="R223" s="370"/>
    </row>
    <row r="224">
      <c r="B224" s="670"/>
      <c r="C224" s="609"/>
      <c r="D224" s="609"/>
      <c r="E224" s="671"/>
      <c r="F224" s="672"/>
      <c r="K224" s="370"/>
      <c r="L224" s="370"/>
      <c r="P224" s="208"/>
      <c r="Q224" s="370"/>
      <c r="R224" s="370"/>
    </row>
    <row r="225">
      <c r="B225" s="670"/>
      <c r="C225" s="609"/>
      <c r="D225" s="609"/>
      <c r="E225" s="671"/>
      <c r="F225" s="672"/>
      <c r="K225" s="370"/>
      <c r="L225" s="370"/>
      <c r="P225" s="208"/>
      <c r="Q225" s="370"/>
      <c r="R225" s="370"/>
    </row>
    <row r="226">
      <c r="B226" s="670"/>
      <c r="C226" s="609"/>
      <c r="D226" s="609"/>
      <c r="E226" s="671"/>
      <c r="F226" s="672"/>
      <c r="K226" s="370"/>
      <c r="L226" s="370"/>
      <c r="P226" s="208"/>
      <c r="Q226" s="370"/>
      <c r="R226" s="370"/>
    </row>
    <row r="227">
      <c r="B227" s="670"/>
      <c r="C227" s="609"/>
      <c r="D227" s="609"/>
      <c r="E227" s="671"/>
      <c r="F227" s="672"/>
      <c r="K227" s="370"/>
      <c r="L227" s="370"/>
      <c r="P227" s="208"/>
      <c r="Q227" s="370"/>
      <c r="R227" s="370"/>
    </row>
    <row r="228">
      <c r="B228" s="670"/>
      <c r="C228" s="609"/>
      <c r="D228" s="609"/>
      <c r="E228" s="671"/>
      <c r="F228" s="672"/>
      <c r="K228" s="370"/>
      <c r="L228" s="370"/>
      <c r="P228" s="208"/>
      <c r="Q228" s="370"/>
      <c r="R228" s="370"/>
    </row>
    <row r="229">
      <c r="B229" s="670"/>
      <c r="C229" s="609"/>
      <c r="D229" s="609"/>
      <c r="E229" s="671"/>
      <c r="F229" s="672"/>
      <c r="K229" s="370"/>
      <c r="L229" s="370"/>
      <c r="P229" s="208"/>
      <c r="Q229" s="370"/>
      <c r="R229" s="370"/>
    </row>
    <row r="230">
      <c r="B230" s="670"/>
      <c r="C230" s="609"/>
      <c r="D230" s="609"/>
      <c r="E230" s="671"/>
      <c r="F230" s="672"/>
      <c r="K230" s="370"/>
      <c r="L230" s="370"/>
      <c r="P230" s="208"/>
      <c r="Q230" s="370"/>
      <c r="R230" s="370"/>
    </row>
    <row r="231">
      <c r="B231" s="670"/>
      <c r="C231" s="609"/>
      <c r="D231" s="609"/>
      <c r="E231" s="671"/>
      <c r="F231" s="672"/>
      <c r="K231" s="370"/>
      <c r="L231" s="370"/>
      <c r="P231" s="208"/>
      <c r="Q231" s="370"/>
      <c r="R231" s="370"/>
    </row>
    <row r="232">
      <c r="B232" s="670"/>
      <c r="C232" s="609"/>
      <c r="D232" s="609"/>
      <c r="E232" s="671"/>
      <c r="F232" s="672"/>
      <c r="K232" s="370"/>
      <c r="L232" s="370"/>
      <c r="P232" s="208"/>
      <c r="Q232" s="370"/>
      <c r="R232" s="370"/>
    </row>
    <row r="233">
      <c r="B233" s="670"/>
      <c r="C233" s="609"/>
      <c r="D233" s="609"/>
      <c r="E233" s="671"/>
      <c r="F233" s="672"/>
      <c r="K233" s="370"/>
      <c r="L233" s="370"/>
      <c r="P233" s="208"/>
      <c r="Q233" s="370"/>
      <c r="R233" s="370"/>
    </row>
    <row r="234">
      <c r="B234" s="670"/>
      <c r="C234" s="609"/>
      <c r="D234" s="609"/>
      <c r="E234" s="671"/>
      <c r="F234" s="672"/>
      <c r="K234" s="370"/>
      <c r="L234" s="370"/>
      <c r="P234" s="208"/>
      <c r="Q234" s="370"/>
      <c r="R234" s="370"/>
    </row>
    <row r="235">
      <c r="B235" s="670"/>
      <c r="C235" s="609"/>
      <c r="D235" s="609"/>
      <c r="E235" s="671"/>
      <c r="F235" s="672"/>
      <c r="K235" s="370"/>
      <c r="L235" s="370"/>
      <c r="P235" s="208"/>
      <c r="Q235" s="370"/>
      <c r="R235" s="370"/>
    </row>
    <row r="236">
      <c r="B236" s="670"/>
      <c r="C236" s="609"/>
      <c r="D236" s="609"/>
      <c r="E236" s="671"/>
      <c r="F236" s="672"/>
      <c r="K236" s="370"/>
      <c r="L236" s="370"/>
      <c r="P236" s="208"/>
      <c r="Q236" s="370"/>
      <c r="R236" s="370"/>
    </row>
    <row r="237">
      <c r="B237" s="670"/>
      <c r="C237" s="609"/>
      <c r="D237" s="609"/>
      <c r="E237" s="671"/>
      <c r="F237" s="672"/>
      <c r="K237" s="370"/>
      <c r="L237" s="370"/>
      <c r="P237" s="208"/>
      <c r="Q237" s="370"/>
      <c r="R237" s="370"/>
    </row>
    <row r="238">
      <c r="B238" s="670"/>
      <c r="C238" s="609"/>
      <c r="D238" s="609"/>
      <c r="E238" s="671"/>
      <c r="F238" s="672"/>
      <c r="K238" s="370"/>
      <c r="L238" s="370"/>
      <c r="P238" s="208"/>
      <c r="Q238" s="370"/>
      <c r="R238" s="370"/>
    </row>
    <row r="239">
      <c r="B239" s="670"/>
      <c r="C239" s="609"/>
      <c r="D239" s="609"/>
      <c r="E239" s="671"/>
      <c r="F239" s="672"/>
      <c r="K239" s="370"/>
      <c r="L239" s="370"/>
      <c r="P239" s="208"/>
      <c r="Q239" s="370"/>
      <c r="R239" s="370"/>
    </row>
    <row r="240">
      <c r="B240" s="670"/>
      <c r="C240" s="609"/>
      <c r="D240" s="609"/>
      <c r="E240" s="671"/>
      <c r="F240" s="672"/>
      <c r="K240" s="370"/>
      <c r="L240" s="370"/>
      <c r="P240" s="208"/>
      <c r="Q240" s="370"/>
      <c r="R240" s="370"/>
    </row>
    <row r="241">
      <c r="B241" s="670"/>
      <c r="C241" s="609"/>
      <c r="D241" s="609"/>
      <c r="E241" s="671"/>
      <c r="F241" s="672"/>
      <c r="K241" s="370"/>
      <c r="L241" s="370"/>
      <c r="P241" s="208"/>
      <c r="Q241" s="370"/>
      <c r="R241" s="370"/>
    </row>
    <row r="242">
      <c r="B242" s="670"/>
      <c r="C242" s="609"/>
      <c r="D242" s="609"/>
      <c r="E242" s="671"/>
      <c r="F242" s="672"/>
      <c r="K242" s="370"/>
      <c r="L242" s="370"/>
      <c r="P242" s="208"/>
      <c r="Q242" s="370"/>
      <c r="R242" s="370"/>
    </row>
    <row r="243">
      <c r="B243" s="670"/>
      <c r="C243" s="609"/>
      <c r="D243" s="609"/>
      <c r="E243" s="671"/>
      <c r="F243" s="672"/>
      <c r="K243" s="370"/>
      <c r="L243" s="370"/>
      <c r="P243" s="208"/>
      <c r="Q243" s="370"/>
      <c r="R243" s="370"/>
    </row>
    <row r="244">
      <c r="B244" s="670"/>
      <c r="C244" s="609"/>
      <c r="D244" s="609"/>
      <c r="E244" s="671"/>
      <c r="F244" s="672"/>
      <c r="K244" s="370"/>
      <c r="L244" s="370"/>
      <c r="P244" s="208"/>
      <c r="Q244" s="370"/>
      <c r="R244" s="370"/>
    </row>
    <row r="245">
      <c r="B245" s="670"/>
      <c r="C245" s="609"/>
      <c r="D245" s="609"/>
      <c r="E245" s="671"/>
      <c r="F245" s="672"/>
      <c r="K245" s="370"/>
      <c r="L245" s="370"/>
      <c r="P245" s="208"/>
      <c r="Q245" s="370"/>
      <c r="R245" s="370"/>
    </row>
    <row r="246">
      <c r="B246" s="670"/>
      <c r="C246" s="609"/>
      <c r="D246" s="609"/>
      <c r="E246" s="671"/>
      <c r="F246" s="672"/>
      <c r="K246" s="370"/>
      <c r="L246" s="370"/>
      <c r="P246" s="208"/>
      <c r="Q246" s="370"/>
      <c r="R246" s="370"/>
    </row>
    <row r="247">
      <c r="B247" s="670"/>
      <c r="C247" s="609"/>
      <c r="D247" s="609"/>
      <c r="E247" s="671"/>
      <c r="F247" s="672"/>
      <c r="K247" s="370"/>
      <c r="L247" s="370"/>
      <c r="P247" s="208"/>
      <c r="Q247" s="370"/>
      <c r="R247" s="370"/>
    </row>
    <row r="248">
      <c r="B248" s="670"/>
      <c r="C248" s="609"/>
      <c r="D248" s="609"/>
      <c r="E248" s="671"/>
      <c r="F248" s="672"/>
      <c r="K248" s="370"/>
      <c r="L248" s="370"/>
      <c r="P248" s="208"/>
      <c r="Q248" s="370"/>
      <c r="R248" s="370"/>
    </row>
    <row r="249">
      <c r="B249" s="670"/>
      <c r="C249" s="609"/>
      <c r="D249" s="609"/>
      <c r="E249" s="671"/>
      <c r="F249" s="672"/>
      <c r="K249" s="370"/>
      <c r="L249" s="370"/>
      <c r="P249" s="208"/>
      <c r="Q249" s="370"/>
      <c r="R249" s="370"/>
    </row>
    <row r="250">
      <c r="B250" s="670"/>
      <c r="C250" s="609"/>
      <c r="D250" s="609"/>
      <c r="E250" s="671"/>
      <c r="F250" s="672"/>
      <c r="K250" s="370"/>
      <c r="L250" s="370"/>
      <c r="P250" s="208"/>
      <c r="Q250" s="370"/>
      <c r="R250" s="370"/>
    </row>
    <row r="251">
      <c r="B251" s="670"/>
      <c r="C251" s="609"/>
      <c r="D251" s="609"/>
      <c r="E251" s="671"/>
      <c r="F251" s="672"/>
      <c r="K251" s="370"/>
      <c r="L251" s="370"/>
      <c r="P251" s="208"/>
      <c r="Q251" s="370"/>
      <c r="R251" s="370"/>
    </row>
    <row r="252">
      <c r="B252" s="670"/>
      <c r="C252" s="609"/>
      <c r="D252" s="609"/>
      <c r="E252" s="671"/>
      <c r="F252" s="672"/>
      <c r="K252" s="370"/>
      <c r="L252" s="370"/>
      <c r="P252" s="208"/>
      <c r="Q252" s="370"/>
      <c r="R252" s="370"/>
    </row>
    <row r="253">
      <c r="B253" s="670"/>
      <c r="C253" s="609"/>
      <c r="D253" s="609"/>
      <c r="E253" s="671"/>
      <c r="F253" s="672"/>
      <c r="K253" s="370"/>
      <c r="L253" s="370"/>
      <c r="P253" s="208"/>
      <c r="Q253" s="370"/>
      <c r="R253" s="370"/>
    </row>
    <row r="254">
      <c r="B254" s="670"/>
      <c r="C254" s="609"/>
      <c r="D254" s="609"/>
      <c r="E254" s="671"/>
      <c r="F254" s="672"/>
      <c r="K254" s="370"/>
      <c r="L254" s="370"/>
      <c r="P254" s="208"/>
      <c r="Q254" s="370"/>
      <c r="R254" s="370"/>
    </row>
    <row r="255">
      <c r="B255" s="670"/>
      <c r="C255" s="609"/>
      <c r="D255" s="609"/>
      <c r="E255" s="671"/>
      <c r="F255" s="672"/>
      <c r="K255" s="370"/>
      <c r="L255" s="370"/>
      <c r="P255" s="208"/>
      <c r="Q255" s="370"/>
      <c r="R255" s="370"/>
    </row>
    <row r="256">
      <c r="B256" s="670"/>
      <c r="C256" s="609"/>
      <c r="D256" s="609"/>
      <c r="E256" s="671"/>
      <c r="F256" s="672"/>
      <c r="K256" s="370"/>
      <c r="L256" s="370"/>
      <c r="P256" s="208"/>
      <c r="Q256" s="370"/>
      <c r="R256" s="370"/>
    </row>
    <row r="257">
      <c r="B257" s="670"/>
      <c r="C257" s="609"/>
      <c r="D257" s="609"/>
      <c r="E257" s="671"/>
      <c r="F257" s="672"/>
      <c r="K257" s="370"/>
      <c r="L257" s="370"/>
      <c r="P257" s="208"/>
      <c r="Q257" s="370"/>
      <c r="R257" s="370"/>
    </row>
    <row r="258">
      <c r="B258" s="670"/>
      <c r="C258" s="609"/>
      <c r="D258" s="609"/>
      <c r="E258" s="671"/>
      <c r="F258" s="672"/>
      <c r="K258" s="370"/>
      <c r="L258" s="370"/>
      <c r="P258" s="208"/>
      <c r="Q258" s="370"/>
      <c r="R258" s="370"/>
    </row>
    <row r="259">
      <c r="B259" s="670"/>
      <c r="C259" s="609"/>
      <c r="D259" s="609"/>
      <c r="E259" s="671"/>
      <c r="F259" s="672"/>
      <c r="K259" s="370"/>
      <c r="L259" s="370"/>
      <c r="P259" s="208"/>
      <c r="Q259" s="370"/>
      <c r="R259" s="370"/>
    </row>
    <row r="260">
      <c r="B260" s="670"/>
      <c r="C260" s="609"/>
      <c r="D260" s="609"/>
      <c r="E260" s="671"/>
      <c r="F260" s="672"/>
      <c r="K260" s="370"/>
      <c r="L260" s="370"/>
      <c r="P260" s="208"/>
      <c r="Q260" s="370"/>
      <c r="R260" s="370"/>
    </row>
    <row r="261">
      <c r="B261" s="670"/>
      <c r="C261" s="609"/>
      <c r="D261" s="609"/>
      <c r="E261" s="671"/>
      <c r="F261" s="672"/>
      <c r="K261" s="370"/>
      <c r="L261" s="370"/>
      <c r="P261" s="208"/>
      <c r="Q261" s="370"/>
      <c r="R261" s="370"/>
    </row>
    <row r="262">
      <c r="B262" s="670"/>
      <c r="C262" s="609"/>
      <c r="D262" s="609"/>
      <c r="E262" s="671"/>
      <c r="F262" s="672"/>
      <c r="K262" s="370"/>
      <c r="L262" s="370"/>
      <c r="P262" s="208"/>
      <c r="Q262" s="370"/>
      <c r="R262" s="370"/>
    </row>
    <row r="263">
      <c r="B263" s="670"/>
      <c r="C263" s="609"/>
      <c r="D263" s="609"/>
      <c r="E263" s="671"/>
      <c r="F263" s="672"/>
      <c r="K263" s="370"/>
      <c r="L263" s="370"/>
      <c r="P263" s="208"/>
      <c r="Q263" s="370"/>
      <c r="R263" s="370"/>
    </row>
    <row r="264">
      <c r="B264" s="670"/>
      <c r="C264" s="609"/>
      <c r="D264" s="609"/>
      <c r="E264" s="671"/>
      <c r="F264" s="672"/>
      <c r="K264" s="370"/>
      <c r="L264" s="370"/>
      <c r="P264" s="208"/>
      <c r="Q264" s="370"/>
      <c r="R264" s="370"/>
    </row>
    <row r="265">
      <c r="B265" s="670"/>
      <c r="C265" s="609"/>
      <c r="D265" s="609"/>
      <c r="E265" s="671"/>
      <c r="F265" s="672"/>
      <c r="K265" s="370"/>
      <c r="L265" s="370"/>
      <c r="P265" s="208"/>
      <c r="Q265" s="370"/>
      <c r="R265" s="370"/>
    </row>
    <row r="266">
      <c r="B266" s="670"/>
      <c r="C266" s="609"/>
      <c r="D266" s="609"/>
      <c r="E266" s="671"/>
      <c r="F266" s="672"/>
      <c r="K266" s="370"/>
      <c r="L266" s="370"/>
      <c r="P266" s="208"/>
      <c r="Q266" s="370"/>
      <c r="R266" s="370"/>
    </row>
    <row r="267">
      <c r="B267" s="670"/>
      <c r="C267" s="609"/>
      <c r="D267" s="609"/>
      <c r="E267" s="671"/>
      <c r="F267" s="672"/>
      <c r="K267" s="370"/>
      <c r="L267" s="370"/>
      <c r="P267" s="208"/>
      <c r="Q267" s="370"/>
      <c r="R267" s="370"/>
    </row>
    <row r="268">
      <c r="B268" s="670"/>
      <c r="C268" s="609"/>
      <c r="D268" s="609"/>
      <c r="E268" s="671"/>
      <c r="F268" s="672"/>
      <c r="K268" s="370"/>
      <c r="L268" s="370"/>
      <c r="P268" s="208"/>
      <c r="Q268" s="370"/>
      <c r="R268" s="370"/>
    </row>
    <row r="269">
      <c r="B269" s="670"/>
      <c r="C269" s="609"/>
      <c r="D269" s="609"/>
      <c r="E269" s="671"/>
      <c r="F269" s="672"/>
      <c r="K269" s="370"/>
      <c r="L269" s="370"/>
      <c r="P269" s="208"/>
      <c r="Q269" s="370"/>
      <c r="R269" s="370"/>
    </row>
    <row r="270">
      <c r="B270" s="670"/>
      <c r="C270" s="609"/>
      <c r="D270" s="609"/>
      <c r="E270" s="671"/>
      <c r="F270" s="672"/>
      <c r="K270" s="370"/>
      <c r="L270" s="370"/>
      <c r="P270" s="208"/>
      <c r="Q270" s="370"/>
      <c r="R270" s="370"/>
    </row>
    <row r="271">
      <c r="B271" s="670"/>
      <c r="C271" s="609"/>
      <c r="D271" s="609"/>
      <c r="E271" s="671"/>
      <c r="F271" s="672"/>
      <c r="K271" s="370"/>
      <c r="L271" s="370"/>
      <c r="P271" s="208"/>
      <c r="Q271" s="370"/>
      <c r="R271" s="370"/>
    </row>
    <row r="272">
      <c r="B272" s="670"/>
      <c r="C272" s="609"/>
      <c r="D272" s="609"/>
      <c r="E272" s="671"/>
      <c r="F272" s="672"/>
      <c r="K272" s="370"/>
      <c r="L272" s="370"/>
      <c r="P272" s="208"/>
      <c r="Q272" s="370"/>
      <c r="R272" s="370"/>
    </row>
    <row r="273">
      <c r="B273" s="670"/>
      <c r="C273" s="609"/>
      <c r="D273" s="609"/>
      <c r="E273" s="671"/>
      <c r="F273" s="672"/>
      <c r="K273" s="370"/>
      <c r="L273" s="370"/>
      <c r="P273" s="208"/>
      <c r="Q273" s="370"/>
      <c r="R273" s="370"/>
    </row>
    <row r="274">
      <c r="B274" s="670"/>
      <c r="C274" s="609"/>
      <c r="D274" s="609"/>
      <c r="E274" s="671"/>
      <c r="F274" s="672"/>
      <c r="K274" s="370"/>
      <c r="L274" s="370"/>
      <c r="P274" s="208"/>
      <c r="Q274" s="370"/>
      <c r="R274" s="370"/>
    </row>
    <row r="275">
      <c r="B275" s="670"/>
      <c r="C275" s="609"/>
      <c r="D275" s="609"/>
      <c r="E275" s="671"/>
      <c r="F275" s="672"/>
      <c r="K275" s="370"/>
      <c r="L275" s="370"/>
      <c r="P275" s="208"/>
      <c r="Q275" s="370"/>
      <c r="R275" s="370"/>
    </row>
    <row r="276">
      <c r="B276" s="670"/>
      <c r="C276" s="609"/>
      <c r="D276" s="609"/>
      <c r="E276" s="671"/>
      <c r="F276" s="672"/>
      <c r="K276" s="370"/>
      <c r="L276" s="370"/>
      <c r="P276" s="208"/>
      <c r="Q276" s="370"/>
      <c r="R276" s="370"/>
    </row>
    <row r="277">
      <c r="B277" s="670"/>
      <c r="C277" s="609"/>
      <c r="D277" s="609"/>
      <c r="E277" s="671"/>
      <c r="F277" s="672"/>
      <c r="K277" s="370"/>
      <c r="L277" s="370"/>
      <c r="P277" s="208"/>
      <c r="Q277" s="370"/>
      <c r="R277" s="370"/>
    </row>
    <row r="278">
      <c r="B278" s="670"/>
      <c r="C278" s="609"/>
      <c r="D278" s="609"/>
      <c r="E278" s="671"/>
      <c r="F278" s="672"/>
      <c r="K278" s="370"/>
      <c r="L278" s="370"/>
      <c r="P278" s="208"/>
      <c r="Q278" s="370"/>
      <c r="R278" s="370"/>
    </row>
    <row r="279">
      <c r="B279" s="670"/>
      <c r="C279" s="609"/>
      <c r="D279" s="609"/>
      <c r="E279" s="671"/>
      <c r="F279" s="672"/>
      <c r="K279" s="370"/>
      <c r="L279" s="370"/>
      <c r="P279" s="208"/>
      <c r="Q279" s="370"/>
      <c r="R279" s="370"/>
    </row>
    <row r="280">
      <c r="B280" s="670"/>
      <c r="C280" s="609"/>
      <c r="D280" s="609"/>
      <c r="E280" s="671"/>
      <c r="F280" s="672"/>
      <c r="K280" s="370"/>
      <c r="L280" s="370"/>
      <c r="P280" s="208"/>
      <c r="Q280" s="370"/>
      <c r="R280" s="370"/>
    </row>
    <row r="281">
      <c r="B281" s="670"/>
      <c r="C281" s="609"/>
      <c r="D281" s="609"/>
      <c r="E281" s="671"/>
      <c r="F281" s="672"/>
      <c r="K281" s="370"/>
      <c r="L281" s="370"/>
      <c r="P281" s="208"/>
      <c r="Q281" s="370"/>
      <c r="R281" s="370"/>
    </row>
    <row r="282">
      <c r="B282" s="670"/>
      <c r="C282" s="609"/>
      <c r="D282" s="609"/>
      <c r="E282" s="671"/>
      <c r="F282" s="672"/>
      <c r="K282" s="370"/>
      <c r="L282" s="370"/>
      <c r="P282" s="208"/>
      <c r="Q282" s="370"/>
      <c r="R282" s="370"/>
    </row>
    <row r="283">
      <c r="B283" s="670"/>
      <c r="C283" s="609"/>
      <c r="D283" s="609"/>
      <c r="E283" s="671"/>
      <c r="F283" s="672"/>
      <c r="K283" s="370"/>
      <c r="L283" s="370"/>
      <c r="P283" s="208"/>
      <c r="Q283" s="370"/>
      <c r="R283" s="370"/>
    </row>
    <row r="284">
      <c r="B284" s="670"/>
      <c r="C284" s="609"/>
      <c r="D284" s="609"/>
      <c r="E284" s="671"/>
      <c r="F284" s="672"/>
      <c r="K284" s="370"/>
      <c r="L284" s="370"/>
      <c r="P284" s="208"/>
      <c r="Q284" s="370"/>
      <c r="R284" s="370"/>
    </row>
    <row r="285">
      <c r="B285" s="670"/>
      <c r="C285" s="609"/>
      <c r="D285" s="609"/>
      <c r="E285" s="671"/>
      <c r="F285" s="672"/>
      <c r="K285" s="370"/>
      <c r="L285" s="370"/>
      <c r="P285" s="208"/>
      <c r="Q285" s="370"/>
      <c r="R285" s="370"/>
    </row>
    <row r="286">
      <c r="B286" s="670"/>
      <c r="C286" s="609"/>
      <c r="D286" s="609"/>
      <c r="E286" s="671"/>
      <c r="F286" s="672"/>
      <c r="K286" s="370"/>
      <c r="L286" s="370"/>
      <c r="P286" s="208"/>
      <c r="Q286" s="370"/>
      <c r="R286" s="370"/>
    </row>
    <row r="287">
      <c r="B287" s="670"/>
      <c r="C287" s="609"/>
      <c r="D287" s="609"/>
      <c r="E287" s="671"/>
      <c r="F287" s="672"/>
      <c r="K287" s="370"/>
      <c r="L287" s="370"/>
      <c r="P287" s="208"/>
      <c r="Q287" s="370"/>
      <c r="R287" s="370"/>
    </row>
    <row r="288">
      <c r="B288" s="670"/>
      <c r="C288" s="609"/>
      <c r="D288" s="609"/>
      <c r="E288" s="671"/>
      <c r="F288" s="672"/>
      <c r="K288" s="370"/>
      <c r="L288" s="370"/>
      <c r="P288" s="208"/>
      <c r="Q288" s="370"/>
      <c r="R288" s="370"/>
    </row>
    <row r="289">
      <c r="B289" s="670"/>
      <c r="C289" s="609"/>
      <c r="D289" s="609"/>
      <c r="E289" s="671"/>
      <c r="F289" s="672"/>
      <c r="K289" s="370"/>
      <c r="L289" s="370"/>
      <c r="P289" s="208"/>
      <c r="Q289" s="370"/>
      <c r="R289" s="370"/>
    </row>
    <row r="290">
      <c r="B290" s="670"/>
      <c r="C290" s="609"/>
      <c r="D290" s="609"/>
      <c r="E290" s="671"/>
      <c r="F290" s="672"/>
      <c r="K290" s="370"/>
      <c r="L290" s="370"/>
      <c r="P290" s="208"/>
      <c r="Q290" s="370"/>
      <c r="R290" s="370"/>
    </row>
    <row r="291">
      <c r="B291" s="670"/>
      <c r="C291" s="609"/>
      <c r="D291" s="609"/>
      <c r="E291" s="671"/>
      <c r="F291" s="672"/>
      <c r="K291" s="370"/>
      <c r="L291" s="370"/>
      <c r="P291" s="208"/>
      <c r="Q291" s="370"/>
      <c r="R291" s="370"/>
    </row>
    <row r="292">
      <c r="B292" s="670"/>
      <c r="C292" s="609"/>
      <c r="D292" s="609"/>
      <c r="E292" s="671"/>
      <c r="F292" s="672"/>
      <c r="K292" s="370"/>
      <c r="L292" s="370"/>
      <c r="P292" s="208"/>
      <c r="Q292" s="370"/>
      <c r="R292" s="370"/>
    </row>
    <row r="293">
      <c r="B293" s="670"/>
      <c r="C293" s="609"/>
      <c r="D293" s="609"/>
      <c r="E293" s="671"/>
      <c r="F293" s="672"/>
      <c r="K293" s="370"/>
      <c r="L293" s="370"/>
      <c r="P293" s="208"/>
      <c r="Q293" s="370"/>
      <c r="R293" s="370"/>
    </row>
    <row r="294">
      <c r="B294" s="670"/>
      <c r="C294" s="609"/>
      <c r="D294" s="609"/>
      <c r="E294" s="671"/>
      <c r="F294" s="672"/>
      <c r="K294" s="370"/>
      <c r="L294" s="370"/>
      <c r="P294" s="208"/>
      <c r="Q294" s="370"/>
      <c r="R294" s="370"/>
    </row>
    <row r="295">
      <c r="B295" s="670"/>
      <c r="C295" s="609"/>
      <c r="D295" s="609"/>
      <c r="E295" s="671"/>
      <c r="F295" s="672"/>
      <c r="K295" s="370"/>
      <c r="L295" s="370"/>
      <c r="P295" s="208"/>
      <c r="Q295" s="370"/>
      <c r="R295" s="370"/>
    </row>
    <row r="296">
      <c r="B296" s="670"/>
      <c r="C296" s="609"/>
      <c r="D296" s="609"/>
      <c r="E296" s="671"/>
      <c r="F296" s="672"/>
      <c r="K296" s="370"/>
      <c r="L296" s="370"/>
      <c r="P296" s="208"/>
      <c r="Q296" s="370"/>
      <c r="R296" s="370"/>
    </row>
    <row r="297">
      <c r="B297" s="670"/>
      <c r="C297" s="609"/>
      <c r="D297" s="609"/>
      <c r="E297" s="671"/>
      <c r="F297" s="672"/>
      <c r="K297" s="370"/>
      <c r="L297" s="370"/>
      <c r="P297" s="208"/>
      <c r="Q297" s="370"/>
      <c r="R297" s="370"/>
    </row>
    <row r="298">
      <c r="B298" s="670"/>
      <c r="C298" s="609"/>
      <c r="D298" s="609"/>
      <c r="E298" s="671"/>
      <c r="F298" s="672"/>
      <c r="K298" s="370"/>
      <c r="L298" s="370"/>
      <c r="P298" s="208"/>
      <c r="Q298" s="370"/>
      <c r="R298" s="370"/>
    </row>
    <row r="299">
      <c r="B299" s="670"/>
      <c r="C299" s="609"/>
      <c r="D299" s="609"/>
      <c r="E299" s="671"/>
      <c r="F299" s="672"/>
      <c r="K299" s="370"/>
      <c r="L299" s="370"/>
      <c r="P299" s="208"/>
      <c r="Q299" s="370"/>
      <c r="R299" s="370"/>
    </row>
    <row r="300">
      <c r="B300" s="670"/>
      <c r="C300" s="609"/>
      <c r="D300" s="609"/>
      <c r="E300" s="671"/>
      <c r="F300" s="672"/>
      <c r="K300" s="370"/>
      <c r="L300" s="370"/>
      <c r="P300" s="208"/>
      <c r="Q300" s="370"/>
      <c r="R300" s="370"/>
    </row>
    <row r="301">
      <c r="B301" s="670"/>
      <c r="C301" s="609"/>
      <c r="D301" s="609"/>
      <c r="E301" s="671"/>
      <c r="F301" s="672"/>
      <c r="K301" s="370"/>
      <c r="L301" s="370"/>
      <c r="P301" s="208"/>
      <c r="Q301" s="370"/>
      <c r="R301" s="370"/>
    </row>
    <row r="302">
      <c r="B302" s="670"/>
      <c r="C302" s="609"/>
      <c r="D302" s="609"/>
      <c r="E302" s="671"/>
      <c r="F302" s="672"/>
      <c r="K302" s="370"/>
      <c r="L302" s="370"/>
      <c r="P302" s="208"/>
      <c r="Q302" s="370"/>
      <c r="R302" s="370"/>
    </row>
    <row r="303">
      <c r="B303" s="670"/>
      <c r="C303" s="609"/>
      <c r="D303" s="609"/>
      <c r="E303" s="671"/>
      <c r="F303" s="672"/>
      <c r="K303" s="370"/>
      <c r="L303" s="370"/>
      <c r="P303" s="208"/>
      <c r="Q303" s="370"/>
      <c r="R303" s="370"/>
    </row>
    <row r="304">
      <c r="B304" s="670"/>
      <c r="C304" s="609"/>
      <c r="D304" s="609"/>
      <c r="E304" s="671"/>
      <c r="F304" s="672"/>
      <c r="K304" s="370"/>
      <c r="L304" s="370"/>
      <c r="P304" s="208"/>
      <c r="Q304" s="370"/>
      <c r="R304" s="370"/>
    </row>
    <row r="305">
      <c r="B305" s="670"/>
      <c r="C305" s="609"/>
      <c r="D305" s="609"/>
      <c r="E305" s="671"/>
      <c r="F305" s="672"/>
      <c r="K305" s="370"/>
      <c r="L305" s="370"/>
      <c r="P305" s="208"/>
      <c r="Q305" s="370"/>
      <c r="R305" s="370"/>
    </row>
    <row r="306">
      <c r="B306" s="670"/>
      <c r="C306" s="609"/>
      <c r="D306" s="609"/>
      <c r="E306" s="671"/>
      <c r="F306" s="672"/>
      <c r="K306" s="370"/>
      <c r="L306" s="370"/>
      <c r="P306" s="208"/>
      <c r="Q306" s="370"/>
      <c r="R306" s="370"/>
    </row>
    <row r="307">
      <c r="B307" s="670"/>
      <c r="C307" s="609"/>
      <c r="D307" s="609"/>
      <c r="E307" s="671"/>
      <c r="F307" s="672"/>
      <c r="K307" s="370"/>
      <c r="L307" s="370"/>
      <c r="P307" s="208"/>
      <c r="Q307" s="370"/>
      <c r="R307" s="370"/>
    </row>
    <row r="308">
      <c r="B308" s="670"/>
      <c r="C308" s="609"/>
      <c r="D308" s="609"/>
      <c r="E308" s="671"/>
      <c r="F308" s="672"/>
      <c r="K308" s="370"/>
      <c r="L308" s="370"/>
      <c r="P308" s="208"/>
      <c r="Q308" s="370"/>
      <c r="R308" s="370"/>
    </row>
    <row r="309">
      <c r="B309" s="670"/>
      <c r="C309" s="609"/>
      <c r="D309" s="609"/>
      <c r="E309" s="671"/>
      <c r="F309" s="672"/>
      <c r="K309" s="370"/>
      <c r="L309" s="370"/>
      <c r="P309" s="208"/>
      <c r="Q309" s="370"/>
      <c r="R309" s="370"/>
    </row>
    <row r="310">
      <c r="B310" s="670"/>
      <c r="C310" s="609"/>
      <c r="D310" s="609"/>
      <c r="E310" s="671"/>
      <c r="F310" s="672"/>
      <c r="K310" s="370"/>
      <c r="L310" s="370"/>
      <c r="P310" s="208"/>
      <c r="Q310" s="370"/>
      <c r="R310" s="370"/>
    </row>
    <row r="311">
      <c r="B311" s="670"/>
      <c r="C311" s="609"/>
      <c r="D311" s="609"/>
      <c r="E311" s="671"/>
      <c r="F311" s="672"/>
      <c r="K311" s="370"/>
      <c r="L311" s="370"/>
      <c r="P311" s="208"/>
      <c r="Q311" s="370"/>
      <c r="R311" s="370"/>
    </row>
    <row r="312">
      <c r="B312" s="670"/>
      <c r="C312" s="609"/>
      <c r="D312" s="609"/>
      <c r="E312" s="671"/>
      <c r="F312" s="672"/>
      <c r="K312" s="370"/>
      <c r="L312" s="370"/>
      <c r="P312" s="208"/>
      <c r="Q312" s="370"/>
      <c r="R312" s="370"/>
    </row>
    <row r="313">
      <c r="B313" s="670"/>
      <c r="C313" s="609"/>
      <c r="D313" s="609"/>
      <c r="E313" s="671"/>
      <c r="F313" s="672"/>
      <c r="K313" s="370"/>
      <c r="L313" s="370"/>
      <c r="P313" s="208"/>
      <c r="Q313" s="370"/>
      <c r="R313" s="370"/>
    </row>
    <row r="314">
      <c r="B314" s="670"/>
      <c r="C314" s="609"/>
      <c r="D314" s="609"/>
      <c r="E314" s="671"/>
      <c r="F314" s="672"/>
      <c r="K314" s="370"/>
      <c r="L314" s="370"/>
      <c r="P314" s="208"/>
      <c r="Q314" s="370"/>
      <c r="R314" s="370"/>
    </row>
    <row r="315">
      <c r="B315" s="670"/>
      <c r="C315" s="609"/>
      <c r="D315" s="609"/>
      <c r="E315" s="671"/>
      <c r="F315" s="672"/>
      <c r="K315" s="370"/>
      <c r="L315" s="370"/>
      <c r="P315" s="208"/>
      <c r="Q315" s="370"/>
      <c r="R315" s="370"/>
    </row>
    <row r="316">
      <c r="B316" s="670"/>
      <c r="C316" s="609"/>
      <c r="D316" s="609"/>
      <c r="E316" s="671"/>
      <c r="F316" s="672"/>
      <c r="K316" s="370"/>
      <c r="L316" s="370"/>
      <c r="P316" s="208"/>
      <c r="Q316" s="370"/>
      <c r="R316" s="370"/>
    </row>
    <row r="317">
      <c r="B317" s="670"/>
      <c r="C317" s="609"/>
      <c r="D317" s="609"/>
      <c r="E317" s="671"/>
      <c r="F317" s="672"/>
      <c r="K317" s="370"/>
      <c r="L317" s="370"/>
      <c r="P317" s="208"/>
      <c r="Q317" s="370"/>
      <c r="R317" s="370"/>
    </row>
    <row r="318">
      <c r="B318" s="670"/>
      <c r="C318" s="609"/>
      <c r="D318" s="609"/>
      <c r="E318" s="671"/>
      <c r="F318" s="672"/>
      <c r="K318" s="370"/>
      <c r="L318" s="370"/>
      <c r="P318" s="208"/>
      <c r="Q318" s="370"/>
      <c r="R318" s="370"/>
    </row>
    <row r="319">
      <c r="B319" s="670"/>
      <c r="C319" s="609"/>
      <c r="D319" s="609"/>
      <c r="E319" s="671"/>
      <c r="F319" s="672"/>
      <c r="K319" s="370"/>
      <c r="L319" s="370"/>
      <c r="P319" s="208"/>
      <c r="Q319" s="370"/>
      <c r="R319" s="370"/>
    </row>
    <row r="320">
      <c r="B320" s="670"/>
      <c r="C320" s="609"/>
      <c r="D320" s="609"/>
      <c r="E320" s="671"/>
      <c r="F320" s="672"/>
      <c r="K320" s="370"/>
      <c r="L320" s="370"/>
      <c r="P320" s="208"/>
      <c r="Q320" s="370"/>
      <c r="R320" s="370"/>
    </row>
    <row r="321">
      <c r="B321" s="670"/>
      <c r="C321" s="609"/>
      <c r="D321" s="609"/>
      <c r="E321" s="671"/>
      <c r="F321" s="672"/>
      <c r="K321" s="370"/>
      <c r="L321" s="370"/>
      <c r="P321" s="208"/>
      <c r="Q321" s="370"/>
      <c r="R321" s="370"/>
    </row>
    <row r="322">
      <c r="B322" s="670"/>
      <c r="C322" s="609"/>
      <c r="D322" s="609"/>
      <c r="E322" s="671"/>
      <c r="F322" s="672"/>
      <c r="K322" s="370"/>
      <c r="L322" s="370"/>
      <c r="P322" s="208"/>
      <c r="Q322" s="370"/>
      <c r="R322" s="370"/>
    </row>
    <row r="323">
      <c r="B323" s="670"/>
      <c r="C323" s="609"/>
      <c r="D323" s="609"/>
      <c r="E323" s="671"/>
      <c r="F323" s="672"/>
      <c r="K323" s="370"/>
      <c r="L323" s="370"/>
      <c r="P323" s="208"/>
      <c r="Q323" s="370"/>
      <c r="R323" s="370"/>
    </row>
    <row r="324">
      <c r="B324" s="670"/>
      <c r="C324" s="609"/>
      <c r="D324" s="609"/>
      <c r="E324" s="671"/>
      <c r="F324" s="672"/>
      <c r="K324" s="370"/>
      <c r="L324" s="370"/>
      <c r="P324" s="208"/>
      <c r="Q324" s="370"/>
      <c r="R324" s="370"/>
    </row>
    <row r="325">
      <c r="B325" s="670"/>
      <c r="C325" s="609"/>
      <c r="D325" s="609"/>
      <c r="E325" s="671"/>
      <c r="F325" s="672"/>
      <c r="K325" s="370"/>
      <c r="L325" s="370"/>
      <c r="P325" s="208"/>
      <c r="Q325" s="370"/>
      <c r="R325" s="370"/>
    </row>
    <row r="326">
      <c r="B326" s="670"/>
      <c r="C326" s="609"/>
      <c r="D326" s="609"/>
      <c r="E326" s="671"/>
      <c r="F326" s="672"/>
      <c r="K326" s="370"/>
      <c r="L326" s="370"/>
      <c r="P326" s="208"/>
      <c r="Q326" s="370"/>
      <c r="R326" s="370"/>
    </row>
    <row r="327">
      <c r="B327" s="670"/>
      <c r="C327" s="609"/>
      <c r="D327" s="609"/>
      <c r="E327" s="671"/>
      <c r="F327" s="672"/>
      <c r="K327" s="370"/>
      <c r="L327" s="370"/>
      <c r="P327" s="208"/>
      <c r="Q327" s="370"/>
      <c r="R327" s="370"/>
    </row>
    <row r="328">
      <c r="B328" s="670"/>
      <c r="C328" s="609"/>
      <c r="D328" s="609"/>
      <c r="E328" s="671"/>
      <c r="F328" s="672"/>
      <c r="K328" s="370"/>
      <c r="L328" s="370"/>
      <c r="P328" s="208"/>
      <c r="Q328" s="370"/>
      <c r="R328" s="370"/>
    </row>
    <row r="329">
      <c r="B329" s="670"/>
      <c r="C329" s="609"/>
      <c r="D329" s="609"/>
      <c r="E329" s="671"/>
      <c r="F329" s="672"/>
      <c r="K329" s="370"/>
      <c r="L329" s="370"/>
      <c r="P329" s="208"/>
      <c r="Q329" s="370"/>
      <c r="R329" s="370"/>
    </row>
    <row r="330">
      <c r="B330" s="670"/>
      <c r="C330" s="609"/>
      <c r="D330" s="609"/>
      <c r="E330" s="671"/>
      <c r="F330" s="672"/>
      <c r="K330" s="370"/>
      <c r="L330" s="370"/>
      <c r="P330" s="208"/>
      <c r="Q330" s="370"/>
      <c r="R330" s="370"/>
    </row>
    <row r="331">
      <c r="B331" s="670"/>
      <c r="C331" s="609"/>
      <c r="D331" s="609"/>
      <c r="E331" s="671"/>
      <c r="F331" s="672"/>
      <c r="K331" s="370"/>
      <c r="L331" s="370"/>
      <c r="P331" s="208"/>
      <c r="Q331" s="370"/>
      <c r="R331" s="370"/>
    </row>
    <row r="332">
      <c r="B332" s="670"/>
      <c r="C332" s="609"/>
      <c r="D332" s="609"/>
      <c r="E332" s="671"/>
      <c r="F332" s="672"/>
      <c r="K332" s="370"/>
      <c r="L332" s="370"/>
      <c r="P332" s="208"/>
      <c r="Q332" s="370"/>
      <c r="R332" s="370"/>
    </row>
    <row r="333">
      <c r="B333" s="670"/>
      <c r="C333" s="609"/>
      <c r="D333" s="609"/>
      <c r="E333" s="671"/>
      <c r="F333" s="672"/>
      <c r="K333" s="370"/>
      <c r="L333" s="370"/>
      <c r="P333" s="208"/>
      <c r="Q333" s="370"/>
      <c r="R333" s="370"/>
    </row>
    <row r="334">
      <c r="B334" s="670"/>
      <c r="C334" s="609"/>
      <c r="D334" s="609"/>
      <c r="E334" s="671"/>
      <c r="F334" s="672"/>
      <c r="K334" s="370"/>
      <c r="L334" s="370"/>
      <c r="P334" s="208"/>
      <c r="Q334" s="370"/>
      <c r="R334" s="370"/>
    </row>
    <row r="335">
      <c r="B335" s="670"/>
      <c r="C335" s="609"/>
      <c r="D335" s="609"/>
      <c r="E335" s="671"/>
      <c r="F335" s="672"/>
      <c r="K335" s="370"/>
      <c r="L335" s="370"/>
      <c r="P335" s="208"/>
      <c r="Q335" s="370"/>
      <c r="R335" s="370"/>
    </row>
    <row r="336">
      <c r="B336" s="670"/>
      <c r="C336" s="609"/>
      <c r="D336" s="609"/>
      <c r="E336" s="671"/>
      <c r="F336" s="672"/>
      <c r="K336" s="370"/>
      <c r="L336" s="370"/>
      <c r="P336" s="208"/>
      <c r="Q336" s="370"/>
      <c r="R336" s="370"/>
    </row>
    <row r="337">
      <c r="B337" s="670"/>
      <c r="C337" s="609"/>
      <c r="D337" s="609"/>
      <c r="E337" s="671"/>
      <c r="F337" s="672"/>
      <c r="K337" s="370"/>
      <c r="L337" s="370"/>
      <c r="P337" s="208"/>
      <c r="Q337" s="370"/>
      <c r="R337" s="370"/>
    </row>
    <row r="338">
      <c r="B338" s="670"/>
      <c r="C338" s="609"/>
      <c r="D338" s="609"/>
      <c r="E338" s="671"/>
      <c r="F338" s="672"/>
      <c r="K338" s="370"/>
      <c r="L338" s="370"/>
      <c r="P338" s="208"/>
      <c r="Q338" s="370"/>
      <c r="R338" s="370"/>
    </row>
    <row r="339">
      <c r="B339" s="670"/>
      <c r="C339" s="609"/>
      <c r="D339" s="609"/>
      <c r="E339" s="671"/>
      <c r="F339" s="672"/>
      <c r="K339" s="370"/>
      <c r="L339" s="370"/>
      <c r="P339" s="208"/>
      <c r="Q339" s="370"/>
      <c r="R339" s="370"/>
    </row>
    <row r="340">
      <c r="B340" s="670"/>
      <c r="C340" s="609"/>
      <c r="D340" s="609"/>
      <c r="E340" s="671"/>
      <c r="F340" s="672"/>
      <c r="K340" s="370"/>
      <c r="L340" s="370"/>
      <c r="P340" s="208"/>
      <c r="Q340" s="370"/>
      <c r="R340" s="370"/>
    </row>
    <row r="341">
      <c r="B341" s="670"/>
      <c r="C341" s="609"/>
      <c r="D341" s="609"/>
      <c r="E341" s="671"/>
      <c r="F341" s="672"/>
      <c r="K341" s="370"/>
      <c r="L341" s="370"/>
      <c r="P341" s="208"/>
      <c r="Q341" s="370"/>
      <c r="R341" s="370"/>
    </row>
    <row r="342">
      <c r="B342" s="670"/>
      <c r="C342" s="609"/>
      <c r="D342" s="609"/>
      <c r="E342" s="671"/>
      <c r="F342" s="672"/>
      <c r="K342" s="370"/>
      <c r="L342" s="370"/>
      <c r="P342" s="208"/>
      <c r="Q342" s="370"/>
      <c r="R342" s="370"/>
    </row>
    <row r="343">
      <c r="B343" s="670"/>
      <c r="C343" s="609"/>
      <c r="D343" s="609"/>
      <c r="E343" s="671"/>
      <c r="F343" s="672"/>
      <c r="K343" s="370"/>
      <c r="L343" s="370"/>
      <c r="P343" s="208"/>
      <c r="Q343" s="370"/>
      <c r="R343" s="370"/>
    </row>
    <row r="344">
      <c r="B344" s="670"/>
      <c r="C344" s="609"/>
      <c r="D344" s="609"/>
      <c r="E344" s="671"/>
      <c r="F344" s="672"/>
      <c r="K344" s="370"/>
      <c r="L344" s="370"/>
      <c r="P344" s="208"/>
      <c r="Q344" s="370"/>
      <c r="R344" s="370"/>
    </row>
    <row r="345">
      <c r="B345" s="670"/>
      <c r="C345" s="609"/>
      <c r="D345" s="609"/>
      <c r="E345" s="671"/>
      <c r="F345" s="672"/>
      <c r="K345" s="370"/>
      <c r="L345" s="370"/>
      <c r="P345" s="208"/>
      <c r="Q345" s="370"/>
      <c r="R345" s="370"/>
    </row>
    <row r="346">
      <c r="B346" s="670"/>
      <c r="C346" s="609"/>
      <c r="D346" s="609"/>
      <c r="E346" s="671"/>
      <c r="F346" s="672"/>
      <c r="K346" s="370"/>
      <c r="L346" s="370"/>
      <c r="P346" s="208"/>
      <c r="Q346" s="370"/>
      <c r="R346" s="370"/>
    </row>
    <row r="347">
      <c r="B347" s="670"/>
      <c r="C347" s="609"/>
      <c r="D347" s="609"/>
      <c r="E347" s="671"/>
      <c r="F347" s="672"/>
      <c r="K347" s="370"/>
      <c r="L347" s="370"/>
      <c r="P347" s="208"/>
      <c r="Q347" s="370"/>
      <c r="R347" s="370"/>
    </row>
    <row r="348">
      <c r="B348" s="670"/>
      <c r="C348" s="609"/>
      <c r="D348" s="609"/>
      <c r="E348" s="671"/>
      <c r="F348" s="672"/>
      <c r="K348" s="370"/>
      <c r="L348" s="370"/>
      <c r="P348" s="208"/>
      <c r="Q348" s="370"/>
      <c r="R348" s="370"/>
    </row>
    <row r="349">
      <c r="B349" s="670"/>
      <c r="C349" s="609"/>
      <c r="D349" s="609"/>
      <c r="E349" s="671"/>
      <c r="F349" s="672"/>
      <c r="K349" s="370"/>
      <c r="L349" s="370"/>
      <c r="P349" s="208"/>
      <c r="Q349" s="370"/>
      <c r="R349" s="370"/>
    </row>
    <row r="350">
      <c r="B350" s="670"/>
      <c r="C350" s="609"/>
      <c r="D350" s="609"/>
      <c r="E350" s="671"/>
      <c r="F350" s="672"/>
      <c r="K350" s="370"/>
      <c r="L350" s="370"/>
      <c r="P350" s="208"/>
      <c r="Q350" s="370"/>
      <c r="R350" s="370"/>
    </row>
    <row r="351">
      <c r="B351" s="670"/>
      <c r="C351" s="609"/>
      <c r="D351" s="609"/>
      <c r="E351" s="671"/>
      <c r="F351" s="672"/>
      <c r="K351" s="370"/>
      <c r="L351" s="370"/>
      <c r="P351" s="208"/>
      <c r="Q351" s="370"/>
      <c r="R351" s="370"/>
    </row>
    <row r="352">
      <c r="B352" s="670"/>
      <c r="C352" s="609"/>
      <c r="D352" s="609"/>
      <c r="E352" s="671"/>
      <c r="F352" s="672"/>
      <c r="K352" s="370"/>
      <c r="L352" s="370"/>
      <c r="P352" s="208"/>
      <c r="Q352" s="370"/>
      <c r="R352" s="370"/>
    </row>
    <row r="353">
      <c r="B353" s="670"/>
      <c r="C353" s="609"/>
      <c r="D353" s="609"/>
      <c r="E353" s="671"/>
      <c r="F353" s="672"/>
      <c r="K353" s="370"/>
      <c r="L353" s="370"/>
      <c r="P353" s="208"/>
      <c r="Q353" s="370"/>
      <c r="R353" s="370"/>
    </row>
    <row r="354">
      <c r="B354" s="670"/>
      <c r="C354" s="609"/>
      <c r="D354" s="609"/>
      <c r="E354" s="671"/>
      <c r="F354" s="672"/>
      <c r="K354" s="370"/>
      <c r="L354" s="370"/>
      <c r="P354" s="208"/>
      <c r="Q354" s="370"/>
      <c r="R354" s="370"/>
    </row>
    <row r="355">
      <c r="B355" s="670"/>
      <c r="C355" s="609"/>
      <c r="D355" s="609"/>
      <c r="E355" s="671"/>
      <c r="F355" s="672"/>
      <c r="K355" s="370"/>
      <c r="L355" s="370"/>
      <c r="P355" s="208"/>
      <c r="Q355" s="370"/>
      <c r="R355" s="370"/>
    </row>
    <row r="356">
      <c r="B356" s="670"/>
      <c r="C356" s="609"/>
      <c r="D356" s="609"/>
      <c r="E356" s="671"/>
      <c r="F356" s="672"/>
      <c r="K356" s="370"/>
      <c r="L356" s="370"/>
      <c r="P356" s="208"/>
      <c r="Q356" s="370"/>
      <c r="R356" s="370"/>
    </row>
    <row r="357">
      <c r="B357" s="670"/>
      <c r="C357" s="609"/>
      <c r="D357" s="609"/>
      <c r="E357" s="671"/>
      <c r="F357" s="672"/>
      <c r="K357" s="370"/>
      <c r="L357" s="370"/>
      <c r="P357" s="208"/>
      <c r="Q357" s="370"/>
      <c r="R357" s="370"/>
    </row>
    <row r="358">
      <c r="B358" s="670"/>
      <c r="C358" s="609"/>
      <c r="D358" s="609"/>
      <c r="E358" s="671"/>
      <c r="F358" s="672"/>
      <c r="K358" s="370"/>
      <c r="L358" s="370"/>
      <c r="P358" s="208"/>
      <c r="Q358" s="370"/>
      <c r="R358" s="370"/>
    </row>
    <row r="359">
      <c r="B359" s="670"/>
      <c r="C359" s="609"/>
      <c r="D359" s="609"/>
      <c r="E359" s="671"/>
      <c r="F359" s="672"/>
      <c r="K359" s="370"/>
      <c r="L359" s="370"/>
      <c r="P359" s="208"/>
      <c r="Q359" s="370"/>
      <c r="R359" s="370"/>
    </row>
    <row r="360">
      <c r="B360" s="670"/>
      <c r="C360" s="609"/>
      <c r="D360" s="609"/>
      <c r="E360" s="671"/>
      <c r="F360" s="672"/>
      <c r="K360" s="370"/>
      <c r="L360" s="370"/>
      <c r="P360" s="208"/>
      <c r="Q360" s="370"/>
      <c r="R360" s="370"/>
    </row>
    <row r="361">
      <c r="B361" s="670"/>
      <c r="C361" s="609"/>
      <c r="D361" s="609"/>
      <c r="E361" s="671"/>
      <c r="F361" s="672"/>
      <c r="K361" s="370"/>
      <c r="L361" s="370"/>
      <c r="P361" s="208"/>
      <c r="Q361" s="370"/>
      <c r="R361" s="370"/>
    </row>
    <row r="362">
      <c r="B362" s="670"/>
      <c r="C362" s="609"/>
      <c r="D362" s="609"/>
      <c r="E362" s="671"/>
      <c r="F362" s="672"/>
      <c r="K362" s="370"/>
      <c r="L362" s="370"/>
      <c r="P362" s="208"/>
      <c r="Q362" s="370"/>
      <c r="R362" s="370"/>
    </row>
    <row r="363">
      <c r="B363" s="670"/>
      <c r="C363" s="609"/>
      <c r="D363" s="609"/>
      <c r="E363" s="671"/>
      <c r="F363" s="672"/>
      <c r="K363" s="370"/>
      <c r="L363" s="370"/>
      <c r="P363" s="208"/>
      <c r="Q363" s="370"/>
      <c r="R363" s="370"/>
    </row>
    <row r="364">
      <c r="B364" s="670"/>
      <c r="C364" s="609"/>
      <c r="D364" s="609"/>
      <c r="E364" s="671"/>
      <c r="F364" s="672"/>
      <c r="K364" s="370"/>
      <c r="L364" s="370"/>
      <c r="P364" s="208"/>
      <c r="Q364" s="370"/>
      <c r="R364" s="370"/>
    </row>
    <row r="365">
      <c r="B365" s="670"/>
      <c r="C365" s="609"/>
      <c r="D365" s="609"/>
      <c r="E365" s="671"/>
      <c r="F365" s="672"/>
      <c r="K365" s="370"/>
      <c r="L365" s="370"/>
      <c r="P365" s="208"/>
      <c r="Q365" s="370"/>
      <c r="R365" s="370"/>
    </row>
    <row r="366">
      <c r="B366" s="670"/>
      <c r="C366" s="609"/>
      <c r="D366" s="609"/>
      <c r="E366" s="671"/>
      <c r="F366" s="672"/>
      <c r="K366" s="370"/>
      <c r="L366" s="370"/>
      <c r="P366" s="208"/>
      <c r="Q366" s="370"/>
      <c r="R366" s="370"/>
    </row>
    <row r="367">
      <c r="B367" s="670"/>
      <c r="C367" s="609"/>
      <c r="D367" s="609"/>
      <c r="E367" s="671"/>
      <c r="F367" s="672"/>
      <c r="K367" s="370"/>
      <c r="L367" s="370"/>
      <c r="P367" s="208"/>
      <c r="Q367" s="370"/>
      <c r="R367" s="370"/>
    </row>
    <row r="368">
      <c r="B368" s="670"/>
      <c r="C368" s="609"/>
      <c r="D368" s="609"/>
      <c r="E368" s="671"/>
      <c r="F368" s="672"/>
      <c r="K368" s="370"/>
      <c r="L368" s="370"/>
      <c r="P368" s="208"/>
      <c r="Q368" s="370"/>
      <c r="R368" s="370"/>
    </row>
    <row r="369">
      <c r="B369" s="670"/>
      <c r="C369" s="609"/>
      <c r="D369" s="609"/>
      <c r="E369" s="671"/>
      <c r="F369" s="672"/>
      <c r="K369" s="370"/>
      <c r="L369" s="370"/>
      <c r="P369" s="208"/>
      <c r="Q369" s="370"/>
      <c r="R369" s="370"/>
    </row>
    <row r="370">
      <c r="B370" s="670"/>
      <c r="C370" s="609"/>
      <c r="D370" s="609"/>
      <c r="E370" s="671"/>
      <c r="F370" s="672"/>
      <c r="K370" s="370"/>
      <c r="L370" s="370"/>
      <c r="P370" s="208"/>
      <c r="Q370" s="370"/>
      <c r="R370" s="370"/>
    </row>
    <row r="371">
      <c r="B371" s="670"/>
      <c r="C371" s="609"/>
      <c r="D371" s="609"/>
      <c r="E371" s="671"/>
      <c r="F371" s="672"/>
      <c r="K371" s="370"/>
      <c r="L371" s="370"/>
      <c r="P371" s="208"/>
      <c r="Q371" s="370"/>
      <c r="R371" s="370"/>
    </row>
    <row r="372">
      <c r="B372" s="670"/>
      <c r="C372" s="609"/>
      <c r="D372" s="609"/>
      <c r="E372" s="671"/>
      <c r="F372" s="672"/>
      <c r="K372" s="370"/>
      <c r="L372" s="370"/>
      <c r="P372" s="208"/>
      <c r="Q372" s="370"/>
      <c r="R372" s="370"/>
    </row>
    <row r="373">
      <c r="B373" s="670"/>
      <c r="C373" s="609"/>
      <c r="D373" s="609"/>
      <c r="E373" s="671"/>
      <c r="F373" s="672"/>
      <c r="K373" s="370"/>
      <c r="L373" s="370"/>
      <c r="P373" s="208"/>
      <c r="Q373" s="370"/>
      <c r="R373" s="370"/>
    </row>
    <row r="374">
      <c r="B374" s="670"/>
      <c r="C374" s="609"/>
      <c r="D374" s="609"/>
      <c r="E374" s="671"/>
      <c r="F374" s="672"/>
      <c r="K374" s="370"/>
      <c r="L374" s="370"/>
      <c r="P374" s="208"/>
      <c r="Q374" s="370"/>
      <c r="R374" s="370"/>
    </row>
    <row r="375">
      <c r="B375" s="670"/>
      <c r="C375" s="609"/>
      <c r="D375" s="609"/>
      <c r="E375" s="671"/>
      <c r="F375" s="672"/>
      <c r="K375" s="370"/>
      <c r="L375" s="370"/>
      <c r="P375" s="208"/>
      <c r="Q375" s="370"/>
      <c r="R375" s="370"/>
    </row>
    <row r="376">
      <c r="B376" s="670"/>
      <c r="C376" s="609"/>
      <c r="D376" s="609"/>
      <c r="E376" s="671"/>
      <c r="F376" s="672"/>
      <c r="K376" s="370"/>
      <c r="L376" s="370"/>
      <c r="P376" s="208"/>
      <c r="Q376" s="370"/>
      <c r="R376" s="370"/>
    </row>
    <row r="377">
      <c r="B377" s="670"/>
      <c r="C377" s="609"/>
      <c r="D377" s="609"/>
      <c r="E377" s="671"/>
      <c r="F377" s="672"/>
      <c r="K377" s="370"/>
      <c r="L377" s="370"/>
      <c r="P377" s="208"/>
      <c r="Q377" s="370"/>
      <c r="R377" s="370"/>
    </row>
    <row r="378">
      <c r="B378" s="670"/>
      <c r="C378" s="609"/>
      <c r="D378" s="609"/>
      <c r="E378" s="671"/>
      <c r="F378" s="672"/>
      <c r="K378" s="370"/>
      <c r="L378" s="370"/>
      <c r="P378" s="208"/>
      <c r="Q378" s="370"/>
      <c r="R378" s="370"/>
    </row>
    <row r="379">
      <c r="B379" s="670"/>
      <c r="C379" s="609"/>
      <c r="D379" s="609"/>
      <c r="E379" s="671"/>
      <c r="F379" s="672"/>
      <c r="K379" s="370"/>
      <c r="L379" s="370"/>
      <c r="P379" s="208"/>
      <c r="Q379" s="370"/>
      <c r="R379" s="370"/>
    </row>
    <row r="380">
      <c r="B380" s="670"/>
      <c r="C380" s="609"/>
      <c r="D380" s="609"/>
      <c r="E380" s="671"/>
      <c r="F380" s="672"/>
      <c r="K380" s="370"/>
      <c r="L380" s="370"/>
      <c r="P380" s="208"/>
      <c r="Q380" s="370"/>
      <c r="R380" s="370"/>
    </row>
    <row r="381">
      <c r="B381" s="670"/>
      <c r="C381" s="609"/>
      <c r="D381" s="609"/>
      <c r="E381" s="671"/>
      <c r="F381" s="672"/>
      <c r="K381" s="370"/>
      <c r="L381" s="370"/>
      <c r="P381" s="208"/>
      <c r="Q381" s="370"/>
      <c r="R381" s="370"/>
    </row>
    <row r="382">
      <c r="B382" s="670"/>
      <c r="C382" s="609"/>
      <c r="D382" s="609"/>
      <c r="E382" s="671"/>
      <c r="F382" s="672"/>
      <c r="K382" s="370"/>
      <c r="L382" s="370"/>
      <c r="P382" s="208"/>
      <c r="Q382" s="370"/>
      <c r="R382" s="370"/>
    </row>
    <row r="383">
      <c r="B383" s="670"/>
      <c r="C383" s="609"/>
      <c r="D383" s="609"/>
      <c r="E383" s="671"/>
      <c r="F383" s="672"/>
      <c r="K383" s="370"/>
      <c r="L383" s="370"/>
      <c r="P383" s="208"/>
      <c r="Q383" s="370"/>
      <c r="R383" s="370"/>
    </row>
    <row r="384">
      <c r="B384" s="670"/>
      <c r="C384" s="609"/>
      <c r="D384" s="609"/>
      <c r="E384" s="671"/>
      <c r="F384" s="672"/>
      <c r="K384" s="370"/>
      <c r="L384" s="370"/>
      <c r="P384" s="208"/>
      <c r="Q384" s="370"/>
      <c r="R384" s="370"/>
    </row>
    <row r="385">
      <c r="B385" s="670"/>
      <c r="C385" s="609"/>
      <c r="D385" s="609"/>
      <c r="E385" s="671"/>
      <c r="F385" s="672"/>
      <c r="K385" s="370"/>
      <c r="L385" s="370"/>
      <c r="P385" s="208"/>
      <c r="Q385" s="370"/>
      <c r="R385" s="370"/>
    </row>
    <row r="386">
      <c r="B386" s="670"/>
      <c r="C386" s="609"/>
      <c r="D386" s="609"/>
      <c r="E386" s="671"/>
      <c r="F386" s="672"/>
      <c r="K386" s="370"/>
      <c r="L386" s="370"/>
      <c r="P386" s="208"/>
      <c r="Q386" s="370"/>
      <c r="R386" s="370"/>
    </row>
    <row r="387">
      <c r="B387" s="670"/>
      <c r="C387" s="609"/>
      <c r="D387" s="609"/>
      <c r="E387" s="671"/>
      <c r="F387" s="672"/>
      <c r="K387" s="370"/>
      <c r="L387" s="370"/>
      <c r="P387" s="208"/>
      <c r="Q387" s="370"/>
      <c r="R387" s="370"/>
    </row>
    <row r="388">
      <c r="B388" s="670"/>
      <c r="C388" s="609"/>
      <c r="D388" s="609"/>
      <c r="E388" s="671"/>
      <c r="F388" s="672"/>
      <c r="K388" s="370"/>
      <c r="L388" s="370"/>
      <c r="P388" s="208"/>
      <c r="Q388" s="370"/>
      <c r="R388" s="370"/>
    </row>
    <row r="389">
      <c r="B389" s="670"/>
      <c r="C389" s="609"/>
      <c r="D389" s="609"/>
      <c r="E389" s="671"/>
      <c r="F389" s="672"/>
      <c r="K389" s="370"/>
      <c r="L389" s="370"/>
      <c r="P389" s="208"/>
      <c r="Q389" s="370"/>
      <c r="R389" s="370"/>
    </row>
    <row r="390">
      <c r="B390" s="670"/>
      <c r="C390" s="609"/>
      <c r="D390" s="609"/>
      <c r="E390" s="671"/>
      <c r="F390" s="672"/>
      <c r="K390" s="370"/>
      <c r="L390" s="370"/>
      <c r="P390" s="208"/>
      <c r="Q390" s="370"/>
      <c r="R390" s="370"/>
    </row>
    <row r="391">
      <c r="B391" s="670"/>
      <c r="C391" s="609"/>
      <c r="D391" s="609"/>
      <c r="E391" s="671"/>
      <c r="F391" s="672"/>
      <c r="K391" s="370"/>
      <c r="L391" s="370"/>
      <c r="P391" s="208"/>
      <c r="Q391" s="370"/>
      <c r="R391" s="370"/>
    </row>
    <row r="392">
      <c r="B392" s="670"/>
      <c r="C392" s="609"/>
      <c r="D392" s="609"/>
      <c r="E392" s="671"/>
      <c r="F392" s="672"/>
      <c r="K392" s="370"/>
      <c r="L392" s="370"/>
      <c r="P392" s="208"/>
      <c r="Q392" s="370"/>
      <c r="R392" s="370"/>
    </row>
    <row r="393">
      <c r="B393" s="670"/>
      <c r="C393" s="609"/>
      <c r="D393" s="609"/>
      <c r="E393" s="671"/>
      <c r="F393" s="672"/>
      <c r="K393" s="370"/>
      <c r="L393" s="370"/>
      <c r="P393" s="208"/>
      <c r="Q393" s="370"/>
      <c r="R393" s="370"/>
    </row>
    <row r="394">
      <c r="B394" s="670"/>
      <c r="C394" s="609"/>
      <c r="D394" s="609"/>
      <c r="E394" s="671"/>
      <c r="F394" s="672"/>
      <c r="K394" s="370"/>
      <c r="L394" s="370"/>
      <c r="P394" s="208"/>
      <c r="Q394" s="370"/>
      <c r="R394" s="370"/>
    </row>
    <row r="395">
      <c r="B395" s="670"/>
      <c r="C395" s="609"/>
      <c r="D395" s="609"/>
      <c r="E395" s="671"/>
      <c r="F395" s="672"/>
      <c r="K395" s="370"/>
      <c r="L395" s="370"/>
      <c r="P395" s="208"/>
      <c r="Q395" s="370"/>
      <c r="R395" s="370"/>
    </row>
    <row r="396">
      <c r="B396" s="670"/>
      <c r="C396" s="609"/>
      <c r="D396" s="609"/>
      <c r="E396" s="671"/>
      <c r="F396" s="672"/>
      <c r="K396" s="370"/>
      <c r="L396" s="370"/>
      <c r="P396" s="208"/>
      <c r="Q396" s="370"/>
      <c r="R396" s="370"/>
    </row>
    <row r="397">
      <c r="B397" s="670"/>
      <c r="C397" s="609"/>
      <c r="D397" s="609"/>
      <c r="E397" s="671"/>
      <c r="F397" s="672"/>
      <c r="K397" s="370"/>
      <c r="L397" s="370"/>
      <c r="P397" s="208"/>
      <c r="Q397" s="370"/>
      <c r="R397" s="370"/>
    </row>
    <row r="398">
      <c r="B398" s="670"/>
      <c r="C398" s="609"/>
      <c r="D398" s="609"/>
      <c r="E398" s="671"/>
      <c r="F398" s="672"/>
      <c r="K398" s="370"/>
      <c r="L398" s="370"/>
      <c r="P398" s="208"/>
      <c r="Q398" s="370"/>
      <c r="R398" s="370"/>
    </row>
    <row r="399">
      <c r="B399" s="670"/>
      <c r="C399" s="609"/>
      <c r="D399" s="609"/>
      <c r="E399" s="671"/>
      <c r="F399" s="672"/>
      <c r="K399" s="370"/>
      <c r="L399" s="370"/>
      <c r="P399" s="208"/>
      <c r="Q399" s="370"/>
      <c r="R399" s="370"/>
    </row>
    <row r="400">
      <c r="B400" s="670"/>
      <c r="C400" s="609"/>
      <c r="D400" s="609"/>
      <c r="E400" s="671"/>
      <c r="F400" s="672"/>
      <c r="K400" s="370"/>
      <c r="L400" s="370"/>
      <c r="P400" s="208"/>
      <c r="Q400" s="370"/>
      <c r="R400" s="370"/>
    </row>
    <row r="401">
      <c r="B401" s="670"/>
      <c r="C401" s="609"/>
      <c r="D401" s="609"/>
      <c r="E401" s="671"/>
      <c r="F401" s="672"/>
      <c r="K401" s="370"/>
      <c r="L401" s="370"/>
      <c r="P401" s="208"/>
      <c r="Q401" s="370"/>
      <c r="R401" s="370"/>
    </row>
    <row r="402">
      <c r="B402" s="670"/>
      <c r="C402" s="609"/>
      <c r="D402" s="609"/>
      <c r="E402" s="671"/>
      <c r="F402" s="672"/>
      <c r="K402" s="370"/>
      <c r="L402" s="370"/>
      <c r="P402" s="208"/>
      <c r="Q402" s="370"/>
      <c r="R402" s="370"/>
    </row>
    <row r="403">
      <c r="B403" s="670"/>
      <c r="C403" s="609"/>
      <c r="D403" s="609"/>
      <c r="E403" s="671"/>
      <c r="F403" s="672"/>
      <c r="K403" s="370"/>
      <c r="L403" s="370"/>
      <c r="P403" s="208"/>
      <c r="Q403" s="370"/>
      <c r="R403" s="370"/>
    </row>
    <row r="404">
      <c r="B404" s="670"/>
      <c r="C404" s="609"/>
      <c r="D404" s="609"/>
      <c r="E404" s="671"/>
      <c r="F404" s="672"/>
      <c r="K404" s="370"/>
      <c r="L404" s="370"/>
      <c r="P404" s="208"/>
      <c r="Q404" s="370"/>
      <c r="R404" s="370"/>
    </row>
    <row r="405">
      <c r="B405" s="670"/>
      <c r="C405" s="609"/>
      <c r="D405" s="609"/>
      <c r="E405" s="671"/>
      <c r="F405" s="672"/>
      <c r="K405" s="370"/>
      <c r="L405" s="370"/>
      <c r="P405" s="208"/>
      <c r="Q405" s="370"/>
      <c r="R405" s="370"/>
    </row>
    <row r="406">
      <c r="B406" s="670"/>
      <c r="C406" s="609"/>
      <c r="D406" s="609"/>
      <c r="E406" s="671"/>
      <c r="F406" s="672"/>
      <c r="K406" s="370"/>
      <c r="L406" s="370"/>
      <c r="P406" s="208"/>
      <c r="Q406" s="370"/>
      <c r="R406" s="370"/>
    </row>
    <row r="407">
      <c r="B407" s="670"/>
      <c r="C407" s="609"/>
      <c r="D407" s="609"/>
      <c r="E407" s="671"/>
      <c r="F407" s="672"/>
      <c r="K407" s="370"/>
      <c r="L407" s="370"/>
      <c r="P407" s="208"/>
      <c r="Q407" s="370"/>
      <c r="R407" s="370"/>
    </row>
    <row r="408">
      <c r="B408" s="670"/>
      <c r="C408" s="609"/>
      <c r="D408" s="609"/>
      <c r="E408" s="671"/>
      <c r="F408" s="672"/>
      <c r="K408" s="370"/>
      <c r="L408" s="370"/>
      <c r="P408" s="208"/>
      <c r="Q408" s="370"/>
      <c r="R408" s="370"/>
    </row>
    <row r="409">
      <c r="B409" s="670"/>
      <c r="C409" s="609"/>
      <c r="D409" s="609"/>
      <c r="E409" s="671"/>
      <c r="F409" s="672"/>
      <c r="K409" s="370"/>
      <c r="L409" s="370"/>
      <c r="P409" s="208"/>
      <c r="Q409" s="370"/>
      <c r="R409" s="370"/>
    </row>
    <row r="410">
      <c r="B410" s="670"/>
      <c r="C410" s="609"/>
      <c r="D410" s="609"/>
      <c r="E410" s="671"/>
      <c r="F410" s="672"/>
      <c r="K410" s="370"/>
      <c r="L410" s="370"/>
      <c r="P410" s="208"/>
      <c r="Q410" s="370"/>
      <c r="R410" s="370"/>
    </row>
    <row r="411">
      <c r="B411" s="670"/>
      <c r="C411" s="609"/>
      <c r="D411" s="609"/>
      <c r="E411" s="671"/>
      <c r="F411" s="672"/>
      <c r="K411" s="370"/>
      <c r="L411" s="370"/>
      <c r="P411" s="208"/>
      <c r="Q411" s="370"/>
      <c r="R411" s="370"/>
    </row>
    <row r="412">
      <c r="B412" s="670"/>
      <c r="C412" s="609"/>
      <c r="D412" s="609"/>
      <c r="E412" s="671"/>
      <c r="F412" s="672"/>
      <c r="K412" s="370"/>
      <c r="L412" s="370"/>
      <c r="P412" s="208"/>
      <c r="Q412" s="370"/>
      <c r="R412" s="370"/>
    </row>
    <row r="413">
      <c r="B413" s="670"/>
      <c r="C413" s="609"/>
      <c r="D413" s="609"/>
      <c r="E413" s="671"/>
      <c r="F413" s="672"/>
      <c r="K413" s="370"/>
      <c r="L413" s="370"/>
      <c r="P413" s="208"/>
      <c r="Q413" s="370"/>
      <c r="R413" s="370"/>
    </row>
    <row r="414">
      <c r="B414" s="670"/>
      <c r="C414" s="609"/>
      <c r="D414" s="609"/>
      <c r="E414" s="671"/>
      <c r="F414" s="672"/>
      <c r="K414" s="370"/>
      <c r="L414" s="370"/>
      <c r="P414" s="208"/>
      <c r="Q414" s="370"/>
      <c r="R414" s="370"/>
    </row>
    <row r="415">
      <c r="B415" s="670"/>
      <c r="C415" s="609"/>
      <c r="D415" s="609"/>
      <c r="E415" s="671"/>
      <c r="F415" s="672"/>
      <c r="K415" s="370"/>
      <c r="L415" s="370"/>
      <c r="P415" s="208"/>
      <c r="Q415" s="370"/>
      <c r="R415" s="370"/>
    </row>
    <row r="416">
      <c r="B416" s="670"/>
      <c r="C416" s="609"/>
      <c r="D416" s="609"/>
      <c r="E416" s="671"/>
      <c r="F416" s="672"/>
      <c r="K416" s="370"/>
      <c r="L416" s="370"/>
      <c r="P416" s="208"/>
      <c r="Q416" s="370"/>
      <c r="R416" s="370"/>
    </row>
    <row r="417">
      <c r="B417" s="670"/>
      <c r="C417" s="609"/>
      <c r="D417" s="609"/>
      <c r="E417" s="671"/>
      <c r="F417" s="672"/>
      <c r="K417" s="370"/>
      <c r="L417" s="370"/>
      <c r="P417" s="208"/>
      <c r="Q417" s="370"/>
      <c r="R417" s="370"/>
    </row>
    <row r="418">
      <c r="B418" s="670"/>
      <c r="C418" s="609"/>
      <c r="D418" s="609"/>
      <c r="E418" s="671"/>
      <c r="F418" s="672"/>
      <c r="K418" s="370"/>
      <c r="L418" s="370"/>
      <c r="P418" s="208"/>
      <c r="Q418" s="370"/>
      <c r="R418" s="370"/>
    </row>
    <row r="419">
      <c r="B419" s="670"/>
      <c r="C419" s="609"/>
      <c r="D419" s="609"/>
      <c r="E419" s="671"/>
      <c r="F419" s="672"/>
      <c r="K419" s="370"/>
      <c r="L419" s="370"/>
      <c r="P419" s="208"/>
      <c r="Q419" s="370"/>
      <c r="R419" s="370"/>
    </row>
    <row r="420">
      <c r="B420" s="670"/>
      <c r="C420" s="609"/>
      <c r="D420" s="609"/>
      <c r="E420" s="671"/>
      <c r="F420" s="672"/>
      <c r="K420" s="370"/>
      <c r="L420" s="370"/>
      <c r="P420" s="208"/>
      <c r="Q420" s="370"/>
      <c r="R420" s="370"/>
    </row>
    <row r="421">
      <c r="B421" s="670"/>
      <c r="C421" s="609"/>
      <c r="D421" s="609"/>
      <c r="E421" s="671"/>
      <c r="F421" s="672"/>
      <c r="K421" s="370"/>
      <c r="L421" s="370"/>
      <c r="P421" s="208"/>
      <c r="Q421" s="370"/>
      <c r="R421" s="370"/>
    </row>
    <row r="422">
      <c r="B422" s="670"/>
      <c r="C422" s="609"/>
      <c r="D422" s="609"/>
      <c r="E422" s="671"/>
      <c r="F422" s="672"/>
      <c r="K422" s="370"/>
      <c r="L422" s="370"/>
      <c r="P422" s="208"/>
      <c r="Q422" s="370"/>
      <c r="R422" s="370"/>
    </row>
    <row r="423">
      <c r="B423" s="670"/>
      <c r="C423" s="609"/>
      <c r="D423" s="609"/>
      <c r="E423" s="671"/>
      <c r="F423" s="672"/>
      <c r="K423" s="370"/>
      <c r="L423" s="370"/>
      <c r="P423" s="208"/>
      <c r="Q423" s="370"/>
      <c r="R423" s="370"/>
    </row>
    <row r="424">
      <c r="B424" s="670"/>
      <c r="C424" s="609"/>
      <c r="D424" s="609"/>
      <c r="E424" s="671"/>
      <c r="F424" s="672"/>
      <c r="K424" s="370"/>
      <c r="L424" s="370"/>
      <c r="P424" s="208"/>
      <c r="Q424" s="370"/>
      <c r="R424" s="370"/>
    </row>
    <row r="425">
      <c r="B425" s="670"/>
      <c r="C425" s="609"/>
      <c r="D425" s="609"/>
      <c r="E425" s="671"/>
      <c r="F425" s="672"/>
      <c r="K425" s="370"/>
      <c r="L425" s="370"/>
      <c r="P425" s="208"/>
      <c r="Q425" s="370"/>
      <c r="R425" s="370"/>
    </row>
    <row r="426">
      <c r="B426" s="670"/>
      <c r="C426" s="609"/>
      <c r="D426" s="609"/>
      <c r="E426" s="671"/>
      <c r="F426" s="672"/>
      <c r="K426" s="370"/>
      <c r="L426" s="370"/>
      <c r="P426" s="208"/>
      <c r="Q426" s="370"/>
      <c r="R426" s="370"/>
    </row>
    <row r="427">
      <c r="B427" s="670"/>
      <c r="C427" s="609"/>
      <c r="D427" s="609"/>
      <c r="E427" s="671"/>
      <c r="F427" s="672"/>
      <c r="K427" s="370"/>
      <c r="L427" s="370"/>
      <c r="P427" s="208"/>
      <c r="Q427" s="370"/>
      <c r="R427" s="370"/>
    </row>
    <row r="428">
      <c r="B428" s="670"/>
      <c r="C428" s="609"/>
      <c r="D428" s="609"/>
      <c r="E428" s="671"/>
      <c r="F428" s="672"/>
      <c r="K428" s="370"/>
      <c r="L428" s="370"/>
      <c r="P428" s="208"/>
      <c r="Q428" s="370"/>
      <c r="R428" s="370"/>
    </row>
    <row r="429">
      <c r="B429" s="670"/>
      <c r="C429" s="609"/>
      <c r="D429" s="609"/>
      <c r="E429" s="671"/>
      <c r="F429" s="672"/>
      <c r="K429" s="370"/>
      <c r="L429" s="370"/>
      <c r="P429" s="208"/>
      <c r="Q429" s="370"/>
      <c r="R429" s="370"/>
    </row>
    <row r="430">
      <c r="B430" s="670"/>
      <c r="C430" s="609"/>
      <c r="D430" s="609"/>
      <c r="E430" s="671"/>
      <c r="F430" s="672"/>
      <c r="K430" s="370"/>
      <c r="L430" s="370"/>
      <c r="P430" s="208"/>
      <c r="Q430" s="370"/>
      <c r="R430" s="370"/>
    </row>
    <row r="431">
      <c r="B431" s="670"/>
      <c r="C431" s="609"/>
      <c r="D431" s="609"/>
      <c r="E431" s="671"/>
      <c r="F431" s="672"/>
      <c r="K431" s="370"/>
      <c r="L431" s="370"/>
      <c r="P431" s="208"/>
      <c r="Q431" s="370"/>
      <c r="R431" s="370"/>
    </row>
    <row r="432">
      <c r="B432" s="670"/>
      <c r="C432" s="609"/>
      <c r="D432" s="609"/>
      <c r="E432" s="671"/>
      <c r="F432" s="672"/>
      <c r="K432" s="370"/>
      <c r="L432" s="370"/>
      <c r="P432" s="208"/>
      <c r="Q432" s="370"/>
      <c r="R432" s="370"/>
    </row>
    <row r="433">
      <c r="B433" s="670"/>
      <c r="C433" s="609"/>
      <c r="D433" s="609"/>
      <c r="E433" s="671"/>
      <c r="F433" s="672"/>
      <c r="K433" s="370"/>
      <c r="L433" s="370"/>
      <c r="P433" s="208"/>
      <c r="Q433" s="370"/>
      <c r="R433" s="370"/>
    </row>
    <row r="434">
      <c r="B434" s="670"/>
      <c r="C434" s="609"/>
      <c r="D434" s="609"/>
      <c r="E434" s="671"/>
      <c r="F434" s="672"/>
      <c r="K434" s="370"/>
      <c r="L434" s="370"/>
      <c r="P434" s="208"/>
      <c r="Q434" s="370"/>
      <c r="R434" s="370"/>
    </row>
    <row r="435">
      <c r="B435" s="670"/>
      <c r="C435" s="609"/>
      <c r="D435" s="609"/>
      <c r="E435" s="671"/>
      <c r="F435" s="672"/>
      <c r="K435" s="370"/>
      <c r="L435" s="370"/>
      <c r="P435" s="208"/>
      <c r="Q435" s="370"/>
      <c r="R435" s="370"/>
    </row>
    <row r="436">
      <c r="B436" s="670"/>
      <c r="C436" s="609"/>
      <c r="D436" s="609"/>
      <c r="E436" s="671"/>
      <c r="F436" s="672"/>
      <c r="K436" s="370"/>
      <c r="L436" s="370"/>
      <c r="P436" s="208"/>
      <c r="Q436" s="370"/>
      <c r="R436" s="370"/>
    </row>
    <row r="437">
      <c r="B437" s="670"/>
      <c r="C437" s="609"/>
      <c r="D437" s="609"/>
      <c r="E437" s="671"/>
      <c r="F437" s="672"/>
      <c r="K437" s="370"/>
      <c r="L437" s="370"/>
      <c r="P437" s="208"/>
      <c r="Q437" s="370"/>
      <c r="R437" s="370"/>
    </row>
    <row r="438">
      <c r="B438" s="670"/>
      <c r="C438" s="609"/>
      <c r="D438" s="609"/>
      <c r="E438" s="671"/>
      <c r="F438" s="672"/>
      <c r="K438" s="370"/>
      <c r="L438" s="370"/>
      <c r="P438" s="208"/>
      <c r="Q438" s="370"/>
      <c r="R438" s="370"/>
    </row>
    <row r="439">
      <c r="B439" s="670"/>
      <c r="C439" s="609"/>
      <c r="D439" s="609"/>
      <c r="E439" s="671"/>
      <c r="F439" s="672"/>
      <c r="K439" s="370"/>
      <c r="L439" s="370"/>
      <c r="P439" s="208"/>
      <c r="Q439" s="370"/>
      <c r="R439" s="370"/>
    </row>
    <row r="440">
      <c r="B440" s="670"/>
      <c r="C440" s="609"/>
      <c r="D440" s="609"/>
      <c r="E440" s="671"/>
      <c r="F440" s="672"/>
      <c r="K440" s="370"/>
      <c r="L440" s="370"/>
      <c r="P440" s="208"/>
      <c r="Q440" s="370"/>
      <c r="R440" s="370"/>
    </row>
    <row r="441">
      <c r="B441" s="670"/>
      <c r="C441" s="609"/>
      <c r="D441" s="609"/>
      <c r="E441" s="671"/>
      <c r="F441" s="672"/>
      <c r="K441" s="370"/>
      <c r="L441" s="370"/>
      <c r="P441" s="208"/>
      <c r="Q441" s="370"/>
      <c r="R441" s="370"/>
    </row>
    <row r="442">
      <c r="B442" s="670"/>
      <c r="C442" s="609"/>
      <c r="D442" s="609"/>
      <c r="E442" s="671"/>
      <c r="F442" s="672"/>
      <c r="K442" s="370"/>
      <c r="L442" s="370"/>
      <c r="P442" s="208"/>
      <c r="Q442" s="370"/>
      <c r="R442" s="370"/>
    </row>
    <row r="443">
      <c r="B443" s="670"/>
      <c r="C443" s="609"/>
      <c r="D443" s="609"/>
      <c r="E443" s="671"/>
      <c r="F443" s="672"/>
      <c r="K443" s="370"/>
      <c r="L443" s="370"/>
      <c r="P443" s="208"/>
      <c r="Q443" s="370"/>
      <c r="R443" s="370"/>
    </row>
    <row r="444">
      <c r="B444" s="670"/>
      <c r="C444" s="609"/>
      <c r="D444" s="609"/>
      <c r="E444" s="671"/>
      <c r="F444" s="672"/>
      <c r="K444" s="370"/>
      <c r="L444" s="370"/>
      <c r="P444" s="208"/>
      <c r="Q444" s="370"/>
      <c r="R444" s="370"/>
    </row>
    <row r="445">
      <c r="B445" s="670"/>
      <c r="C445" s="609"/>
      <c r="D445" s="609"/>
      <c r="E445" s="671"/>
      <c r="F445" s="672"/>
      <c r="K445" s="370"/>
      <c r="L445" s="370"/>
      <c r="P445" s="208"/>
      <c r="Q445" s="370"/>
      <c r="R445" s="370"/>
    </row>
    <row r="446">
      <c r="B446" s="670"/>
      <c r="C446" s="609"/>
      <c r="D446" s="609"/>
      <c r="E446" s="671"/>
      <c r="F446" s="672"/>
      <c r="K446" s="370"/>
      <c r="L446" s="370"/>
      <c r="P446" s="208"/>
      <c r="Q446" s="370"/>
      <c r="R446" s="370"/>
    </row>
    <row r="447">
      <c r="B447" s="670"/>
      <c r="C447" s="609"/>
      <c r="D447" s="609"/>
      <c r="E447" s="671"/>
      <c r="F447" s="672"/>
      <c r="K447" s="370"/>
      <c r="L447" s="370"/>
      <c r="P447" s="208"/>
      <c r="Q447" s="370"/>
      <c r="R447" s="370"/>
    </row>
    <row r="448">
      <c r="B448" s="670"/>
      <c r="C448" s="609"/>
      <c r="D448" s="609"/>
      <c r="E448" s="671"/>
      <c r="F448" s="672"/>
      <c r="K448" s="370"/>
      <c r="L448" s="370"/>
      <c r="P448" s="208"/>
      <c r="Q448" s="370"/>
      <c r="R448" s="370"/>
    </row>
    <row r="449">
      <c r="B449" s="670"/>
      <c r="C449" s="609"/>
      <c r="D449" s="609"/>
      <c r="E449" s="671"/>
      <c r="F449" s="672"/>
      <c r="K449" s="370"/>
      <c r="L449" s="370"/>
      <c r="P449" s="208"/>
      <c r="Q449" s="370"/>
      <c r="R449" s="370"/>
    </row>
    <row r="450">
      <c r="B450" s="670"/>
      <c r="C450" s="609"/>
      <c r="D450" s="609"/>
      <c r="E450" s="671"/>
      <c r="F450" s="672"/>
      <c r="K450" s="370"/>
      <c r="L450" s="370"/>
      <c r="P450" s="208"/>
      <c r="Q450" s="370"/>
      <c r="R450" s="370"/>
    </row>
    <row r="451">
      <c r="B451" s="670"/>
      <c r="C451" s="609"/>
      <c r="D451" s="609"/>
      <c r="E451" s="671"/>
      <c r="F451" s="672"/>
      <c r="K451" s="370"/>
      <c r="L451" s="370"/>
      <c r="P451" s="208"/>
      <c r="Q451" s="370"/>
      <c r="R451" s="370"/>
    </row>
    <row r="452">
      <c r="B452" s="670"/>
      <c r="C452" s="609"/>
      <c r="D452" s="609"/>
      <c r="E452" s="671"/>
      <c r="F452" s="672"/>
      <c r="K452" s="370"/>
      <c r="L452" s="370"/>
      <c r="P452" s="208"/>
      <c r="Q452" s="370"/>
      <c r="R452" s="370"/>
    </row>
    <row r="453">
      <c r="B453" s="670"/>
      <c r="C453" s="609"/>
      <c r="D453" s="609"/>
      <c r="E453" s="671"/>
      <c r="F453" s="672"/>
      <c r="K453" s="370"/>
      <c r="L453" s="370"/>
      <c r="P453" s="208"/>
      <c r="Q453" s="370"/>
      <c r="R453" s="370"/>
    </row>
    <row r="454">
      <c r="B454" s="670"/>
      <c r="C454" s="609"/>
      <c r="D454" s="609"/>
      <c r="E454" s="671"/>
      <c r="F454" s="672"/>
      <c r="K454" s="370"/>
      <c r="L454" s="370"/>
      <c r="P454" s="208"/>
      <c r="Q454" s="370"/>
      <c r="R454" s="370"/>
    </row>
    <row r="455">
      <c r="B455" s="670"/>
      <c r="C455" s="609"/>
      <c r="D455" s="609"/>
      <c r="E455" s="671"/>
      <c r="F455" s="672"/>
      <c r="K455" s="370"/>
      <c r="L455" s="370"/>
      <c r="P455" s="208"/>
      <c r="Q455" s="370"/>
      <c r="R455" s="370"/>
    </row>
    <row r="456">
      <c r="B456" s="670"/>
      <c r="C456" s="609"/>
      <c r="D456" s="609"/>
      <c r="E456" s="671"/>
      <c r="F456" s="672"/>
      <c r="K456" s="370"/>
      <c r="L456" s="370"/>
      <c r="P456" s="208"/>
      <c r="Q456" s="370"/>
      <c r="R456" s="370"/>
    </row>
    <row r="457">
      <c r="B457" s="670"/>
      <c r="C457" s="609"/>
      <c r="D457" s="609"/>
      <c r="E457" s="671"/>
      <c r="F457" s="672"/>
      <c r="K457" s="370"/>
      <c r="L457" s="370"/>
      <c r="P457" s="208"/>
      <c r="Q457" s="370"/>
      <c r="R457" s="370"/>
    </row>
    <row r="458">
      <c r="B458" s="670"/>
      <c r="C458" s="609"/>
      <c r="D458" s="609"/>
      <c r="E458" s="671"/>
      <c r="F458" s="672"/>
      <c r="K458" s="370"/>
      <c r="L458" s="370"/>
      <c r="P458" s="208"/>
      <c r="Q458" s="370"/>
      <c r="R458" s="370"/>
    </row>
    <row r="459">
      <c r="B459" s="670"/>
      <c r="C459" s="609"/>
      <c r="D459" s="609"/>
      <c r="E459" s="671"/>
      <c r="F459" s="672"/>
      <c r="K459" s="370"/>
      <c r="L459" s="370"/>
      <c r="P459" s="208"/>
      <c r="Q459" s="370"/>
      <c r="R459" s="370"/>
    </row>
    <row r="460">
      <c r="B460" s="670"/>
      <c r="C460" s="609"/>
      <c r="D460" s="609"/>
      <c r="E460" s="671"/>
      <c r="F460" s="672"/>
      <c r="K460" s="370"/>
      <c r="L460" s="370"/>
      <c r="P460" s="208"/>
      <c r="Q460" s="370"/>
      <c r="R460" s="370"/>
    </row>
    <row r="461">
      <c r="B461" s="670"/>
      <c r="C461" s="609"/>
      <c r="D461" s="609"/>
      <c r="E461" s="671"/>
      <c r="F461" s="672"/>
      <c r="K461" s="370"/>
      <c r="L461" s="370"/>
      <c r="P461" s="208"/>
      <c r="Q461" s="370"/>
      <c r="R461" s="370"/>
    </row>
    <row r="462">
      <c r="B462" s="670"/>
      <c r="C462" s="609"/>
      <c r="D462" s="609"/>
      <c r="E462" s="671"/>
      <c r="F462" s="672"/>
      <c r="K462" s="370"/>
      <c r="L462" s="370"/>
      <c r="P462" s="208"/>
      <c r="Q462" s="370"/>
      <c r="R462" s="370"/>
    </row>
    <row r="463">
      <c r="B463" s="670"/>
      <c r="C463" s="609"/>
      <c r="D463" s="609"/>
      <c r="E463" s="671"/>
      <c r="F463" s="672"/>
      <c r="K463" s="370"/>
      <c r="L463" s="370"/>
      <c r="P463" s="208"/>
      <c r="Q463" s="370"/>
      <c r="R463" s="370"/>
    </row>
    <row r="464">
      <c r="B464" s="670"/>
      <c r="C464" s="609"/>
      <c r="D464" s="609"/>
      <c r="E464" s="671"/>
      <c r="F464" s="672"/>
      <c r="K464" s="370"/>
      <c r="L464" s="370"/>
      <c r="P464" s="208"/>
      <c r="Q464" s="370"/>
      <c r="R464" s="370"/>
    </row>
    <row r="465">
      <c r="B465" s="670"/>
      <c r="C465" s="609"/>
      <c r="D465" s="609"/>
      <c r="E465" s="671"/>
      <c r="F465" s="672"/>
      <c r="K465" s="370"/>
      <c r="L465" s="370"/>
      <c r="P465" s="208"/>
      <c r="Q465" s="370"/>
      <c r="R465" s="370"/>
    </row>
    <row r="466">
      <c r="B466" s="670"/>
      <c r="C466" s="609"/>
      <c r="D466" s="609"/>
      <c r="E466" s="671"/>
      <c r="F466" s="672"/>
      <c r="K466" s="370"/>
      <c r="L466" s="370"/>
      <c r="P466" s="208"/>
      <c r="Q466" s="370"/>
      <c r="R466" s="370"/>
    </row>
    <row r="467">
      <c r="B467" s="670"/>
      <c r="C467" s="609"/>
      <c r="D467" s="609"/>
      <c r="E467" s="671"/>
      <c r="F467" s="672"/>
      <c r="K467" s="370"/>
      <c r="L467" s="370"/>
      <c r="P467" s="208"/>
      <c r="Q467" s="370"/>
      <c r="R467" s="370"/>
    </row>
    <row r="468">
      <c r="B468" s="670"/>
      <c r="C468" s="609"/>
      <c r="D468" s="609"/>
      <c r="E468" s="671"/>
      <c r="F468" s="672"/>
      <c r="K468" s="370"/>
      <c r="L468" s="370"/>
      <c r="P468" s="208"/>
      <c r="Q468" s="370"/>
      <c r="R468" s="370"/>
    </row>
    <row r="469">
      <c r="B469" s="670"/>
      <c r="C469" s="609"/>
      <c r="D469" s="609"/>
      <c r="E469" s="671"/>
      <c r="F469" s="672"/>
      <c r="K469" s="370"/>
      <c r="L469" s="370"/>
      <c r="P469" s="208"/>
      <c r="Q469" s="370"/>
      <c r="R469" s="370"/>
    </row>
    <row r="470">
      <c r="B470" s="670"/>
      <c r="C470" s="609"/>
      <c r="D470" s="609"/>
      <c r="E470" s="671"/>
      <c r="F470" s="672"/>
      <c r="K470" s="370"/>
      <c r="L470" s="370"/>
      <c r="P470" s="208"/>
      <c r="Q470" s="370"/>
      <c r="R470" s="370"/>
    </row>
    <row r="471">
      <c r="B471" s="670"/>
      <c r="C471" s="609"/>
      <c r="D471" s="609"/>
      <c r="E471" s="671"/>
      <c r="F471" s="672"/>
      <c r="K471" s="370"/>
      <c r="L471" s="370"/>
      <c r="P471" s="208"/>
      <c r="Q471" s="370"/>
      <c r="R471" s="370"/>
    </row>
    <row r="472">
      <c r="B472" s="670"/>
      <c r="C472" s="609"/>
      <c r="D472" s="609"/>
      <c r="E472" s="671"/>
      <c r="F472" s="672"/>
      <c r="K472" s="370"/>
      <c r="L472" s="370"/>
      <c r="P472" s="208"/>
      <c r="Q472" s="370"/>
      <c r="R472" s="370"/>
    </row>
    <row r="473">
      <c r="B473" s="670"/>
      <c r="C473" s="609"/>
      <c r="D473" s="609"/>
      <c r="E473" s="671"/>
      <c r="F473" s="672"/>
      <c r="K473" s="370"/>
      <c r="L473" s="370"/>
      <c r="P473" s="208"/>
      <c r="Q473" s="370"/>
      <c r="R473" s="370"/>
    </row>
    <row r="474">
      <c r="B474" s="670"/>
      <c r="C474" s="609"/>
      <c r="D474" s="609"/>
      <c r="E474" s="671"/>
      <c r="F474" s="672"/>
      <c r="K474" s="370"/>
      <c r="L474" s="370"/>
      <c r="P474" s="208"/>
      <c r="Q474" s="370"/>
      <c r="R474" s="370"/>
    </row>
    <row r="475">
      <c r="B475" s="670"/>
      <c r="C475" s="609"/>
      <c r="D475" s="609"/>
      <c r="E475" s="671"/>
      <c r="F475" s="672"/>
      <c r="K475" s="370"/>
      <c r="L475" s="370"/>
      <c r="P475" s="208"/>
      <c r="Q475" s="370"/>
      <c r="R475" s="370"/>
    </row>
    <row r="476">
      <c r="B476" s="670"/>
      <c r="C476" s="609"/>
      <c r="D476" s="609"/>
      <c r="E476" s="671"/>
      <c r="F476" s="672"/>
      <c r="K476" s="370"/>
      <c r="L476" s="370"/>
      <c r="P476" s="208"/>
      <c r="Q476" s="370"/>
      <c r="R476" s="370"/>
    </row>
    <row r="477">
      <c r="B477" s="670"/>
      <c r="C477" s="609"/>
      <c r="D477" s="609"/>
      <c r="E477" s="671"/>
      <c r="F477" s="672"/>
      <c r="K477" s="370"/>
      <c r="L477" s="370"/>
      <c r="P477" s="208"/>
      <c r="Q477" s="370"/>
      <c r="R477" s="370"/>
    </row>
    <row r="478">
      <c r="B478" s="670"/>
      <c r="C478" s="609"/>
      <c r="D478" s="609"/>
      <c r="E478" s="671"/>
      <c r="F478" s="672"/>
      <c r="K478" s="370"/>
      <c r="L478" s="370"/>
      <c r="P478" s="208"/>
      <c r="Q478" s="370"/>
      <c r="R478" s="370"/>
    </row>
    <row r="479">
      <c r="B479" s="670"/>
      <c r="C479" s="609"/>
      <c r="D479" s="609"/>
      <c r="E479" s="671"/>
      <c r="F479" s="672"/>
      <c r="K479" s="370"/>
      <c r="L479" s="370"/>
      <c r="P479" s="208"/>
      <c r="Q479" s="370"/>
      <c r="R479" s="370"/>
    </row>
    <row r="480">
      <c r="B480" s="670"/>
      <c r="C480" s="609"/>
      <c r="D480" s="609"/>
      <c r="E480" s="671"/>
      <c r="F480" s="672"/>
      <c r="K480" s="370"/>
      <c r="L480" s="370"/>
      <c r="P480" s="208"/>
      <c r="Q480" s="370"/>
      <c r="R480" s="370"/>
    </row>
    <row r="481">
      <c r="B481" s="670"/>
      <c r="C481" s="609"/>
      <c r="D481" s="609"/>
      <c r="E481" s="671"/>
      <c r="F481" s="672"/>
      <c r="K481" s="370"/>
      <c r="L481" s="370"/>
      <c r="P481" s="208"/>
      <c r="Q481" s="370"/>
      <c r="R481" s="370"/>
    </row>
    <row r="482">
      <c r="B482" s="670"/>
      <c r="C482" s="609"/>
      <c r="D482" s="609"/>
      <c r="E482" s="671"/>
      <c r="F482" s="672"/>
      <c r="K482" s="370"/>
      <c r="L482" s="370"/>
      <c r="P482" s="208"/>
      <c r="Q482" s="370"/>
      <c r="R482" s="370"/>
    </row>
    <row r="483">
      <c r="B483" s="670"/>
      <c r="C483" s="609"/>
      <c r="D483" s="609"/>
      <c r="E483" s="671"/>
      <c r="F483" s="672"/>
      <c r="K483" s="370"/>
      <c r="L483" s="370"/>
      <c r="P483" s="208"/>
      <c r="Q483" s="370"/>
      <c r="R483" s="370"/>
    </row>
    <row r="484">
      <c r="B484" s="670"/>
      <c r="C484" s="609"/>
      <c r="D484" s="609"/>
      <c r="E484" s="671"/>
      <c r="F484" s="672"/>
      <c r="K484" s="370"/>
      <c r="L484" s="370"/>
      <c r="P484" s="208"/>
      <c r="Q484" s="370"/>
      <c r="R484" s="370"/>
    </row>
    <row r="485">
      <c r="B485" s="670"/>
      <c r="C485" s="609"/>
      <c r="D485" s="609"/>
      <c r="E485" s="671"/>
      <c r="F485" s="672"/>
      <c r="K485" s="370"/>
      <c r="L485" s="370"/>
      <c r="P485" s="208"/>
      <c r="Q485" s="370"/>
      <c r="R485" s="370"/>
    </row>
    <row r="486">
      <c r="B486" s="670"/>
      <c r="C486" s="609"/>
      <c r="D486" s="609"/>
      <c r="E486" s="671"/>
      <c r="F486" s="672"/>
      <c r="K486" s="370"/>
      <c r="L486" s="370"/>
      <c r="P486" s="208"/>
      <c r="Q486" s="370"/>
      <c r="R486" s="370"/>
    </row>
    <row r="487">
      <c r="B487" s="670"/>
      <c r="C487" s="609"/>
      <c r="D487" s="609"/>
      <c r="E487" s="671"/>
      <c r="F487" s="672"/>
      <c r="K487" s="370"/>
      <c r="L487" s="370"/>
      <c r="P487" s="208"/>
      <c r="Q487" s="370"/>
      <c r="R487" s="370"/>
    </row>
    <row r="488">
      <c r="B488" s="670"/>
      <c r="C488" s="609"/>
      <c r="D488" s="609"/>
      <c r="E488" s="671"/>
      <c r="F488" s="672"/>
      <c r="K488" s="370"/>
      <c r="L488" s="370"/>
      <c r="P488" s="208"/>
      <c r="Q488" s="370"/>
      <c r="R488" s="370"/>
    </row>
    <row r="489">
      <c r="B489" s="670"/>
      <c r="C489" s="609"/>
      <c r="D489" s="609"/>
      <c r="E489" s="671"/>
      <c r="F489" s="672"/>
      <c r="K489" s="370"/>
      <c r="L489" s="370"/>
      <c r="P489" s="208"/>
      <c r="Q489" s="370"/>
      <c r="R489" s="370"/>
    </row>
    <row r="490">
      <c r="B490" s="670"/>
      <c r="C490" s="609"/>
      <c r="D490" s="609"/>
      <c r="E490" s="671"/>
      <c r="F490" s="672"/>
      <c r="K490" s="370"/>
      <c r="L490" s="370"/>
      <c r="P490" s="208"/>
      <c r="Q490" s="370"/>
      <c r="R490" s="370"/>
    </row>
    <row r="491">
      <c r="B491" s="670"/>
      <c r="C491" s="609"/>
      <c r="D491" s="609"/>
      <c r="E491" s="671"/>
      <c r="F491" s="672"/>
      <c r="K491" s="370"/>
      <c r="L491" s="370"/>
      <c r="P491" s="208"/>
      <c r="Q491" s="370"/>
      <c r="R491" s="370"/>
    </row>
    <row r="492">
      <c r="B492" s="670"/>
      <c r="C492" s="609"/>
      <c r="D492" s="609"/>
      <c r="E492" s="671"/>
      <c r="F492" s="672"/>
      <c r="K492" s="370"/>
      <c r="L492" s="370"/>
      <c r="P492" s="208"/>
      <c r="Q492" s="370"/>
      <c r="R492" s="370"/>
    </row>
    <row r="493">
      <c r="B493" s="670"/>
      <c r="C493" s="609"/>
      <c r="D493" s="609"/>
      <c r="E493" s="671"/>
      <c r="F493" s="672"/>
      <c r="K493" s="370"/>
      <c r="L493" s="370"/>
      <c r="P493" s="208"/>
      <c r="Q493" s="370"/>
      <c r="R493" s="370"/>
    </row>
    <row r="494">
      <c r="B494" s="670"/>
      <c r="C494" s="609"/>
      <c r="D494" s="609"/>
      <c r="E494" s="671"/>
      <c r="F494" s="672"/>
      <c r="K494" s="370"/>
      <c r="L494" s="370"/>
      <c r="P494" s="208"/>
      <c r="Q494" s="370"/>
      <c r="R494" s="370"/>
    </row>
    <row r="495">
      <c r="B495" s="670"/>
      <c r="C495" s="609"/>
      <c r="D495" s="609"/>
      <c r="E495" s="671"/>
      <c r="F495" s="672"/>
      <c r="K495" s="370"/>
      <c r="L495" s="370"/>
      <c r="P495" s="208"/>
      <c r="Q495" s="370"/>
      <c r="R495" s="370"/>
    </row>
    <row r="496">
      <c r="B496" s="670"/>
      <c r="C496" s="609"/>
      <c r="D496" s="609"/>
      <c r="E496" s="671"/>
      <c r="F496" s="672"/>
      <c r="K496" s="370"/>
      <c r="L496" s="370"/>
      <c r="P496" s="208"/>
      <c r="Q496" s="370"/>
      <c r="R496" s="370"/>
    </row>
    <row r="497">
      <c r="B497" s="670"/>
      <c r="C497" s="609"/>
      <c r="D497" s="609"/>
      <c r="E497" s="671"/>
      <c r="F497" s="672"/>
      <c r="K497" s="370"/>
      <c r="L497" s="370"/>
      <c r="P497" s="208"/>
      <c r="Q497" s="370"/>
      <c r="R497" s="370"/>
    </row>
    <row r="498">
      <c r="B498" s="670"/>
      <c r="C498" s="609"/>
      <c r="D498" s="609"/>
      <c r="E498" s="671"/>
      <c r="F498" s="672"/>
      <c r="K498" s="370"/>
      <c r="L498" s="370"/>
      <c r="P498" s="208"/>
      <c r="Q498" s="370"/>
      <c r="R498" s="370"/>
    </row>
    <row r="499">
      <c r="B499" s="670"/>
      <c r="C499" s="609"/>
      <c r="D499" s="609"/>
      <c r="E499" s="671"/>
      <c r="F499" s="672"/>
      <c r="K499" s="370"/>
      <c r="L499" s="370"/>
      <c r="P499" s="208"/>
      <c r="Q499" s="370"/>
      <c r="R499" s="370"/>
    </row>
    <row r="500">
      <c r="B500" s="670"/>
      <c r="C500" s="609"/>
      <c r="D500" s="609"/>
      <c r="E500" s="671"/>
      <c r="F500" s="672"/>
      <c r="K500" s="370"/>
      <c r="L500" s="370"/>
      <c r="P500" s="208"/>
      <c r="Q500" s="370"/>
      <c r="R500" s="370"/>
    </row>
    <row r="501">
      <c r="B501" s="670"/>
      <c r="C501" s="609"/>
      <c r="D501" s="609"/>
      <c r="E501" s="671"/>
      <c r="F501" s="672"/>
      <c r="K501" s="370"/>
      <c r="L501" s="370"/>
      <c r="P501" s="208"/>
      <c r="Q501" s="370"/>
      <c r="R501" s="370"/>
    </row>
    <row r="502">
      <c r="B502" s="670"/>
      <c r="C502" s="609"/>
      <c r="D502" s="609"/>
      <c r="E502" s="671"/>
      <c r="F502" s="672"/>
      <c r="K502" s="370"/>
      <c r="L502" s="370"/>
      <c r="P502" s="208"/>
      <c r="Q502" s="370"/>
      <c r="R502" s="370"/>
    </row>
    <row r="503">
      <c r="B503" s="670"/>
      <c r="C503" s="609"/>
      <c r="D503" s="609"/>
      <c r="E503" s="671"/>
      <c r="F503" s="672"/>
      <c r="K503" s="370"/>
      <c r="L503" s="370"/>
      <c r="P503" s="208"/>
      <c r="Q503" s="370"/>
      <c r="R503" s="370"/>
    </row>
    <row r="504">
      <c r="B504" s="670"/>
      <c r="C504" s="609"/>
      <c r="D504" s="609"/>
      <c r="E504" s="671"/>
      <c r="F504" s="672"/>
      <c r="K504" s="370"/>
      <c r="L504" s="370"/>
      <c r="P504" s="208"/>
      <c r="Q504" s="370"/>
      <c r="R504" s="370"/>
    </row>
    <row r="505">
      <c r="B505" s="670"/>
      <c r="C505" s="609"/>
      <c r="D505" s="609"/>
      <c r="E505" s="671"/>
      <c r="F505" s="672"/>
      <c r="K505" s="370"/>
      <c r="L505" s="370"/>
      <c r="P505" s="208"/>
      <c r="Q505" s="370"/>
      <c r="R505" s="370"/>
    </row>
    <row r="506">
      <c r="B506" s="670"/>
      <c r="C506" s="609"/>
      <c r="D506" s="609"/>
      <c r="E506" s="671"/>
      <c r="F506" s="672"/>
      <c r="K506" s="370"/>
      <c r="L506" s="370"/>
      <c r="P506" s="208"/>
      <c r="Q506" s="370"/>
      <c r="R506" s="370"/>
    </row>
    <row r="507">
      <c r="B507" s="670"/>
      <c r="C507" s="609"/>
      <c r="D507" s="609"/>
      <c r="E507" s="671"/>
      <c r="F507" s="672"/>
      <c r="K507" s="370"/>
      <c r="L507" s="370"/>
      <c r="P507" s="208"/>
      <c r="Q507" s="370"/>
      <c r="R507" s="370"/>
    </row>
    <row r="508">
      <c r="B508" s="670"/>
      <c r="C508" s="609"/>
      <c r="D508" s="609"/>
      <c r="E508" s="671"/>
      <c r="F508" s="672"/>
      <c r="K508" s="370"/>
      <c r="L508" s="370"/>
      <c r="P508" s="208"/>
      <c r="Q508" s="370"/>
      <c r="R508" s="370"/>
    </row>
    <row r="509">
      <c r="B509" s="670"/>
      <c r="C509" s="609"/>
      <c r="D509" s="609"/>
      <c r="E509" s="671"/>
      <c r="F509" s="672"/>
      <c r="K509" s="370"/>
      <c r="L509" s="370"/>
      <c r="P509" s="208"/>
      <c r="Q509" s="370"/>
      <c r="R509" s="370"/>
    </row>
    <row r="510">
      <c r="B510" s="670"/>
      <c r="C510" s="609"/>
      <c r="D510" s="609"/>
      <c r="E510" s="671"/>
      <c r="F510" s="672"/>
      <c r="K510" s="370"/>
      <c r="L510" s="370"/>
      <c r="P510" s="208"/>
      <c r="Q510" s="370"/>
      <c r="R510" s="370"/>
    </row>
    <row r="511">
      <c r="B511" s="670"/>
      <c r="C511" s="609"/>
      <c r="D511" s="609"/>
      <c r="E511" s="671"/>
      <c r="F511" s="672"/>
      <c r="K511" s="370"/>
      <c r="L511" s="370"/>
      <c r="P511" s="208"/>
      <c r="Q511" s="370"/>
      <c r="R511" s="370"/>
    </row>
    <row r="512">
      <c r="B512" s="670"/>
      <c r="C512" s="609"/>
      <c r="D512" s="609"/>
      <c r="E512" s="671"/>
      <c r="F512" s="672"/>
      <c r="K512" s="370"/>
      <c r="L512" s="370"/>
      <c r="P512" s="208"/>
      <c r="Q512" s="370"/>
      <c r="R512" s="370"/>
    </row>
    <row r="513">
      <c r="B513" s="670"/>
      <c r="C513" s="609"/>
      <c r="D513" s="609"/>
      <c r="E513" s="671"/>
      <c r="F513" s="672"/>
      <c r="K513" s="370"/>
      <c r="L513" s="370"/>
      <c r="P513" s="208"/>
      <c r="Q513" s="370"/>
      <c r="R513" s="370"/>
    </row>
    <row r="514">
      <c r="B514" s="670"/>
      <c r="C514" s="609"/>
      <c r="D514" s="609"/>
      <c r="E514" s="671"/>
      <c r="F514" s="672"/>
      <c r="K514" s="370"/>
      <c r="L514" s="370"/>
      <c r="P514" s="208"/>
      <c r="Q514" s="370"/>
      <c r="R514" s="370"/>
    </row>
    <row r="515">
      <c r="B515" s="670"/>
      <c r="C515" s="609"/>
      <c r="D515" s="609"/>
      <c r="E515" s="671"/>
      <c r="F515" s="672"/>
      <c r="K515" s="370"/>
      <c r="L515" s="370"/>
      <c r="P515" s="208"/>
      <c r="Q515" s="370"/>
      <c r="R515" s="370"/>
    </row>
    <row r="516">
      <c r="B516" s="670"/>
      <c r="C516" s="609"/>
      <c r="D516" s="609"/>
      <c r="E516" s="671"/>
      <c r="F516" s="672"/>
      <c r="K516" s="370"/>
      <c r="L516" s="370"/>
      <c r="P516" s="208"/>
      <c r="Q516" s="370"/>
      <c r="R516" s="370"/>
    </row>
    <row r="517">
      <c r="B517" s="670"/>
      <c r="C517" s="609"/>
      <c r="D517" s="609"/>
      <c r="E517" s="671"/>
      <c r="F517" s="672"/>
      <c r="K517" s="370"/>
      <c r="L517" s="370"/>
      <c r="P517" s="208"/>
      <c r="Q517" s="370"/>
      <c r="R517" s="370"/>
    </row>
    <row r="518">
      <c r="B518" s="670"/>
      <c r="C518" s="609"/>
      <c r="D518" s="609"/>
      <c r="E518" s="671"/>
      <c r="F518" s="672"/>
      <c r="K518" s="370"/>
      <c r="L518" s="370"/>
      <c r="P518" s="208"/>
      <c r="Q518" s="370"/>
      <c r="R518" s="370"/>
    </row>
    <row r="519">
      <c r="B519" s="670"/>
      <c r="C519" s="609"/>
      <c r="D519" s="609"/>
      <c r="E519" s="671"/>
      <c r="F519" s="672"/>
      <c r="K519" s="370"/>
      <c r="L519" s="370"/>
      <c r="P519" s="208"/>
      <c r="Q519" s="370"/>
      <c r="R519" s="370"/>
    </row>
    <row r="520">
      <c r="B520" s="670"/>
      <c r="C520" s="609"/>
      <c r="D520" s="609"/>
      <c r="E520" s="671"/>
      <c r="F520" s="672"/>
      <c r="K520" s="370"/>
      <c r="L520" s="370"/>
      <c r="P520" s="208"/>
      <c r="Q520" s="370"/>
      <c r="R520" s="370"/>
    </row>
    <row r="521">
      <c r="B521" s="670"/>
      <c r="C521" s="609"/>
      <c r="D521" s="609"/>
      <c r="E521" s="671"/>
      <c r="F521" s="672"/>
      <c r="K521" s="370"/>
      <c r="L521" s="370"/>
      <c r="P521" s="208"/>
      <c r="Q521" s="370"/>
      <c r="R521" s="370"/>
    </row>
    <row r="522">
      <c r="B522" s="670"/>
      <c r="C522" s="609"/>
      <c r="D522" s="609"/>
      <c r="E522" s="671"/>
      <c r="F522" s="672"/>
      <c r="K522" s="370"/>
      <c r="L522" s="370"/>
      <c r="P522" s="208"/>
      <c r="Q522" s="370"/>
      <c r="R522" s="370"/>
    </row>
    <row r="523">
      <c r="B523" s="670"/>
      <c r="C523" s="609"/>
      <c r="D523" s="609"/>
      <c r="E523" s="671"/>
      <c r="F523" s="672"/>
      <c r="K523" s="370"/>
      <c r="L523" s="370"/>
      <c r="P523" s="208"/>
      <c r="Q523" s="370"/>
      <c r="R523" s="370"/>
    </row>
    <row r="524">
      <c r="B524" s="670"/>
      <c r="C524" s="609"/>
      <c r="D524" s="609"/>
      <c r="E524" s="671"/>
      <c r="F524" s="672"/>
      <c r="K524" s="370"/>
      <c r="L524" s="370"/>
      <c r="P524" s="208"/>
      <c r="Q524" s="370"/>
      <c r="R524" s="370"/>
    </row>
    <row r="525">
      <c r="B525" s="670"/>
      <c r="C525" s="609"/>
      <c r="D525" s="609"/>
      <c r="E525" s="671"/>
      <c r="F525" s="672"/>
      <c r="K525" s="370"/>
      <c r="L525" s="370"/>
      <c r="P525" s="208"/>
      <c r="Q525" s="370"/>
      <c r="R525" s="370"/>
    </row>
    <row r="526">
      <c r="B526" s="670"/>
      <c r="C526" s="609"/>
      <c r="D526" s="609"/>
      <c r="E526" s="671"/>
      <c r="F526" s="672"/>
      <c r="K526" s="370"/>
      <c r="L526" s="370"/>
      <c r="P526" s="208"/>
      <c r="Q526" s="370"/>
      <c r="R526" s="370"/>
    </row>
    <row r="527">
      <c r="B527" s="670"/>
      <c r="C527" s="609"/>
      <c r="D527" s="609"/>
      <c r="E527" s="671"/>
      <c r="F527" s="672"/>
      <c r="K527" s="370"/>
      <c r="L527" s="370"/>
      <c r="P527" s="208"/>
      <c r="Q527" s="370"/>
      <c r="R527" s="370"/>
    </row>
    <row r="528">
      <c r="B528" s="670"/>
      <c r="C528" s="609"/>
      <c r="D528" s="609"/>
      <c r="E528" s="671"/>
      <c r="F528" s="672"/>
      <c r="K528" s="370"/>
      <c r="L528" s="370"/>
      <c r="P528" s="208"/>
      <c r="Q528" s="370"/>
      <c r="R528" s="370"/>
    </row>
    <row r="529">
      <c r="B529" s="670"/>
      <c r="C529" s="609"/>
      <c r="D529" s="609"/>
      <c r="E529" s="671"/>
      <c r="F529" s="672"/>
      <c r="K529" s="370"/>
      <c r="L529" s="370"/>
      <c r="P529" s="208"/>
      <c r="Q529" s="370"/>
      <c r="R529" s="370"/>
    </row>
    <row r="530">
      <c r="B530" s="670"/>
      <c r="C530" s="609"/>
      <c r="D530" s="609"/>
      <c r="E530" s="671"/>
      <c r="F530" s="672"/>
      <c r="K530" s="370"/>
      <c r="L530" s="370"/>
      <c r="P530" s="208"/>
      <c r="Q530" s="370"/>
      <c r="R530" s="370"/>
    </row>
    <row r="531">
      <c r="B531" s="670"/>
      <c r="C531" s="609"/>
      <c r="D531" s="609"/>
      <c r="E531" s="671"/>
      <c r="F531" s="672"/>
      <c r="K531" s="370"/>
      <c r="L531" s="370"/>
      <c r="P531" s="208"/>
      <c r="Q531" s="370"/>
      <c r="R531" s="370"/>
    </row>
    <row r="532">
      <c r="B532" s="670"/>
      <c r="C532" s="609"/>
      <c r="D532" s="609"/>
      <c r="E532" s="671"/>
      <c r="F532" s="672"/>
      <c r="K532" s="370"/>
      <c r="L532" s="370"/>
      <c r="P532" s="208"/>
      <c r="Q532" s="370"/>
      <c r="R532" s="370"/>
    </row>
    <row r="533">
      <c r="B533" s="670"/>
      <c r="C533" s="609"/>
      <c r="D533" s="609"/>
      <c r="E533" s="671"/>
      <c r="F533" s="672"/>
      <c r="K533" s="370"/>
      <c r="L533" s="370"/>
      <c r="P533" s="208"/>
      <c r="Q533" s="370"/>
      <c r="R533" s="370"/>
    </row>
    <row r="534">
      <c r="B534" s="670"/>
      <c r="C534" s="609"/>
      <c r="D534" s="609"/>
      <c r="E534" s="671"/>
      <c r="F534" s="672"/>
      <c r="K534" s="370"/>
      <c r="L534" s="370"/>
      <c r="P534" s="208"/>
      <c r="Q534" s="370"/>
      <c r="R534" s="370"/>
    </row>
    <row r="535">
      <c r="B535" s="670"/>
      <c r="C535" s="609"/>
      <c r="D535" s="609"/>
      <c r="E535" s="671"/>
      <c r="F535" s="672"/>
      <c r="K535" s="370"/>
      <c r="L535" s="370"/>
      <c r="P535" s="208"/>
      <c r="Q535" s="370"/>
      <c r="R535" s="370"/>
    </row>
    <row r="536">
      <c r="B536" s="670"/>
      <c r="C536" s="609"/>
      <c r="D536" s="609"/>
      <c r="E536" s="671"/>
      <c r="F536" s="672"/>
      <c r="K536" s="370"/>
      <c r="L536" s="370"/>
      <c r="P536" s="208"/>
      <c r="Q536" s="370"/>
      <c r="R536" s="370"/>
    </row>
    <row r="537">
      <c r="B537" s="670"/>
      <c r="C537" s="609"/>
      <c r="D537" s="609"/>
      <c r="E537" s="671"/>
      <c r="F537" s="672"/>
      <c r="K537" s="370"/>
      <c r="L537" s="370"/>
      <c r="P537" s="208"/>
      <c r="Q537" s="370"/>
      <c r="R537" s="370"/>
    </row>
    <row r="538">
      <c r="B538" s="670"/>
      <c r="C538" s="609"/>
      <c r="D538" s="609"/>
      <c r="E538" s="671"/>
      <c r="F538" s="672"/>
      <c r="K538" s="370"/>
      <c r="L538" s="370"/>
      <c r="P538" s="208"/>
      <c r="Q538" s="370"/>
      <c r="R538" s="370"/>
    </row>
    <row r="539">
      <c r="B539" s="670"/>
      <c r="C539" s="609"/>
      <c r="D539" s="609"/>
      <c r="E539" s="671"/>
      <c r="F539" s="672"/>
      <c r="K539" s="370"/>
      <c r="L539" s="370"/>
      <c r="P539" s="208"/>
      <c r="Q539" s="370"/>
      <c r="R539" s="370"/>
    </row>
    <row r="540">
      <c r="B540" s="670"/>
      <c r="C540" s="609"/>
      <c r="D540" s="609"/>
      <c r="E540" s="671"/>
      <c r="F540" s="672"/>
      <c r="K540" s="370"/>
      <c r="L540" s="370"/>
      <c r="P540" s="208"/>
      <c r="Q540" s="370"/>
      <c r="R540" s="370"/>
    </row>
    <row r="541">
      <c r="B541" s="670"/>
      <c r="C541" s="609"/>
      <c r="D541" s="609"/>
      <c r="E541" s="671"/>
      <c r="F541" s="672"/>
      <c r="K541" s="370"/>
      <c r="L541" s="370"/>
      <c r="P541" s="208"/>
      <c r="Q541" s="370"/>
      <c r="R541" s="370"/>
    </row>
    <row r="542">
      <c r="B542" s="670"/>
      <c r="C542" s="609"/>
      <c r="D542" s="609"/>
      <c r="E542" s="671"/>
      <c r="F542" s="672"/>
      <c r="K542" s="370"/>
      <c r="L542" s="370"/>
      <c r="P542" s="208"/>
      <c r="Q542" s="370"/>
      <c r="R542" s="370"/>
    </row>
    <row r="543">
      <c r="B543" s="670"/>
      <c r="C543" s="609"/>
      <c r="D543" s="609"/>
      <c r="E543" s="671"/>
      <c r="F543" s="672"/>
      <c r="K543" s="370"/>
      <c r="L543" s="370"/>
      <c r="P543" s="208"/>
      <c r="Q543" s="370"/>
      <c r="R543" s="370"/>
    </row>
    <row r="544">
      <c r="B544" s="670"/>
      <c r="C544" s="609"/>
      <c r="D544" s="609"/>
      <c r="E544" s="671"/>
      <c r="F544" s="672"/>
      <c r="K544" s="370"/>
      <c r="L544" s="370"/>
      <c r="P544" s="208"/>
      <c r="Q544" s="370"/>
      <c r="R544" s="370"/>
    </row>
    <row r="545">
      <c r="B545" s="670"/>
      <c r="C545" s="609"/>
      <c r="D545" s="609"/>
      <c r="E545" s="671"/>
      <c r="F545" s="672"/>
      <c r="K545" s="370"/>
      <c r="L545" s="370"/>
      <c r="P545" s="208"/>
      <c r="Q545" s="370"/>
      <c r="R545" s="370"/>
    </row>
    <row r="546">
      <c r="B546" s="670"/>
      <c r="C546" s="609"/>
      <c r="D546" s="609"/>
      <c r="E546" s="671"/>
      <c r="F546" s="672"/>
      <c r="K546" s="370"/>
      <c r="L546" s="370"/>
      <c r="P546" s="208"/>
      <c r="Q546" s="370"/>
      <c r="R546" s="370"/>
    </row>
    <row r="547">
      <c r="B547" s="670"/>
      <c r="C547" s="609"/>
      <c r="D547" s="609"/>
      <c r="E547" s="671"/>
      <c r="F547" s="672"/>
      <c r="K547" s="370"/>
      <c r="L547" s="370"/>
      <c r="P547" s="208"/>
      <c r="Q547" s="370"/>
      <c r="R547" s="370"/>
    </row>
    <row r="548">
      <c r="B548" s="670"/>
      <c r="C548" s="609"/>
      <c r="D548" s="609"/>
      <c r="E548" s="671"/>
      <c r="F548" s="672"/>
      <c r="K548" s="370"/>
      <c r="L548" s="370"/>
      <c r="P548" s="208"/>
      <c r="Q548" s="370"/>
      <c r="R548" s="370"/>
    </row>
    <row r="549">
      <c r="B549" s="670"/>
      <c r="C549" s="609"/>
      <c r="D549" s="609"/>
      <c r="E549" s="671"/>
      <c r="F549" s="672"/>
      <c r="K549" s="370"/>
      <c r="L549" s="370"/>
      <c r="P549" s="208"/>
      <c r="Q549" s="370"/>
      <c r="R549" s="370"/>
    </row>
    <row r="550">
      <c r="B550" s="670"/>
      <c r="C550" s="609"/>
      <c r="D550" s="609"/>
      <c r="E550" s="671"/>
      <c r="F550" s="672"/>
      <c r="K550" s="370"/>
      <c r="L550" s="370"/>
      <c r="P550" s="208"/>
      <c r="Q550" s="370"/>
      <c r="R550" s="370"/>
    </row>
    <row r="551">
      <c r="B551" s="670"/>
      <c r="C551" s="609"/>
      <c r="D551" s="609"/>
      <c r="E551" s="671"/>
      <c r="F551" s="672"/>
      <c r="K551" s="370"/>
      <c r="L551" s="370"/>
      <c r="P551" s="208"/>
      <c r="Q551" s="370"/>
      <c r="R551" s="370"/>
    </row>
    <row r="552">
      <c r="B552" s="670"/>
      <c r="C552" s="609"/>
      <c r="D552" s="609"/>
      <c r="E552" s="671"/>
      <c r="F552" s="672"/>
      <c r="K552" s="370"/>
      <c r="L552" s="370"/>
      <c r="P552" s="208"/>
      <c r="Q552" s="370"/>
      <c r="R552" s="370"/>
    </row>
    <row r="553">
      <c r="B553" s="670"/>
      <c r="C553" s="609"/>
      <c r="D553" s="609"/>
      <c r="E553" s="671"/>
      <c r="F553" s="672"/>
      <c r="K553" s="370"/>
      <c r="L553" s="370"/>
      <c r="P553" s="208"/>
      <c r="Q553" s="370"/>
      <c r="R553" s="370"/>
    </row>
    <row r="554">
      <c r="B554" s="670"/>
      <c r="C554" s="609"/>
      <c r="D554" s="609"/>
      <c r="E554" s="671"/>
      <c r="F554" s="672"/>
      <c r="K554" s="370"/>
      <c r="L554" s="370"/>
      <c r="P554" s="208"/>
      <c r="Q554" s="370"/>
      <c r="R554" s="370"/>
    </row>
    <row r="555">
      <c r="B555" s="670"/>
      <c r="C555" s="609"/>
      <c r="D555" s="609"/>
      <c r="E555" s="671"/>
      <c r="F555" s="672"/>
      <c r="K555" s="370"/>
      <c r="L555" s="370"/>
      <c r="P555" s="208"/>
      <c r="Q555" s="370"/>
      <c r="R555" s="370"/>
    </row>
    <row r="556">
      <c r="B556" s="670"/>
      <c r="C556" s="609"/>
      <c r="D556" s="609"/>
      <c r="E556" s="671"/>
      <c r="F556" s="672"/>
      <c r="K556" s="370"/>
      <c r="L556" s="370"/>
      <c r="P556" s="208"/>
      <c r="Q556" s="370"/>
      <c r="R556" s="370"/>
    </row>
    <row r="557">
      <c r="B557" s="670"/>
      <c r="C557" s="609"/>
      <c r="D557" s="609"/>
      <c r="E557" s="671"/>
      <c r="F557" s="672"/>
      <c r="K557" s="370"/>
      <c r="L557" s="370"/>
      <c r="P557" s="208"/>
      <c r="Q557" s="370"/>
      <c r="R557" s="370"/>
    </row>
    <row r="558">
      <c r="B558" s="670"/>
      <c r="C558" s="609"/>
      <c r="D558" s="609"/>
      <c r="E558" s="671"/>
      <c r="F558" s="672"/>
      <c r="K558" s="370"/>
      <c r="L558" s="370"/>
      <c r="P558" s="208"/>
      <c r="Q558" s="370"/>
      <c r="R558" s="370"/>
    </row>
    <row r="559">
      <c r="B559" s="670"/>
      <c r="C559" s="609"/>
      <c r="D559" s="609"/>
      <c r="E559" s="671"/>
      <c r="F559" s="672"/>
      <c r="K559" s="370"/>
      <c r="L559" s="370"/>
      <c r="P559" s="208"/>
      <c r="Q559" s="370"/>
      <c r="R559" s="370"/>
    </row>
    <row r="560">
      <c r="B560" s="670"/>
      <c r="C560" s="609"/>
      <c r="D560" s="609"/>
      <c r="E560" s="671"/>
      <c r="F560" s="672"/>
      <c r="K560" s="370"/>
      <c r="L560" s="370"/>
      <c r="P560" s="208"/>
      <c r="Q560" s="370"/>
      <c r="R560" s="370"/>
    </row>
    <row r="561">
      <c r="B561" s="670"/>
      <c r="C561" s="609"/>
      <c r="D561" s="609"/>
      <c r="E561" s="671"/>
      <c r="F561" s="672"/>
      <c r="K561" s="370"/>
      <c r="L561" s="370"/>
      <c r="P561" s="208"/>
      <c r="Q561" s="370"/>
      <c r="R561" s="370"/>
    </row>
    <row r="562">
      <c r="B562" s="670"/>
      <c r="C562" s="609"/>
      <c r="D562" s="609"/>
      <c r="E562" s="671"/>
      <c r="F562" s="672"/>
      <c r="K562" s="370"/>
      <c r="L562" s="370"/>
      <c r="P562" s="208"/>
      <c r="Q562" s="370"/>
      <c r="R562" s="370"/>
    </row>
    <row r="563">
      <c r="B563" s="670"/>
      <c r="C563" s="609"/>
      <c r="D563" s="609"/>
      <c r="E563" s="671"/>
      <c r="F563" s="672"/>
      <c r="K563" s="370"/>
      <c r="L563" s="370"/>
      <c r="P563" s="208"/>
      <c r="Q563" s="370"/>
      <c r="R563" s="370"/>
    </row>
    <row r="564">
      <c r="B564" s="670"/>
      <c r="C564" s="609"/>
      <c r="D564" s="609"/>
      <c r="E564" s="671"/>
      <c r="F564" s="672"/>
      <c r="K564" s="370"/>
      <c r="L564" s="370"/>
      <c r="P564" s="208"/>
      <c r="Q564" s="370"/>
      <c r="R564" s="370"/>
    </row>
    <row r="565">
      <c r="B565" s="670"/>
      <c r="C565" s="609"/>
      <c r="D565" s="609"/>
      <c r="E565" s="671"/>
      <c r="F565" s="672"/>
      <c r="K565" s="370"/>
      <c r="L565" s="370"/>
      <c r="P565" s="208"/>
      <c r="Q565" s="370"/>
      <c r="R565" s="370"/>
    </row>
    <row r="566">
      <c r="B566" s="670"/>
      <c r="C566" s="609"/>
      <c r="D566" s="609"/>
      <c r="E566" s="671"/>
      <c r="F566" s="672"/>
      <c r="K566" s="370"/>
      <c r="L566" s="370"/>
      <c r="P566" s="208"/>
      <c r="Q566" s="370"/>
      <c r="R566" s="370"/>
    </row>
    <row r="567">
      <c r="B567" s="670"/>
      <c r="C567" s="609"/>
      <c r="D567" s="609"/>
      <c r="E567" s="671"/>
      <c r="F567" s="672"/>
      <c r="K567" s="370"/>
      <c r="L567" s="370"/>
      <c r="P567" s="208"/>
      <c r="Q567" s="370"/>
      <c r="R567" s="370"/>
    </row>
    <row r="568">
      <c r="B568" s="670"/>
      <c r="C568" s="609"/>
      <c r="D568" s="609"/>
      <c r="E568" s="671"/>
      <c r="F568" s="672"/>
      <c r="K568" s="370"/>
      <c r="L568" s="370"/>
      <c r="P568" s="208"/>
      <c r="Q568" s="370"/>
      <c r="R568" s="370"/>
    </row>
    <row r="569">
      <c r="B569" s="670"/>
      <c r="C569" s="609"/>
      <c r="D569" s="609"/>
      <c r="E569" s="671"/>
      <c r="F569" s="672"/>
      <c r="K569" s="370"/>
      <c r="L569" s="370"/>
      <c r="P569" s="208"/>
      <c r="Q569" s="370"/>
      <c r="R569" s="370"/>
    </row>
    <row r="570">
      <c r="B570" s="670"/>
      <c r="C570" s="609"/>
      <c r="D570" s="609"/>
      <c r="E570" s="671"/>
      <c r="F570" s="672"/>
      <c r="K570" s="370"/>
      <c r="L570" s="370"/>
      <c r="P570" s="208"/>
      <c r="Q570" s="370"/>
      <c r="R570" s="370"/>
    </row>
    <row r="571">
      <c r="B571" s="670"/>
      <c r="C571" s="609"/>
      <c r="D571" s="609"/>
      <c r="E571" s="671"/>
      <c r="F571" s="672"/>
      <c r="K571" s="370"/>
      <c r="L571" s="370"/>
      <c r="P571" s="208"/>
      <c r="Q571" s="370"/>
      <c r="R571" s="370"/>
    </row>
    <row r="572">
      <c r="B572" s="670"/>
      <c r="C572" s="609"/>
      <c r="D572" s="609"/>
      <c r="E572" s="671"/>
      <c r="F572" s="672"/>
      <c r="K572" s="370"/>
      <c r="L572" s="370"/>
      <c r="P572" s="208"/>
      <c r="Q572" s="370"/>
      <c r="R572" s="370"/>
    </row>
    <row r="573">
      <c r="B573" s="670"/>
      <c r="C573" s="609"/>
      <c r="D573" s="609"/>
      <c r="E573" s="671"/>
      <c r="F573" s="672"/>
      <c r="K573" s="370"/>
      <c r="L573" s="370"/>
      <c r="P573" s="208"/>
      <c r="Q573" s="370"/>
      <c r="R573" s="370"/>
    </row>
    <row r="574">
      <c r="B574" s="670"/>
      <c r="C574" s="609"/>
      <c r="D574" s="609"/>
      <c r="E574" s="671"/>
      <c r="F574" s="672"/>
      <c r="K574" s="370"/>
      <c r="L574" s="370"/>
      <c r="P574" s="208"/>
      <c r="Q574" s="370"/>
      <c r="R574" s="370"/>
    </row>
    <row r="575">
      <c r="B575" s="670"/>
      <c r="C575" s="609"/>
      <c r="D575" s="609"/>
      <c r="E575" s="671"/>
      <c r="F575" s="672"/>
      <c r="K575" s="370"/>
      <c r="L575" s="370"/>
      <c r="P575" s="208"/>
      <c r="Q575" s="370"/>
      <c r="R575" s="370"/>
    </row>
    <row r="576">
      <c r="B576" s="670"/>
      <c r="C576" s="609"/>
      <c r="D576" s="609"/>
      <c r="E576" s="671"/>
      <c r="F576" s="672"/>
      <c r="K576" s="370"/>
      <c r="L576" s="370"/>
      <c r="P576" s="208"/>
      <c r="Q576" s="370"/>
      <c r="R576" s="370"/>
    </row>
    <row r="577">
      <c r="B577" s="670"/>
      <c r="C577" s="609"/>
      <c r="D577" s="609"/>
      <c r="E577" s="671"/>
      <c r="F577" s="672"/>
      <c r="K577" s="370"/>
      <c r="L577" s="370"/>
      <c r="P577" s="208"/>
      <c r="Q577" s="370"/>
      <c r="R577" s="370"/>
    </row>
    <row r="578">
      <c r="B578" s="670"/>
      <c r="C578" s="609"/>
      <c r="D578" s="609"/>
      <c r="E578" s="671"/>
      <c r="F578" s="672"/>
      <c r="K578" s="370"/>
      <c r="L578" s="370"/>
      <c r="P578" s="208"/>
      <c r="Q578" s="370"/>
      <c r="R578" s="370"/>
    </row>
    <row r="579">
      <c r="B579" s="670"/>
      <c r="C579" s="609"/>
      <c r="D579" s="609"/>
      <c r="E579" s="671"/>
      <c r="F579" s="672"/>
      <c r="K579" s="370"/>
      <c r="L579" s="370"/>
      <c r="P579" s="208"/>
      <c r="Q579" s="370"/>
      <c r="R579" s="370"/>
    </row>
    <row r="580">
      <c r="B580" s="670"/>
      <c r="C580" s="609"/>
      <c r="D580" s="609"/>
      <c r="E580" s="671"/>
      <c r="F580" s="672"/>
      <c r="K580" s="370"/>
      <c r="L580" s="370"/>
      <c r="P580" s="208"/>
      <c r="Q580" s="370"/>
      <c r="R580" s="370"/>
    </row>
    <row r="581">
      <c r="B581" s="670"/>
      <c r="C581" s="609"/>
      <c r="D581" s="609"/>
      <c r="E581" s="671"/>
      <c r="F581" s="672"/>
      <c r="K581" s="370"/>
      <c r="L581" s="370"/>
      <c r="P581" s="208"/>
      <c r="Q581" s="370"/>
      <c r="R581" s="370"/>
    </row>
    <row r="582">
      <c r="B582" s="670"/>
      <c r="C582" s="609"/>
      <c r="D582" s="609"/>
      <c r="E582" s="671"/>
      <c r="F582" s="672"/>
      <c r="K582" s="370"/>
      <c r="L582" s="370"/>
      <c r="P582" s="208"/>
      <c r="Q582" s="370"/>
      <c r="R582" s="370"/>
    </row>
    <row r="583">
      <c r="B583" s="670"/>
      <c r="C583" s="609"/>
      <c r="D583" s="609"/>
      <c r="E583" s="671"/>
      <c r="F583" s="672"/>
      <c r="K583" s="370"/>
      <c r="L583" s="370"/>
      <c r="P583" s="208"/>
      <c r="Q583" s="370"/>
      <c r="R583" s="370"/>
    </row>
    <row r="584">
      <c r="B584" s="670"/>
      <c r="C584" s="609"/>
      <c r="D584" s="609"/>
      <c r="E584" s="671"/>
      <c r="F584" s="672"/>
      <c r="K584" s="370"/>
      <c r="L584" s="370"/>
      <c r="P584" s="208"/>
      <c r="Q584" s="370"/>
      <c r="R584" s="370"/>
    </row>
    <row r="585">
      <c r="B585" s="670"/>
      <c r="C585" s="609"/>
      <c r="D585" s="609"/>
      <c r="E585" s="671"/>
      <c r="F585" s="672"/>
      <c r="K585" s="370"/>
      <c r="L585" s="370"/>
      <c r="P585" s="208"/>
      <c r="Q585" s="370"/>
      <c r="R585" s="370"/>
    </row>
    <row r="586">
      <c r="B586" s="670"/>
      <c r="C586" s="609"/>
      <c r="D586" s="609"/>
      <c r="E586" s="671"/>
      <c r="F586" s="672"/>
      <c r="K586" s="370"/>
      <c r="L586" s="370"/>
      <c r="P586" s="208"/>
      <c r="Q586" s="370"/>
      <c r="R586" s="370"/>
    </row>
    <row r="587">
      <c r="B587" s="670"/>
      <c r="C587" s="609"/>
      <c r="D587" s="609"/>
      <c r="E587" s="671"/>
      <c r="F587" s="672"/>
      <c r="K587" s="370"/>
      <c r="L587" s="370"/>
      <c r="P587" s="208"/>
      <c r="Q587" s="370"/>
      <c r="R587" s="370"/>
    </row>
    <row r="588">
      <c r="B588" s="670"/>
      <c r="C588" s="609"/>
      <c r="D588" s="609"/>
      <c r="E588" s="671"/>
      <c r="F588" s="672"/>
      <c r="K588" s="370"/>
      <c r="L588" s="370"/>
      <c r="P588" s="208"/>
      <c r="Q588" s="370"/>
      <c r="R588" s="370"/>
    </row>
    <row r="589">
      <c r="B589" s="670"/>
      <c r="C589" s="609"/>
      <c r="D589" s="609"/>
      <c r="E589" s="671"/>
      <c r="F589" s="672"/>
      <c r="K589" s="370"/>
      <c r="L589" s="370"/>
      <c r="P589" s="208"/>
      <c r="Q589" s="370"/>
      <c r="R589" s="370"/>
    </row>
    <row r="590">
      <c r="B590" s="670"/>
      <c r="C590" s="609"/>
      <c r="D590" s="609"/>
      <c r="E590" s="671"/>
      <c r="F590" s="672"/>
      <c r="K590" s="370"/>
      <c r="L590" s="370"/>
      <c r="P590" s="208"/>
      <c r="Q590" s="370"/>
      <c r="R590" s="370"/>
    </row>
    <row r="591">
      <c r="B591" s="670"/>
      <c r="C591" s="609"/>
      <c r="D591" s="609"/>
      <c r="E591" s="671"/>
      <c r="F591" s="672"/>
      <c r="K591" s="370"/>
      <c r="L591" s="370"/>
      <c r="P591" s="208"/>
      <c r="Q591" s="370"/>
      <c r="R591" s="370"/>
    </row>
    <row r="592">
      <c r="B592" s="670"/>
      <c r="C592" s="609"/>
      <c r="D592" s="609"/>
      <c r="E592" s="671"/>
      <c r="F592" s="672"/>
      <c r="K592" s="370"/>
      <c r="L592" s="370"/>
      <c r="P592" s="208"/>
      <c r="Q592" s="370"/>
      <c r="R592" s="370"/>
    </row>
    <row r="593">
      <c r="B593" s="670"/>
      <c r="C593" s="609"/>
      <c r="D593" s="609"/>
      <c r="E593" s="671"/>
      <c r="F593" s="672"/>
      <c r="K593" s="370"/>
      <c r="L593" s="370"/>
      <c r="P593" s="208"/>
      <c r="Q593" s="370"/>
      <c r="R593" s="370"/>
    </row>
    <row r="594">
      <c r="B594" s="670"/>
      <c r="C594" s="609"/>
      <c r="D594" s="609"/>
      <c r="E594" s="671"/>
      <c r="F594" s="672"/>
      <c r="K594" s="370"/>
      <c r="L594" s="370"/>
      <c r="P594" s="208"/>
      <c r="Q594" s="370"/>
      <c r="R594" s="370"/>
    </row>
    <row r="595">
      <c r="B595" s="670"/>
      <c r="C595" s="609"/>
      <c r="D595" s="609"/>
      <c r="E595" s="671"/>
      <c r="F595" s="672"/>
      <c r="K595" s="370"/>
      <c r="L595" s="370"/>
      <c r="P595" s="208"/>
      <c r="Q595" s="370"/>
      <c r="R595" s="370"/>
    </row>
    <row r="596">
      <c r="B596" s="670"/>
      <c r="C596" s="609"/>
      <c r="D596" s="609"/>
      <c r="E596" s="671"/>
      <c r="F596" s="672"/>
      <c r="K596" s="370"/>
      <c r="L596" s="370"/>
      <c r="P596" s="208"/>
      <c r="Q596" s="370"/>
      <c r="R596" s="370"/>
    </row>
    <row r="597">
      <c r="B597" s="670"/>
      <c r="C597" s="609"/>
      <c r="D597" s="609"/>
      <c r="E597" s="671"/>
      <c r="F597" s="672"/>
      <c r="K597" s="370"/>
      <c r="L597" s="370"/>
      <c r="P597" s="208"/>
      <c r="Q597" s="370"/>
      <c r="R597" s="370"/>
    </row>
    <row r="598">
      <c r="B598" s="670"/>
      <c r="C598" s="609"/>
      <c r="D598" s="609"/>
      <c r="E598" s="671"/>
      <c r="F598" s="672"/>
      <c r="K598" s="370"/>
      <c r="L598" s="370"/>
      <c r="P598" s="208"/>
      <c r="Q598" s="370"/>
      <c r="R598" s="370"/>
    </row>
    <row r="599">
      <c r="B599" s="670"/>
      <c r="C599" s="609"/>
      <c r="D599" s="609"/>
      <c r="E599" s="671"/>
      <c r="F599" s="672"/>
      <c r="K599" s="370"/>
      <c r="L599" s="370"/>
      <c r="P599" s="208"/>
      <c r="Q599" s="370"/>
      <c r="R599" s="370"/>
    </row>
    <row r="600">
      <c r="B600" s="670"/>
      <c r="C600" s="609"/>
      <c r="D600" s="609"/>
      <c r="E600" s="671"/>
      <c r="F600" s="672"/>
      <c r="K600" s="370"/>
      <c r="L600" s="370"/>
      <c r="P600" s="208"/>
      <c r="Q600" s="370"/>
      <c r="R600" s="370"/>
    </row>
    <row r="601">
      <c r="B601" s="670"/>
      <c r="C601" s="609"/>
      <c r="D601" s="609"/>
      <c r="E601" s="671"/>
      <c r="F601" s="672"/>
      <c r="K601" s="370"/>
      <c r="L601" s="370"/>
      <c r="P601" s="208"/>
      <c r="Q601" s="370"/>
      <c r="R601" s="370"/>
    </row>
    <row r="602">
      <c r="B602" s="670"/>
      <c r="C602" s="609"/>
      <c r="D602" s="609"/>
      <c r="E602" s="671"/>
      <c r="F602" s="672"/>
      <c r="K602" s="370"/>
      <c r="L602" s="370"/>
      <c r="P602" s="208"/>
      <c r="Q602" s="370"/>
      <c r="R602" s="370"/>
    </row>
    <row r="603">
      <c r="B603" s="670"/>
      <c r="C603" s="609"/>
      <c r="D603" s="609"/>
      <c r="E603" s="671"/>
      <c r="F603" s="672"/>
      <c r="K603" s="370"/>
      <c r="L603" s="370"/>
      <c r="P603" s="208"/>
      <c r="Q603" s="370"/>
      <c r="R603" s="370"/>
    </row>
    <row r="604">
      <c r="B604" s="670"/>
      <c r="C604" s="609"/>
      <c r="D604" s="609"/>
      <c r="E604" s="671"/>
      <c r="F604" s="672"/>
      <c r="K604" s="370"/>
      <c r="L604" s="370"/>
      <c r="P604" s="208"/>
      <c r="Q604" s="370"/>
      <c r="R604" s="370"/>
    </row>
    <row r="605">
      <c r="B605" s="670"/>
      <c r="C605" s="609"/>
      <c r="D605" s="609"/>
      <c r="E605" s="671"/>
      <c r="F605" s="672"/>
      <c r="K605" s="370"/>
      <c r="L605" s="370"/>
      <c r="P605" s="208"/>
      <c r="Q605" s="370"/>
      <c r="R605" s="370"/>
    </row>
    <row r="606">
      <c r="B606" s="670"/>
      <c r="C606" s="609"/>
      <c r="D606" s="609"/>
      <c r="E606" s="671"/>
      <c r="F606" s="672"/>
      <c r="K606" s="370"/>
      <c r="L606" s="370"/>
      <c r="P606" s="208"/>
      <c r="Q606" s="370"/>
      <c r="R606" s="370"/>
    </row>
    <row r="607">
      <c r="B607" s="670"/>
      <c r="C607" s="609"/>
      <c r="D607" s="609"/>
      <c r="E607" s="671"/>
      <c r="F607" s="672"/>
      <c r="K607" s="370"/>
      <c r="L607" s="370"/>
      <c r="P607" s="208"/>
      <c r="Q607" s="370"/>
      <c r="R607" s="370"/>
    </row>
    <row r="608">
      <c r="B608" s="670"/>
      <c r="C608" s="609"/>
      <c r="D608" s="609"/>
      <c r="E608" s="671"/>
      <c r="F608" s="672"/>
      <c r="K608" s="370"/>
      <c r="L608" s="370"/>
      <c r="P608" s="208"/>
      <c r="Q608" s="370"/>
      <c r="R608" s="370"/>
    </row>
    <row r="609">
      <c r="B609" s="670"/>
      <c r="C609" s="609"/>
      <c r="D609" s="609"/>
      <c r="E609" s="671"/>
      <c r="F609" s="672"/>
      <c r="K609" s="370"/>
      <c r="L609" s="370"/>
      <c r="P609" s="208"/>
      <c r="Q609" s="370"/>
      <c r="R609" s="370"/>
    </row>
    <row r="610">
      <c r="B610" s="670"/>
      <c r="C610" s="609"/>
      <c r="D610" s="609"/>
      <c r="E610" s="671"/>
      <c r="F610" s="672"/>
      <c r="K610" s="370"/>
      <c r="L610" s="370"/>
      <c r="P610" s="208"/>
      <c r="Q610" s="370"/>
      <c r="R610" s="370"/>
    </row>
    <row r="611">
      <c r="B611" s="670"/>
      <c r="C611" s="609"/>
      <c r="D611" s="609"/>
      <c r="E611" s="671"/>
      <c r="F611" s="672"/>
      <c r="K611" s="370"/>
      <c r="L611" s="370"/>
      <c r="P611" s="208"/>
      <c r="Q611" s="370"/>
      <c r="R611" s="370"/>
    </row>
    <row r="612">
      <c r="B612" s="670"/>
      <c r="C612" s="609"/>
      <c r="D612" s="609"/>
      <c r="E612" s="671"/>
      <c r="F612" s="672"/>
      <c r="K612" s="370"/>
      <c r="L612" s="370"/>
      <c r="P612" s="208"/>
      <c r="Q612" s="370"/>
      <c r="R612" s="370"/>
    </row>
    <row r="613">
      <c r="B613" s="670"/>
      <c r="C613" s="609"/>
      <c r="D613" s="609"/>
      <c r="E613" s="671"/>
      <c r="F613" s="672"/>
      <c r="K613" s="370"/>
      <c r="L613" s="370"/>
      <c r="P613" s="208"/>
      <c r="Q613" s="370"/>
      <c r="R613" s="370"/>
    </row>
    <row r="614">
      <c r="B614" s="670"/>
      <c r="C614" s="609"/>
      <c r="D614" s="609"/>
      <c r="E614" s="671"/>
      <c r="F614" s="672"/>
      <c r="K614" s="370"/>
      <c r="L614" s="370"/>
      <c r="P614" s="208"/>
      <c r="Q614" s="370"/>
      <c r="R614" s="370"/>
    </row>
    <row r="615">
      <c r="B615" s="670"/>
      <c r="C615" s="609"/>
      <c r="D615" s="609"/>
      <c r="E615" s="671"/>
      <c r="F615" s="672"/>
      <c r="K615" s="370"/>
      <c r="L615" s="370"/>
      <c r="P615" s="208"/>
      <c r="Q615" s="370"/>
      <c r="R615" s="370"/>
    </row>
    <row r="616">
      <c r="B616" s="670"/>
      <c r="C616" s="609"/>
      <c r="D616" s="609"/>
      <c r="E616" s="671"/>
      <c r="F616" s="672"/>
      <c r="K616" s="370"/>
      <c r="L616" s="370"/>
      <c r="P616" s="208"/>
      <c r="Q616" s="370"/>
      <c r="R616" s="370"/>
    </row>
    <row r="617">
      <c r="B617" s="670"/>
      <c r="C617" s="609"/>
      <c r="D617" s="609"/>
      <c r="E617" s="671"/>
      <c r="F617" s="672"/>
      <c r="K617" s="370"/>
      <c r="L617" s="370"/>
      <c r="P617" s="208"/>
      <c r="Q617" s="370"/>
      <c r="R617" s="370"/>
    </row>
    <row r="618">
      <c r="B618" s="670"/>
      <c r="C618" s="609"/>
      <c r="D618" s="609"/>
      <c r="E618" s="671"/>
      <c r="F618" s="672"/>
      <c r="K618" s="370"/>
      <c r="L618" s="370"/>
      <c r="P618" s="208"/>
      <c r="Q618" s="370"/>
      <c r="R618" s="370"/>
    </row>
    <row r="619">
      <c r="B619" s="670"/>
      <c r="C619" s="609"/>
      <c r="D619" s="609"/>
      <c r="E619" s="671"/>
      <c r="F619" s="672"/>
      <c r="K619" s="370"/>
      <c r="L619" s="370"/>
      <c r="P619" s="208"/>
      <c r="Q619" s="370"/>
      <c r="R619" s="370"/>
    </row>
    <row r="620">
      <c r="B620" s="670"/>
      <c r="C620" s="609"/>
      <c r="D620" s="609"/>
      <c r="E620" s="671"/>
      <c r="F620" s="672"/>
      <c r="K620" s="370"/>
      <c r="L620" s="370"/>
      <c r="P620" s="208"/>
      <c r="Q620" s="370"/>
      <c r="R620" s="370"/>
    </row>
    <row r="621">
      <c r="B621" s="670"/>
      <c r="C621" s="609"/>
      <c r="D621" s="609"/>
      <c r="E621" s="671"/>
      <c r="F621" s="672"/>
      <c r="K621" s="370"/>
      <c r="L621" s="370"/>
      <c r="P621" s="208"/>
      <c r="Q621" s="370"/>
      <c r="R621" s="370"/>
    </row>
    <row r="622">
      <c r="B622" s="670"/>
      <c r="C622" s="609"/>
      <c r="D622" s="609"/>
      <c r="E622" s="671"/>
      <c r="F622" s="672"/>
      <c r="K622" s="370"/>
      <c r="L622" s="370"/>
      <c r="P622" s="208"/>
      <c r="Q622" s="370"/>
      <c r="R622" s="370"/>
    </row>
    <row r="623">
      <c r="B623" s="670"/>
      <c r="C623" s="609"/>
      <c r="D623" s="609"/>
      <c r="E623" s="671"/>
      <c r="F623" s="672"/>
      <c r="K623" s="370"/>
      <c r="L623" s="370"/>
      <c r="P623" s="208"/>
      <c r="Q623" s="370"/>
      <c r="R623" s="370"/>
    </row>
    <row r="624">
      <c r="B624" s="670"/>
      <c r="C624" s="609"/>
      <c r="D624" s="609"/>
      <c r="E624" s="671"/>
      <c r="F624" s="672"/>
      <c r="K624" s="370"/>
      <c r="L624" s="370"/>
      <c r="P624" s="208"/>
      <c r="Q624" s="370"/>
      <c r="R624" s="370"/>
    </row>
    <row r="625">
      <c r="B625" s="670"/>
      <c r="C625" s="609"/>
      <c r="D625" s="609"/>
      <c r="E625" s="671"/>
      <c r="F625" s="672"/>
      <c r="K625" s="370"/>
      <c r="L625" s="370"/>
      <c r="P625" s="208"/>
      <c r="Q625" s="370"/>
      <c r="R625" s="370"/>
    </row>
    <row r="626">
      <c r="B626" s="670"/>
      <c r="C626" s="609"/>
      <c r="D626" s="609"/>
      <c r="E626" s="671"/>
      <c r="F626" s="672"/>
      <c r="K626" s="370"/>
      <c r="L626" s="370"/>
      <c r="P626" s="208"/>
      <c r="Q626" s="370"/>
      <c r="R626" s="370"/>
    </row>
    <row r="627">
      <c r="B627" s="670"/>
      <c r="C627" s="609"/>
      <c r="D627" s="609"/>
      <c r="E627" s="671"/>
      <c r="F627" s="672"/>
      <c r="K627" s="370"/>
      <c r="L627" s="370"/>
      <c r="P627" s="208"/>
      <c r="Q627" s="370"/>
      <c r="R627" s="370"/>
    </row>
    <row r="628">
      <c r="B628" s="670"/>
      <c r="C628" s="609"/>
      <c r="D628" s="609"/>
      <c r="E628" s="671"/>
      <c r="F628" s="672"/>
      <c r="K628" s="370"/>
      <c r="L628" s="370"/>
      <c r="P628" s="208"/>
      <c r="Q628" s="370"/>
      <c r="R628" s="370"/>
    </row>
    <row r="629">
      <c r="B629" s="670"/>
      <c r="C629" s="609"/>
      <c r="D629" s="609"/>
      <c r="E629" s="671"/>
      <c r="F629" s="672"/>
      <c r="K629" s="370"/>
      <c r="L629" s="370"/>
      <c r="P629" s="208"/>
      <c r="Q629" s="370"/>
      <c r="R629" s="370"/>
    </row>
    <row r="630">
      <c r="B630" s="670"/>
      <c r="C630" s="609"/>
      <c r="D630" s="609"/>
      <c r="E630" s="671"/>
      <c r="F630" s="672"/>
      <c r="K630" s="370"/>
      <c r="L630" s="370"/>
      <c r="P630" s="208"/>
      <c r="Q630" s="370"/>
      <c r="R630" s="370"/>
    </row>
    <row r="631">
      <c r="B631" s="670"/>
      <c r="C631" s="609"/>
      <c r="D631" s="609"/>
      <c r="E631" s="671"/>
      <c r="F631" s="672"/>
      <c r="K631" s="370"/>
      <c r="L631" s="370"/>
      <c r="P631" s="208"/>
      <c r="Q631" s="370"/>
      <c r="R631" s="370"/>
    </row>
    <row r="632">
      <c r="B632" s="670"/>
      <c r="C632" s="609"/>
      <c r="D632" s="609"/>
      <c r="E632" s="671"/>
      <c r="F632" s="672"/>
      <c r="K632" s="370"/>
      <c r="L632" s="370"/>
      <c r="P632" s="208"/>
      <c r="Q632" s="370"/>
      <c r="R632" s="370"/>
    </row>
    <row r="633">
      <c r="B633" s="670"/>
      <c r="C633" s="609"/>
      <c r="D633" s="609"/>
      <c r="E633" s="671"/>
      <c r="F633" s="672"/>
      <c r="K633" s="370"/>
      <c r="L633" s="370"/>
      <c r="P633" s="208"/>
      <c r="Q633" s="370"/>
      <c r="R633" s="370"/>
    </row>
    <row r="634">
      <c r="B634" s="670"/>
      <c r="C634" s="609"/>
      <c r="D634" s="609"/>
      <c r="E634" s="671"/>
      <c r="F634" s="672"/>
      <c r="K634" s="370"/>
      <c r="L634" s="370"/>
      <c r="P634" s="208"/>
      <c r="Q634" s="370"/>
      <c r="R634" s="370"/>
    </row>
    <row r="635">
      <c r="B635" s="670"/>
      <c r="C635" s="609"/>
      <c r="D635" s="609"/>
      <c r="E635" s="671"/>
      <c r="F635" s="672"/>
      <c r="K635" s="370"/>
      <c r="L635" s="370"/>
      <c r="P635" s="208"/>
      <c r="Q635" s="370"/>
      <c r="R635" s="370"/>
    </row>
    <row r="636">
      <c r="B636" s="670"/>
      <c r="C636" s="609"/>
      <c r="D636" s="609"/>
      <c r="E636" s="671"/>
      <c r="F636" s="672"/>
      <c r="K636" s="370"/>
      <c r="L636" s="370"/>
      <c r="P636" s="208"/>
      <c r="Q636" s="370"/>
      <c r="R636" s="370"/>
    </row>
    <row r="637">
      <c r="B637" s="670"/>
      <c r="C637" s="609"/>
      <c r="D637" s="609"/>
      <c r="E637" s="671"/>
      <c r="F637" s="672"/>
      <c r="K637" s="370"/>
      <c r="L637" s="370"/>
      <c r="P637" s="208"/>
      <c r="Q637" s="370"/>
      <c r="R637" s="370"/>
    </row>
    <row r="638">
      <c r="B638" s="670"/>
      <c r="C638" s="609"/>
      <c r="D638" s="609"/>
      <c r="E638" s="671"/>
      <c r="F638" s="672"/>
      <c r="K638" s="370"/>
      <c r="L638" s="370"/>
      <c r="P638" s="208"/>
      <c r="Q638" s="370"/>
      <c r="R638" s="370"/>
    </row>
    <row r="639">
      <c r="B639" s="670"/>
      <c r="C639" s="609"/>
      <c r="D639" s="609"/>
      <c r="E639" s="671"/>
      <c r="F639" s="672"/>
      <c r="K639" s="370"/>
      <c r="L639" s="370"/>
      <c r="P639" s="208"/>
      <c r="Q639" s="370"/>
      <c r="R639" s="370"/>
    </row>
    <row r="640">
      <c r="B640" s="670"/>
      <c r="C640" s="609"/>
      <c r="D640" s="609"/>
      <c r="E640" s="671"/>
      <c r="F640" s="672"/>
      <c r="K640" s="370"/>
      <c r="L640" s="370"/>
      <c r="P640" s="208"/>
      <c r="Q640" s="370"/>
      <c r="R640" s="370"/>
    </row>
    <row r="641">
      <c r="B641" s="670"/>
      <c r="C641" s="609"/>
      <c r="D641" s="609"/>
      <c r="E641" s="671"/>
      <c r="F641" s="672"/>
      <c r="K641" s="370"/>
      <c r="L641" s="370"/>
      <c r="P641" s="208"/>
      <c r="Q641" s="370"/>
      <c r="R641" s="370"/>
    </row>
    <row r="642">
      <c r="B642" s="670"/>
      <c r="C642" s="609"/>
      <c r="D642" s="609"/>
      <c r="E642" s="671"/>
      <c r="F642" s="672"/>
      <c r="K642" s="370"/>
      <c r="L642" s="370"/>
      <c r="P642" s="208"/>
      <c r="Q642" s="370"/>
      <c r="R642" s="370"/>
    </row>
    <row r="643">
      <c r="B643" s="670"/>
      <c r="C643" s="609"/>
      <c r="D643" s="609"/>
      <c r="E643" s="671"/>
      <c r="F643" s="672"/>
      <c r="K643" s="370"/>
      <c r="L643" s="370"/>
      <c r="P643" s="208"/>
      <c r="Q643" s="370"/>
      <c r="R643" s="370"/>
    </row>
    <row r="644">
      <c r="B644" s="670"/>
      <c r="C644" s="609"/>
      <c r="D644" s="609"/>
      <c r="E644" s="671"/>
      <c r="F644" s="672"/>
      <c r="K644" s="370"/>
      <c r="L644" s="370"/>
      <c r="P644" s="208"/>
      <c r="Q644" s="370"/>
      <c r="R644" s="370"/>
    </row>
    <row r="645">
      <c r="B645" s="670"/>
      <c r="C645" s="609"/>
      <c r="D645" s="609"/>
      <c r="E645" s="671"/>
      <c r="F645" s="672"/>
      <c r="K645" s="370"/>
      <c r="L645" s="370"/>
      <c r="P645" s="208"/>
      <c r="Q645" s="370"/>
      <c r="R645" s="370"/>
    </row>
    <row r="646">
      <c r="B646" s="670"/>
      <c r="C646" s="609"/>
      <c r="D646" s="609"/>
      <c r="E646" s="671"/>
      <c r="F646" s="672"/>
      <c r="K646" s="370"/>
      <c r="L646" s="370"/>
      <c r="P646" s="208"/>
      <c r="Q646" s="370"/>
      <c r="R646" s="370"/>
    </row>
    <row r="647">
      <c r="B647" s="670"/>
      <c r="C647" s="609"/>
      <c r="D647" s="609"/>
      <c r="E647" s="671"/>
      <c r="F647" s="672"/>
      <c r="K647" s="370"/>
      <c r="L647" s="370"/>
      <c r="P647" s="208"/>
      <c r="Q647" s="370"/>
      <c r="R647" s="370"/>
    </row>
    <row r="648">
      <c r="B648" s="670"/>
      <c r="C648" s="609"/>
      <c r="D648" s="609"/>
      <c r="E648" s="671"/>
      <c r="F648" s="672"/>
      <c r="K648" s="370"/>
      <c r="L648" s="370"/>
      <c r="P648" s="208"/>
      <c r="Q648" s="370"/>
      <c r="R648" s="370"/>
    </row>
    <row r="649">
      <c r="B649" s="670"/>
      <c r="C649" s="609"/>
      <c r="D649" s="609"/>
      <c r="E649" s="671"/>
      <c r="F649" s="672"/>
      <c r="K649" s="370"/>
      <c r="L649" s="370"/>
      <c r="P649" s="208"/>
      <c r="Q649" s="370"/>
      <c r="R649" s="370"/>
    </row>
    <row r="650">
      <c r="B650" s="670"/>
      <c r="C650" s="609"/>
      <c r="D650" s="609"/>
      <c r="E650" s="671"/>
      <c r="F650" s="672"/>
      <c r="K650" s="370"/>
      <c r="L650" s="370"/>
      <c r="P650" s="208"/>
      <c r="Q650" s="370"/>
      <c r="R650" s="370"/>
    </row>
    <row r="651">
      <c r="B651" s="670"/>
      <c r="C651" s="609"/>
      <c r="D651" s="609"/>
      <c r="E651" s="671"/>
      <c r="F651" s="672"/>
      <c r="K651" s="370"/>
      <c r="L651" s="370"/>
      <c r="P651" s="208"/>
      <c r="Q651" s="370"/>
      <c r="R651" s="370"/>
    </row>
    <row r="652">
      <c r="B652" s="670"/>
      <c r="C652" s="609"/>
      <c r="D652" s="609"/>
      <c r="E652" s="671"/>
      <c r="F652" s="672"/>
      <c r="K652" s="370"/>
      <c r="L652" s="370"/>
      <c r="P652" s="208"/>
      <c r="Q652" s="370"/>
      <c r="R652" s="370"/>
    </row>
    <row r="653">
      <c r="B653" s="670"/>
      <c r="C653" s="609"/>
      <c r="D653" s="609"/>
      <c r="E653" s="671"/>
      <c r="F653" s="672"/>
      <c r="K653" s="370"/>
      <c r="L653" s="370"/>
      <c r="P653" s="208"/>
      <c r="Q653" s="370"/>
      <c r="R653" s="370"/>
    </row>
    <row r="654">
      <c r="B654" s="670"/>
      <c r="C654" s="609"/>
      <c r="D654" s="609"/>
      <c r="E654" s="671"/>
      <c r="F654" s="672"/>
      <c r="K654" s="370"/>
      <c r="L654" s="370"/>
      <c r="P654" s="208"/>
      <c r="Q654" s="370"/>
      <c r="R654" s="370"/>
    </row>
    <row r="655">
      <c r="B655" s="670"/>
      <c r="C655" s="609"/>
      <c r="D655" s="609"/>
      <c r="E655" s="671"/>
      <c r="F655" s="672"/>
      <c r="K655" s="370"/>
      <c r="L655" s="370"/>
      <c r="P655" s="208"/>
      <c r="Q655" s="370"/>
      <c r="R655" s="370"/>
    </row>
    <row r="656">
      <c r="B656" s="670"/>
      <c r="C656" s="609"/>
      <c r="D656" s="609"/>
      <c r="E656" s="671"/>
      <c r="F656" s="672"/>
      <c r="K656" s="370"/>
      <c r="L656" s="370"/>
      <c r="P656" s="208"/>
      <c r="Q656" s="370"/>
      <c r="R656" s="370"/>
    </row>
    <row r="657">
      <c r="B657" s="670"/>
      <c r="C657" s="609"/>
      <c r="D657" s="609"/>
      <c r="E657" s="671"/>
      <c r="F657" s="672"/>
      <c r="K657" s="370"/>
      <c r="L657" s="370"/>
      <c r="P657" s="208"/>
      <c r="Q657" s="370"/>
      <c r="R657" s="370"/>
    </row>
    <row r="658">
      <c r="B658" s="670"/>
      <c r="C658" s="609"/>
      <c r="D658" s="609"/>
      <c r="E658" s="671"/>
      <c r="F658" s="672"/>
      <c r="K658" s="370"/>
      <c r="L658" s="370"/>
      <c r="P658" s="208"/>
      <c r="Q658" s="370"/>
      <c r="R658" s="370"/>
    </row>
    <row r="659">
      <c r="B659" s="670"/>
      <c r="C659" s="609"/>
      <c r="D659" s="609"/>
      <c r="E659" s="671"/>
      <c r="F659" s="672"/>
      <c r="K659" s="370"/>
      <c r="L659" s="370"/>
      <c r="P659" s="208"/>
      <c r="Q659" s="370"/>
      <c r="R659" s="370"/>
    </row>
    <row r="660">
      <c r="B660" s="670"/>
      <c r="C660" s="609"/>
      <c r="D660" s="609"/>
      <c r="E660" s="671"/>
      <c r="F660" s="672"/>
      <c r="K660" s="370"/>
      <c r="L660" s="370"/>
      <c r="P660" s="208"/>
      <c r="Q660" s="370"/>
      <c r="R660" s="370"/>
    </row>
    <row r="661">
      <c r="B661" s="670"/>
      <c r="C661" s="609"/>
      <c r="D661" s="609"/>
      <c r="E661" s="671"/>
      <c r="F661" s="672"/>
      <c r="K661" s="370"/>
      <c r="L661" s="370"/>
      <c r="P661" s="208"/>
      <c r="Q661" s="370"/>
      <c r="R661" s="370"/>
    </row>
    <row r="662">
      <c r="B662" s="670"/>
      <c r="C662" s="609"/>
      <c r="D662" s="609"/>
      <c r="E662" s="671"/>
      <c r="F662" s="672"/>
      <c r="K662" s="370"/>
      <c r="L662" s="370"/>
      <c r="P662" s="208"/>
      <c r="Q662" s="370"/>
      <c r="R662" s="370"/>
    </row>
    <row r="663">
      <c r="B663" s="670"/>
      <c r="C663" s="609"/>
      <c r="D663" s="609"/>
      <c r="E663" s="671"/>
      <c r="F663" s="672"/>
      <c r="K663" s="370"/>
      <c r="L663" s="370"/>
      <c r="P663" s="208"/>
      <c r="Q663" s="370"/>
      <c r="R663" s="370"/>
    </row>
    <row r="664">
      <c r="B664" s="670"/>
      <c r="C664" s="609"/>
      <c r="D664" s="609"/>
      <c r="E664" s="671"/>
      <c r="F664" s="672"/>
      <c r="K664" s="370"/>
      <c r="L664" s="370"/>
      <c r="P664" s="208"/>
      <c r="Q664" s="370"/>
      <c r="R664" s="370"/>
    </row>
    <row r="665">
      <c r="B665" s="670"/>
      <c r="C665" s="609"/>
      <c r="D665" s="609"/>
      <c r="E665" s="671"/>
      <c r="F665" s="672"/>
      <c r="K665" s="370"/>
      <c r="L665" s="370"/>
      <c r="P665" s="208"/>
      <c r="Q665" s="370"/>
      <c r="R665" s="370"/>
    </row>
    <row r="666">
      <c r="B666" s="670"/>
      <c r="C666" s="609"/>
      <c r="D666" s="609"/>
      <c r="E666" s="671"/>
      <c r="F666" s="672"/>
      <c r="K666" s="370"/>
      <c r="L666" s="370"/>
      <c r="P666" s="208"/>
      <c r="Q666" s="370"/>
      <c r="R666" s="370"/>
    </row>
    <row r="667">
      <c r="B667" s="670"/>
      <c r="C667" s="609"/>
      <c r="D667" s="609"/>
      <c r="E667" s="671"/>
      <c r="F667" s="672"/>
      <c r="K667" s="370"/>
      <c r="L667" s="370"/>
      <c r="P667" s="208"/>
      <c r="Q667" s="370"/>
      <c r="R667" s="370"/>
    </row>
    <row r="668">
      <c r="B668" s="670"/>
      <c r="C668" s="609"/>
      <c r="D668" s="609"/>
      <c r="E668" s="671"/>
      <c r="F668" s="672"/>
      <c r="K668" s="370"/>
      <c r="L668" s="370"/>
      <c r="P668" s="208"/>
      <c r="Q668" s="370"/>
      <c r="R668" s="370"/>
    </row>
    <row r="669">
      <c r="B669" s="670"/>
      <c r="C669" s="609"/>
      <c r="D669" s="609"/>
      <c r="E669" s="671"/>
      <c r="F669" s="672"/>
      <c r="K669" s="370"/>
      <c r="L669" s="370"/>
      <c r="P669" s="208"/>
      <c r="Q669" s="370"/>
      <c r="R669" s="370"/>
    </row>
    <row r="670">
      <c r="B670" s="670"/>
      <c r="C670" s="609"/>
      <c r="D670" s="609"/>
      <c r="E670" s="671"/>
      <c r="F670" s="672"/>
      <c r="K670" s="370"/>
      <c r="L670" s="370"/>
      <c r="P670" s="208"/>
      <c r="Q670" s="370"/>
      <c r="R670" s="370"/>
    </row>
    <row r="671">
      <c r="B671" s="670"/>
      <c r="C671" s="609"/>
      <c r="D671" s="609"/>
      <c r="E671" s="671"/>
      <c r="F671" s="672"/>
      <c r="K671" s="370"/>
      <c r="L671" s="370"/>
      <c r="P671" s="208"/>
      <c r="Q671" s="370"/>
      <c r="R671" s="370"/>
    </row>
    <row r="672">
      <c r="B672" s="670"/>
      <c r="C672" s="609"/>
      <c r="D672" s="609"/>
      <c r="E672" s="671"/>
      <c r="F672" s="672"/>
      <c r="K672" s="370"/>
      <c r="L672" s="370"/>
      <c r="P672" s="208"/>
      <c r="Q672" s="370"/>
      <c r="R672" s="370"/>
    </row>
    <row r="673">
      <c r="B673" s="670"/>
      <c r="C673" s="609"/>
      <c r="D673" s="609"/>
      <c r="E673" s="671"/>
      <c r="F673" s="672"/>
      <c r="K673" s="370"/>
      <c r="L673" s="370"/>
      <c r="P673" s="208"/>
      <c r="Q673" s="370"/>
      <c r="R673" s="370"/>
    </row>
    <row r="674">
      <c r="B674" s="670"/>
      <c r="C674" s="609"/>
      <c r="D674" s="609"/>
      <c r="E674" s="671"/>
      <c r="F674" s="672"/>
      <c r="K674" s="370"/>
      <c r="L674" s="370"/>
      <c r="P674" s="208"/>
      <c r="Q674" s="370"/>
      <c r="R674" s="370"/>
    </row>
    <row r="675">
      <c r="B675" s="670"/>
      <c r="C675" s="609"/>
      <c r="D675" s="609"/>
      <c r="E675" s="671"/>
      <c r="F675" s="672"/>
      <c r="K675" s="370"/>
      <c r="L675" s="370"/>
      <c r="P675" s="208"/>
      <c r="Q675" s="370"/>
      <c r="R675" s="370"/>
    </row>
    <row r="676">
      <c r="B676" s="670"/>
      <c r="C676" s="609"/>
      <c r="D676" s="609"/>
      <c r="E676" s="671"/>
      <c r="F676" s="672"/>
      <c r="K676" s="370"/>
      <c r="L676" s="370"/>
      <c r="P676" s="208"/>
      <c r="Q676" s="370"/>
      <c r="R676" s="370"/>
    </row>
    <row r="677">
      <c r="B677" s="670"/>
      <c r="C677" s="609"/>
      <c r="D677" s="609"/>
      <c r="E677" s="671"/>
      <c r="F677" s="672"/>
      <c r="K677" s="370"/>
      <c r="L677" s="370"/>
      <c r="P677" s="208"/>
      <c r="Q677" s="370"/>
      <c r="R677" s="370"/>
    </row>
    <row r="678">
      <c r="B678" s="670"/>
      <c r="C678" s="609"/>
      <c r="D678" s="609"/>
      <c r="E678" s="671"/>
      <c r="F678" s="672"/>
      <c r="K678" s="370"/>
      <c r="L678" s="370"/>
      <c r="P678" s="208"/>
      <c r="Q678" s="370"/>
      <c r="R678" s="370"/>
    </row>
    <row r="679">
      <c r="B679" s="670"/>
      <c r="C679" s="609"/>
      <c r="D679" s="609"/>
      <c r="E679" s="671"/>
      <c r="F679" s="672"/>
      <c r="K679" s="370"/>
      <c r="L679" s="370"/>
      <c r="P679" s="208"/>
      <c r="Q679" s="370"/>
      <c r="R679" s="370"/>
    </row>
    <row r="680">
      <c r="B680" s="670"/>
      <c r="C680" s="609"/>
      <c r="D680" s="609"/>
      <c r="E680" s="671"/>
      <c r="F680" s="672"/>
      <c r="K680" s="370"/>
      <c r="L680" s="370"/>
      <c r="P680" s="208"/>
      <c r="Q680" s="370"/>
      <c r="R680" s="370"/>
    </row>
    <row r="681">
      <c r="B681" s="670"/>
      <c r="C681" s="609"/>
      <c r="D681" s="609"/>
      <c r="E681" s="671"/>
      <c r="F681" s="672"/>
      <c r="K681" s="370"/>
      <c r="L681" s="370"/>
      <c r="P681" s="208"/>
      <c r="Q681" s="370"/>
      <c r="R681" s="370"/>
    </row>
    <row r="682">
      <c r="B682" s="670"/>
      <c r="C682" s="609"/>
      <c r="D682" s="609"/>
      <c r="E682" s="671"/>
      <c r="F682" s="672"/>
      <c r="K682" s="370"/>
      <c r="L682" s="370"/>
      <c r="P682" s="208"/>
      <c r="Q682" s="370"/>
      <c r="R682" s="370"/>
    </row>
    <row r="683">
      <c r="B683" s="670"/>
      <c r="C683" s="609"/>
      <c r="D683" s="609"/>
      <c r="E683" s="671"/>
      <c r="F683" s="672"/>
      <c r="K683" s="370"/>
      <c r="L683" s="370"/>
      <c r="P683" s="208"/>
      <c r="Q683" s="370"/>
      <c r="R683" s="370"/>
    </row>
    <row r="684">
      <c r="B684" s="670"/>
      <c r="C684" s="609"/>
      <c r="D684" s="609"/>
      <c r="E684" s="671"/>
      <c r="F684" s="672"/>
      <c r="K684" s="370"/>
      <c r="L684" s="370"/>
      <c r="P684" s="208"/>
      <c r="Q684" s="370"/>
      <c r="R684" s="370"/>
    </row>
    <row r="685">
      <c r="B685" s="670"/>
      <c r="C685" s="609"/>
      <c r="D685" s="609"/>
      <c r="E685" s="671"/>
      <c r="F685" s="672"/>
      <c r="K685" s="370"/>
      <c r="L685" s="370"/>
      <c r="P685" s="208"/>
      <c r="Q685" s="370"/>
      <c r="R685" s="370"/>
    </row>
    <row r="686">
      <c r="B686" s="670"/>
      <c r="C686" s="609"/>
      <c r="D686" s="609"/>
      <c r="E686" s="671"/>
      <c r="F686" s="672"/>
      <c r="K686" s="370"/>
      <c r="L686" s="370"/>
      <c r="P686" s="208"/>
      <c r="Q686" s="370"/>
      <c r="R686" s="370"/>
    </row>
    <row r="687">
      <c r="B687" s="670"/>
      <c r="C687" s="609"/>
      <c r="D687" s="609"/>
      <c r="E687" s="671"/>
      <c r="F687" s="672"/>
      <c r="K687" s="370"/>
      <c r="L687" s="370"/>
      <c r="P687" s="208"/>
      <c r="Q687" s="370"/>
      <c r="R687" s="370"/>
    </row>
    <row r="688">
      <c r="B688" s="670"/>
      <c r="C688" s="609"/>
      <c r="D688" s="609"/>
      <c r="E688" s="671"/>
      <c r="F688" s="672"/>
      <c r="K688" s="370"/>
      <c r="L688" s="370"/>
      <c r="P688" s="208"/>
      <c r="Q688" s="370"/>
      <c r="R688" s="370"/>
    </row>
    <row r="689">
      <c r="B689" s="670"/>
      <c r="C689" s="609"/>
      <c r="D689" s="609"/>
      <c r="E689" s="671"/>
      <c r="F689" s="672"/>
      <c r="K689" s="370"/>
      <c r="L689" s="370"/>
      <c r="P689" s="208"/>
      <c r="Q689" s="370"/>
      <c r="R689" s="370"/>
    </row>
    <row r="690">
      <c r="B690" s="670"/>
      <c r="C690" s="609"/>
      <c r="D690" s="609"/>
      <c r="E690" s="671"/>
      <c r="F690" s="672"/>
      <c r="K690" s="370"/>
      <c r="L690" s="370"/>
      <c r="P690" s="208"/>
      <c r="Q690" s="370"/>
      <c r="R690" s="370"/>
    </row>
    <row r="691">
      <c r="B691" s="670"/>
      <c r="C691" s="609"/>
      <c r="D691" s="609"/>
      <c r="E691" s="671"/>
      <c r="F691" s="672"/>
      <c r="K691" s="370"/>
      <c r="L691" s="370"/>
      <c r="P691" s="208"/>
      <c r="Q691" s="370"/>
      <c r="R691" s="370"/>
    </row>
    <row r="692">
      <c r="B692" s="670"/>
      <c r="C692" s="609"/>
      <c r="D692" s="609"/>
      <c r="E692" s="671"/>
      <c r="F692" s="672"/>
      <c r="K692" s="370"/>
      <c r="L692" s="370"/>
      <c r="P692" s="208"/>
      <c r="Q692" s="370"/>
      <c r="R692" s="370"/>
    </row>
    <row r="693">
      <c r="B693" s="670"/>
      <c r="C693" s="609"/>
      <c r="D693" s="609"/>
      <c r="E693" s="671"/>
      <c r="F693" s="672"/>
      <c r="K693" s="370"/>
      <c r="L693" s="370"/>
      <c r="P693" s="208"/>
      <c r="Q693" s="370"/>
      <c r="R693" s="370"/>
    </row>
    <row r="694">
      <c r="B694" s="670"/>
      <c r="C694" s="609"/>
      <c r="D694" s="609"/>
      <c r="E694" s="671"/>
      <c r="F694" s="672"/>
      <c r="K694" s="370"/>
      <c r="L694" s="370"/>
      <c r="P694" s="208"/>
      <c r="Q694" s="370"/>
      <c r="R694" s="370"/>
    </row>
    <row r="695">
      <c r="B695" s="670"/>
      <c r="C695" s="609"/>
      <c r="D695" s="609"/>
      <c r="E695" s="671"/>
      <c r="F695" s="672"/>
      <c r="K695" s="370"/>
      <c r="L695" s="370"/>
      <c r="P695" s="208"/>
      <c r="Q695" s="370"/>
      <c r="R695" s="370"/>
    </row>
    <row r="696">
      <c r="B696" s="670"/>
      <c r="C696" s="609"/>
      <c r="D696" s="609"/>
      <c r="E696" s="671"/>
      <c r="F696" s="672"/>
      <c r="K696" s="370"/>
      <c r="L696" s="370"/>
      <c r="P696" s="208"/>
      <c r="Q696" s="370"/>
      <c r="R696" s="370"/>
    </row>
    <row r="697">
      <c r="B697" s="670"/>
      <c r="C697" s="609"/>
      <c r="D697" s="609"/>
      <c r="E697" s="671"/>
      <c r="F697" s="672"/>
      <c r="K697" s="370"/>
      <c r="L697" s="370"/>
      <c r="P697" s="208"/>
      <c r="Q697" s="370"/>
      <c r="R697" s="370"/>
    </row>
    <row r="698">
      <c r="B698" s="670"/>
      <c r="C698" s="609"/>
      <c r="D698" s="609"/>
      <c r="E698" s="671"/>
      <c r="F698" s="672"/>
      <c r="K698" s="370"/>
      <c r="L698" s="370"/>
      <c r="P698" s="208"/>
      <c r="Q698" s="370"/>
      <c r="R698" s="370"/>
    </row>
    <row r="699">
      <c r="B699" s="670"/>
      <c r="C699" s="609"/>
      <c r="D699" s="609"/>
      <c r="E699" s="671"/>
      <c r="F699" s="672"/>
      <c r="K699" s="370"/>
      <c r="L699" s="370"/>
      <c r="P699" s="208"/>
      <c r="Q699" s="370"/>
      <c r="R699" s="370"/>
    </row>
    <row r="700">
      <c r="B700" s="670"/>
      <c r="C700" s="609"/>
      <c r="D700" s="609"/>
      <c r="E700" s="671"/>
      <c r="F700" s="672"/>
      <c r="K700" s="370"/>
      <c r="L700" s="370"/>
      <c r="P700" s="208"/>
      <c r="Q700" s="370"/>
      <c r="R700" s="370"/>
    </row>
    <row r="701">
      <c r="B701" s="670"/>
      <c r="C701" s="609"/>
      <c r="D701" s="609"/>
      <c r="E701" s="671"/>
      <c r="F701" s="672"/>
      <c r="K701" s="370"/>
      <c r="L701" s="370"/>
      <c r="P701" s="208"/>
      <c r="Q701" s="370"/>
      <c r="R701" s="370"/>
    </row>
    <row r="702">
      <c r="B702" s="670"/>
      <c r="C702" s="609"/>
      <c r="D702" s="609"/>
      <c r="E702" s="671"/>
      <c r="F702" s="672"/>
      <c r="K702" s="370"/>
      <c r="L702" s="370"/>
      <c r="P702" s="208"/>
      <c r="Q702" s="370"/>
      <c r="R702" s="370"/>
    </row>
    <row r="703">
      <c r="B703" s="670"/>
      <c r="C703" s="609"/>
      <c r="D703" s="609"/>
      <c r="E703" s="671"/>
      <c r="F703" s="672"/>
      <c r="K703" s="370"/>
      <c r="L703" s="370"/>
      <c r="P703" s="208"/>
      <c r="Q703" s="370"/>
      <c r="R703" s="370"/>
    </row>
    <row r="704">
      <c r="B704" s="670"/>
      <c r="C704" s="609"/>
      <c r="D704" s="609"/>
      <c r="E704" s="671"/>
      <c r="F704" s="672"/>
      <c r="K704" s="370"/>
      <c r="L704" s="370"/>
      <c r="P704" s="208"/>
      <c r="Q704" s="370"/>
      <c r="R704" s="370"/>
    </row>
    <row r="705">
      <c r="B705" s="670"/>
      <c r="C705" s="609"/>
      <c r="D705" s="609"/>
      <c r="E705" s="671"/>
      <c r="F705" s="672"/>
      <c r="K705" s="370"/>
      <c r="L705" s="370"/>
      <c r="P705" s="208"/>
      <c r="Q705" s="370"/>
      <c r="R705" s="370"/>
    </row>
    <row r="706">
      <c r="B706" s="670"/>
      <c r="C706" s="609"/>
      <c r="D706" s="609"/>
      <c r="E706" s="671"/>
      <c r="F706" s="672"/>
      <c r="K706" s="370"/>
      <c r="L706" s="370"/>
      <c r="P706" s="208"/>
      <c r="Q706" s="370"/>
      <c r="R706" s="370"/>
    </row>
    <row r="707">
      <c r="B707" s="670"/>
      <c r="C707" s="609"/>
      <c r="D707" s="609"/>
      <c r="E707" s="671"/>
      <c r="F707" s="672"/>
      <c r="K707" s="370"/>
      <c r="L707" s="370"/>
      <c r="P707" s="208"/>
      <c r="Q707" s="370"/>
      <c r="R707" s="370"/>
    </row>
    <row r="708">
      <c r="B708" s="670"/>
      <c r="C708" s="609"/>
      <c r="D708" s="609"/>
      <c r="E708" s="671"/>
      <c r="F708" s="672"/>
      <c r="K708" s="370"/>
      <c r="L708" s="370"/>
      <c r="P708" s="208"/>
      <c r="Q708" s="370"/>
      <c r="R708" s="370"/>
    </row>
    <row r="709">
      <c r="B709" s="670"/>
      <c r="C709" s="609"/>
      <c r="D709" s="609"/>
      <c r="E709" s="671"/>
      <c r="F709" s="672"/>
      <c r="K709" s="370"/>
      <c r="L709" s="370"/>
      <c r="P709" s="208"/>
      <c r="Q709" s="370"/>
      <c r="R709" s="370"/>
    </row>
    <row r="710">
      <c r="B710" s="670"/>
      <c r="C710" s="609"/>
      <c r="D710" s="609"/>
      <c r="E710" s="671"/>
      <c r="F710" s="672"/>
      <c r="K710" s="370"/>
      <c r="L710" s="370"/>
      <c r="P710" s="208"/>
      <c r="Q710" s="370"/>
      <c r="R710" s="370"/>
    </row>
    <row r="711">
      <c r="B711" s="670"/>
      <c r="C711" s="609"/>
      <c r="D711" s="609"/>
      <c r="E711" s="671"/>
      <c r="F711" s="672"/>
      <c r="K711" s="370"/>
      <c r="L711" s="370"/>
      <c r="P711" s="208"/>
      <c r="Q711" s="370"/>
      <c r="R711" s="370"/>
    </row>
    <row r="712">
      <c r="B712" s="670"/>
      <c r="C712" s="609"/>
      <c r="D712" s="609"/>
      <c r="E712" s="671"/>
      <c r="F712" s="672"/>
      <c r="K712" s="370"/>
      <c r="L712" s="370"/>
      <c r="P712" s="208"/>
      <c r="Q712" s="370"/>
      <c r="R712" s="370"/>
    </row>
    <row r="713">
      <c r="B713" s="670"/>
      <c r="C713" s="609"/>
      <c r="D713" s="609"/>
      <c r="E713" s="671"/>
      <c r="F713" s="672"/>
      <c r="K713" s="370"/>
      <c r="L713" s="370"/>
      <c r="P713" s="208"/>
      <c r="Q713" s="370"/>
      <c r="R713" s="370"/>
    </row>
    <row r="714">
      <c r="B714" s="670"/>
      <c r="C714" s="609"/>
      <c r="D714" s="609"/>
      <c r="E714" s="671"/>
      <c r="F714" s="672"/>
      <c r="K714" s="370"/>
      <c r="L714" s="370"/>
      <c r="P714" s="208"/>
      <c r="Q714" s="370"/>
      <c r="R714" s="370"/>
    </row>
    <row r="715">
      <c r="B715" s="670"/>
      <c r="C715" s="609"/>
      <c r="D715" s="609"/>
      <c r="E715" s="671"/>
      <c r="F715" s="672"/>
      <c r="K715" s="370"/>
      <c r="L715" s="370"/>
      <c r="P715" s="208"/>
      <c r="Q715" s="370"/>
      <c r="R715" s="370"/>
    </row>
    <row r="716">
      <c r="B716" s="670"/>
      <c r="C716" s="609"/>
      <c r="D716" s="609"/>
      <c r="E716" s="671"/>
      <c r="F716" s="672"/>
      <c r="K716" s="370"/>
      <c r="L716" s="370"/>
      <c r="P716" s="208"/>
      <c r="Q716" s="370"/>
      <c r="R716" s="370"/>
    </row>
    <row r="717">
      <c r="B717" s="670"/>
      <c r="C717" s="609"/>
      <c r="D717" s="609"/>
      <c r="E717" s="671"/>
      <c r="F717" s="672"/>
      <c r="K717" s="370"/>
      <c r="L717" s="370"/>
      <c r="P717" s="208"/>
      <c r="Q717" s="370"/>
      <c r="R717" s="370"/>
    </row>
    <row r="718">
      <c r="B718" s="670"/>
      <c r="C718" s="609"/>
      <c r="D718" s="609"/>
      <c r="E718" s="671"/>
      <c r="F718" s="672"/>
      <c r="K718" s="370"/>
      <c r="L718" s="370"/>
      <c r="P718" s="208"/>
      <c r="Q718" s="370"/>
      <c r="R718" s="370"/>
    </row>
    <row r="719">
      <c r="B719" s="670"/>
      <c r="C719" s="609"/>
      <c r="D719" s="609"/>
      <c r="E719" s="671"/>
      <c r="F719" s="672"/>
      <c r="K719" s="370"/>
      <c r="L719" s="370"/>
      <c r="P719" s="208"/>
      <c r="Q719" s="370"/>
      <c r="R719" s="370"/>
    </row>
    <row r="720">
      <c r="B720" s="670"/>
      <c r="C720" s="609"/>
      <c r="D720" s="609"/>
      <c r="E720" s="671"/>
      <c r="F720" s="672"/>
      <c r="K720" s="370"/>
      <c r="L720" s="370"/>
      <c r="P720" s="208"/>
      <c r="Q720" s="370"/>
      <c r="R720" s="370"/>
    </row>
    <row r="721">
      <c r="B721" s="670"/>
      <c r="C721" s="609"/>
      <c r="D721" s="609"/>
      <c r="E721" s="671"/>
      <c r="F721" s="672"/>
      <c r="K721" s="370"/>
      <c r="L721" s="370"/>
      <c r="P721" s="208"/>
      <c r="Q721" s="370"/>
      <c r="R721" s="370"/>
    </row>
    <row r="722">
      <c r="B722" s="670"/>
      <c r="C722" s="609"/>
      <c r="D722" s="609"/>
      <c r="E722" s="671"/>
      <c r="F722" s="672"/>
      <c r="K722" s="370"/>
      <c r="L722" s="370"/>
      <c r="P722" s="208"/>
      <c r="Q722" s="370"/>
      <c r="R722" s="370"/>
    </row>
    <row r="723">
      <c r="B723" s="670"/>
      <c r="C723" s="609"/>
      <c r="D723" s="609"/>
      <c r="E723" s="671"/>
      <c r="F723" s="672"/>
      <c r="K723" s="370"/>
      <c r="L723" s="370"/>
      <c r="P723" s="208"/>
      <c r="Q723" s="370"/>
      <c r="R723" s="370"/>
    </row>
    <row r="724">
      <c r="B724" s="670"/>
      <c r="C724" s="609"/>
      <c r="D724" s="609"/>
      <c r="E724" s="671"/>
      <c r="F724" s="672"/>
      <c r="K724" s="370"/>
      <c r="L724" s="370"/>
      <c r="P724" s="208"/>
      <c r="Q724" s="370"/>
      <c r="R724" s="370"/>
    </row>
    <row r="725">
      <c r="B725" s="670"/>
      <c r="C725" s="609"/>
      <c r="D725" s="609"/>
      <c r="E725" s="671"/>
      <c r="F725" s="672"/>
      <c r="K725" s="370"/>
      <c r="L725" s="370"/>
      <c r="P725" s="208"/>
      <c r="Q725" s="370"/>
      <c r="R725" s="370"/>
    </row>
    <row r="726">
      <c r="B726" s="670"/>
      <c r="C726" s="609"/>
      <c r="D726" s="609"/>
      <c r="E726" s="671"/>
      <c r="F726" s="672"/>
      <c r="K726" s="370"/>
      <c r="L726" s="370"/>
      <c r="P726" s="208"/>
      <c r="Q726" s="370"/>
      <c r="R726" s="370"/>
    </row>
    <row r="727">
      <c r="B727" s="670"/>
      <c r="C727" s="609"/>
      <c r="D727" s="609"/>
      <c r="E727" s="671"/>
      <c r="F727" s="672"/>
      <c r="K727" s="370"/>
      <c r="L727" s="370"/>
      <c r="P727" s="208"/>
      <c r="Q727" s="370"/>
      <c r="R727" s="370"/>
    </row>
    <row r="728">
      <c r="B728" s="670"/>
      <c r="C728" s="609"/>
      <c r="D728" s="609"/>
      <c r="E728" s="671"/>
      <c r="F728" s="672"/>
      <c r="K728" s="370"/>
      <c r="L728" s="370"/>
      <c r="P728" s="208"/>
      <c r="Q728" s="370"/>
      <c r="R728" s="370"/>
    </row>
    <row r="729">
      <c r="B729" s="670"/>
      <c r="C729" s="609"/>
      <c r="D729" s="609"/>
      <c r="E729" s="671"/>
      <c r="F729" s="672"/>
      <c r="K729" s="370"/>
      <c r="L729" s="370"/>
      <c r="P729" s="208"/>
      <c r="Q729" s="370"/>
      <c r="R729" s="370"/>
    </row>
    <row r="730">
      <c r="B730" s="670"/>
      <c r="C730" s="609"/>
      <c r="D730" s="609"/>
      <c r="E730" s="671"/>
      <c r="F730" s="672"/>
      <c r="K730" s="370"/>
      <c r="L730" s="370"/>
      <c r="P730" s="208"/>
      <c r="Q730" s="370"/>
      <c r="R730" s="370"/>
    </row>
    <row r="731">
      <c r="B731" s="670"/>
      <c r="C731" s="609"/>
      <c r="D731" s="609"/>
      <c r="E731" s="671"/>
      <c r="F731" s="672"/>
      <c r="K731" s="370"/>
      <c r="L731" s="370"/>
      <c r="P731" s="208"/>
      <c r="Q731" s="370"/>
      <c r="R731" s="370"/>
    </row>
    <row r="732">
      <c r="B732" s="670"/>
      <c r="C732" s="609"/>
      <c r="D732" s="609"/>
      <c r="E732" s="671"/>
      <c r="F732" s="672"/>
      <c r="K732" s="370"/>
      <c r="L732" s="370"/>
      <c r="P732" s="208"/>
      <c r="Q732" s="370"/>
      <c r="R732" s="370"/>
    </row>
    <row r="733">
      <c r="B733" s="670"/>
      <c r="C733" s="609"/>
      <c r="D733" s="609"/>
      <c r="E733" s="671"/>
      <c r="F733" s="672"/>
      <c r="K733" s="370"/>
      <c r="L733" s="370"/>
      <c r="P733" s="208"/>
      <c r="Q733" s="370"/>
      <c r="R733" s="370"/>
    </row>
    <row r="734">
      <c r="B734" s="670"/>
      <c r="C734" s="609"/>
      <c r="D734" s="609"/>
      <c r="E734" s="671"/>
      <c r="F734" s="672"/>
      <c r="K734" s="370"/>
      <c r="L734" s="370"/>
      <c r="P734" s="208"/>
      <c r="Q734" s="370"/>
      <c r="R734" s="370"/>
    </row>
    <row r="735">
      <c r="B735" s="670"/>
      <c r="C735" s="609"/>
      <c r="D735" s="609"/>
      <c r="E735" s="671"/>
      <c r="F735" s="672"/>
      <c r="K735" s="370"/>
      <c r="L735" s="370"/>
      <c r="P735" s="208"/>
      <c r="Q735" s="370"/>
      <c r="R735" s="370"/>
    </row>
    <row r="736">
      <c r="B736" s="670"/>
      <c r="C736" s="609"/>
      <c r="D736" s="609"/>
      <c r="E736" s="671"/>
      <c r="F736" s="672"/>
      <c r="K736" s="370"/>
      <c r="L736" s="370"/>
      <c r="P736" s="208"/>
      <c r="Q736" s="370"/>
      <c r="R736" s="370"/>
    </row>
    <row r="737">
      <c r="B737" s="670"/>
      <c r="C737" s="609"/>
      <c r="D737" s="609"/>
      <c r="E737" s="671"/>
      <c r="F737" s="672"/>
      <c r="K737" s="370"/>
      <c r="L737" s="370"/>
      <c r="P737" s="208"/>
      <c r="Q737" s="370"/>
      <c r="R737" s="370"/>
    </row>
    <row r="738">
      <c r="B738" s="670"/>
      <c r="C738" s="609"/>
      <c r="D738" s="609"/>
      <c r="E738" s="671"/>
      <c r="F738" s="672"/>
      <c r="K738" s="370"/>
      <c r="L738" s="370"/>
      <c r="P738" s="208"/>
      <c r="Q738" s="370"/>
      <c r="R738" s="370"/>
    </row>
    <row r="739">
      <c r="B739" s="670"/>
      <c r="C739" s="609"/>
      <c r="D739" s="609"/>
      <c r="E739" s="671"/>
      <c r="F739" s="672"/>
      <c r="K739" s="370"/>
      <c r="L739" s="370"/>
      <c r="P739" s="208"/>
      <c r="Q739" s="370"/>
      <c r="R739" s="370"/>
    </row>
    <row r="740">
      <c r="B740" s="670"/>
      <c r="C740" s="609"/>
      <c r="D740" s="609"/>
      <c r="E740" s="671"/>
      <c r="F740" s="672"/>
      <c r="K740" s="370"/>
      <c r="L740" s="370"/>
      <c r="P740" s="208"/>
      <c r="Q740" s="370"/>
      <c r="R740" s="370"/>
    </row>
    <row r="741">
      <c r="B741" s="670"/>
      <c r="C741" s="609"/>
      <c r="D741" s="609"/>
      <c r="E741" s="671"/>
      <c r="F741" s="672"/>
      <c r="K741" s="370"/>
      <c r="L741" s="370"/>
      <c r="P741" s="208"/>
      <c r="Q741" s="370"/>
      <c r="R741" s="370"/>
    </row>
    <row r="742">
      <c r="B742" s="670"/>
      <c r="C742" s="609"/>
      <c r="D742" s="609"/>
      <c r="E742" s="671"/>
      <c r="F742" s="672"/>
      <c r="K742" s="370"/>
      <c r="L742" s="370"/>
      <c r="P742" s="208"/>
      <c r="Q742" s="370"/>
      <c r="R742" s="370"/>
    </row>
    <row r="743">
      <c r="B743" s="670"/>
      <c r="C743" s="609"/>
      <c r="D743" s="609"/>
      <c r="E743" s="671"/>
      <c r="F743" s="672"/>
      <c r="K743" s="370"/>
      <c r="L743" s="370"/>
      <c r="P743" s="208"/>
      <c r="Q743" s="370"/>
      <c r="R743" s="370"/>
    </row>
    <row r="744">
      <c r="B744" s="670"/>
      <c r="C744" s="609"/>
      <c r="D744" s="609"/>
      <c r="E744" s="671"/>
      <c r="F744" s="672"/>
      <c r="K744" s="370"/>
      <c r="L744" s="370"/>
      <c r="P744" s="208"/>
      <c r="Q744" s="370"/>
      <c r="R744" s="370"/>
    </row>
    <row r="745">
      <c r="B745" s="670"/>
      <c r="C745" s="609"/>
      <c r="D745" s="609"/>
      <c r="E745" s="671"/>
      <c r="F745" s="672"/>
      <c r="K745" s="370"/>
      <c r="L745" s="370"/>
      <c r="P745" s="208"/>
      <c r="Q745" s="370"/>
      <c r="R745" s="370"/>
    </row>
    <row r="746">
      <c r="B746" s="670"/>
      <c r="C746" s="609"/>
      <c r="D746" s="609"/>
      <c r="E746" s="671"/>
      <c r="F746" s="672"/>
      <c r="K746" s="370"/>
      <c r="L746" s="370"/>
      <c r="P746" s="208"/>
      <c r="Q746" s="370"/>
      <c r="R746" s="370"/>
    </row>
    <row r="747">
      <c r="B747" s="670"/>
      <c r="C747" s="609"/>
      <c r="D747" s="609"/>
      <c r="E747" s="671"/>
      <c r="F747" s="672"/>
      <c r="K747" s="370"/>
      <c r="L747" s="370"/>
      <c r="P747" s="208"/>
      <c r="Q747" s="370"/>
      <c r="R747" s="370"/>
    </row>
    <row r="748">
      <c r="B748" s="670"/>
      <c r="C748" s="609"/>
      <c r="D748" s="609"/>
      <c r="E748" s="671"/>
      <c r="F748" s="672"/>
      <c r="K748" s="370"/>
      <c r="L748" s="370"/>
      <c r="P748" s="208"/>
      <c r="Q748" s="370"/>
      <c r="R748" s="370"/>
    </row>
    <row r="749">
      <c r="B749" s="670"/>
      <c r="C749" s="609"/>
      <c r="D749" s="609"/>
      <c r="E749" s="671"/>
      <c r="F749" s="672"/>
      <c r="K749" s="370"/>
      <c r="L749" s="370"/>
      <c r="P749" s="208"/>
      <c r="Q749" s="370"/>
      <c r="R749" s="370"/>
    </row>
    <row r="750">
      <c r="B750" s="670"/>
      <c r="C750" s="609"/>
      <c r="D750" s="609"/>
      <c r="E750" s="671"/>
      <c r="F750" s="672"/>
      <c r="K750" s="370"/>
      <c r="L750" s="370"/>
      <c r="P750" s="208"/>
      <c r="Q750" s="370"/>
      <c r="R750" s="370"/>
    </row>
    <row r="751">
      <c r="B751" s="670"/>
      <c r="C751" s="609"/>
      <c r="D751" s="609"/>
      <c r="E751" s="671"/>
      <c r="F751" s="672"/>
      <c r="K751" s="370"/>
      <c r="L751" s="370"/>
      <c r="P751" s="208"/>
      <c r="Q751" s="370"/>
      <c r="R751" s="370"/>
    </row>
    <row r="752">
      <c r="B752" s="670"/>
      <c r="C752" s="609"/>
      <c r="D752" s="609"/>
      <c r="E752" s="671"/>
      <c r="F752" s="672"/>
      <c r="K752" s="370"/>
      <c r="L752" s="370"/>
      <c r="P752" s="208"/>
      <c r="Q752" s="370"/>
      <c r="R752" s="370"/>
    </row>
    <row r="753">
      <c r="B753" s="670"/>
      <c r="C753" s="609"/>
      <c r="D753" s="609"/>
      <c r="E753" s="671"/>
      <c r="F753" s="672"/>
      <c r="K753" s="370"/>
      <c r="L753" s="370"/>
      <c r="P753" s="208"/>
      <c r="Q753" s="370"/>
      <c r="R753" s="370"/>
    </row>
    <row r="754">
      <c r="B754" s="670"/>
      <c r="C754" s="609"/>
      <c r="D754" s="609"/>
      <c r="E754" s="671"/>
      <c r="F754" s="672"/>
      <c r="K754" s="370"/>
      <c r="L754" s="370"/>
      <c r="P754" s="208"/>
      <c r="Q754" s="370"/>
      <c r="R754" s="370"/>
    </row>
    <row r="755">
      <c r="B755" s="670"/>
      <c r="C755" s="609"/>
      <c r="D755" s="609"/>
      <c r="E755" s="671"/>
      <c r="F755" s="672"/>
      <c r="K755" s="370"/>
      <c r="L755" s="370"/>
      <c r="P755" s="208"/>
      <c r="Q755" s="370"/>
      <c r="R755" s="370"/>
    </row>
    <row r="756">
      <c r="B756" s="670"/>
      <c r="C756" s="609"/>
      <c r="D756" s="609"/>
      <c r="E756" s="671"/>
      <c r="F756" s="672"/>
      <c r="K756" s="370"/>
      <c r="L756" s="370"/>
      <c r="P756" s="208"/>
      <c r="Q756" s="370"/>
      <c r="R756" s="370"/>
    </row>
    <row r="757">
      <c r="B757" s="670"/>
      <c r="C757" s="609"/>
      <c r="D757" s="609"/>
      <c r="E757" s="671"/>
      <c r="F757" s="672"/>
      <c r="K757" s="370"/>
      <c r="L757" s="370"/>
      <c r="P757" s="208"/>
      <c r="Q757" s="370"/>
      <c r="R757" s="370"/>
    </row>
    <row r="758">
      <c r="B758" s="670"/>
      <c r="C758" s="609"/>
      <c r="D758" s="609"/>
      <c r="E758" s="671"/>
      <c r="F758" s="672"/>
      <c r="K758" s="370"/>
      <c r="L758" s="370"/>
      <c r="P758" s="208"/>
      <c r="Q758" s="370"/>
      <c r="R758" s="370"/>
    </row>
    <row r="759">
      <c r="B759" s="670"/>
      <c r="C759" s="609"/>
      <c r="D759" s="609"/>
      <c r="E759" s="671"/>
      <c r="F759" s="672"/>
      <c r="K759" s="370"/>
      <c r="L759" s="370"/>
      <c r="P759" s="208"/>
      <c r="Q759" s="370"/>
      <c r="R759" s="370"/>
    </row>
    <row r="760">
      <c r="B760" s="670"/>
      <c r="C760" s="609"/>
      <c r="D760" s="609"/>
      <c r="E760" s="671"/>
      <c r="F760" s="672"/>
      <c r="K760" s="370"/>
      <c r="L760" s="370"/>
      <c r="P760" s="208"/>
      <c r="Q760" s="370"/>
      <c r="R760" s="370"/>
    </row>
    <row r="761">
      <c r="B761" s="670"/>
      <c r="C761" s="609"/>
      <c r="D761" s="609"/>
      <c r="E761" s="671"/>
      <c r="F761" s="672"/>
      <c r="K761" s="370"/>
      <c r="L761" s="370"/>
      <c r="P761" s="208"/>
      <c r="Q761" s="370"/>
      <c r="R761" s="370"/>
    </row>
    <row r="762">
      <c r="B762" s="670"/>
      <c r="C762" s="609"/>
      <c r="D762" s="609"/>
      <c r="E762" s="671"/>
      <c r="F762" s="672"/>
      <c r="K762" s="370"/>
      <c r="L762" s="370"/>
      <c r="P762" s="208"/>
      <c r="Q762" s="370"/>
      <c r="R762" s="370"/>
    </row>
    <row r="763">
      <c r="B763" s="670"/>
      <c r="C763" s="609"/>
      <c r="D763" s="609"/>
      <c r="E763" s="671"/>
      <c r="F763" s="672"/>
      <c r="K763" s="370"/>
      <c r="L763" s="370"/>
      <c r="P763" s="208"/>
      <c r="Q763" s="370"/>
      <c r="R763" s="370"/>
    </row>
    <row r="764">
      <c r="B764" s="670"/>
      <c r="C764" s="609"/>
      <c r="D764" s="609"/>
      <c r="E764" s="671"/>
      <c r="F764" s="672"/>
      <c r="K764" s="370"/>
      <c r="L764" s="370"/>
      <c r="P764" s="208"/>
      <c r="Q764" s="370"/>
      <c r="R764" s="370"/>
    </row>
    <row r="765">
      <c r="B765" s="670"/>
      <c r="C765" s="609"/>
      <c r="D765" s="609"/>
      <c r="E765" s="671"/>
      <c r="F765" s="672"/>
      <c r="K765" s="370"/>
      <c r="L765" s="370"/>
      <c r="P765" s="208"/>
      <c r="Q765" s="370"/>
      <c r="R765" s="370"/>
    </row>
    <row r="766">
      <c r="B766" s="670"/>
      <c r="C766" s="609"/>
      <c r="D766" s="609"/>
      <c r="E766" s="671"/>
      <c r="F766" s="672"/>
      <c r="K766" s="370"/>
      <c r="L766" s="370"/>
      <c r="P766" s="208"/>
      <c r="Q766" s="370"/>
      <c r="R766" s="370"/>
    </row>
    <row r="767">
      <c r="B767" s="670"/>
      <c r="C767" s="609"/>
      <c r="D767" s="609"/>
      <c r="E767" s="671"/>
      <c r="F767" s="672"/>
      <c r="K767" s="370"/>
      <c r="L767" s="370"/>
      <c r="P767" s="208"/>
      <c r="Q767" s="370"/>
      <c r="R767" s="370"/>
    </row>
    <row r="768">
      <c r="B768" s="670"/>
      <c r="C768" s="609"/>
      <c r="D768" s="609"/>
      <c r="E768" s="671"/>
      <c r="F768" s="672"/>
      <c r="K768" s="370"/>
      <c r="L768" s="370"/>
      <c r="P768" s="208"/>
      <c r="Q768" s="370"/>
      <c r="R768" s="370"/>
    </row>
    <row r="769">
      <c r="B769" s="670"/>
      <c r="C769" s="609"/>
      <c r="D769" s="609"/>
      <c r="E769" s="671"/>
      <c r="F769" s="672"/>
      <c r="K769" s="370"/>
      <c r="L769" s="370"/>
      <c r="P769" s="208"/>
      <c r="Q769" s="370"/>
      <c r="R769" s="370"/>
    </row>
    <row r="770">
      <c r="B770" s="670"/>
      <c r="C770" s="609"/>
      <c r="D770" s="609"/>
      <c r="E770" s="671"/>
      <c r="F770" s="672"/>
      <c r="K770" s="370"/>
      <c r="L770" s="370"/>
      <c r="P770" s="208"/>
      <c r="Q770" s="370"/>
      <c r="R770" s="370"/>
    </row>
    <row r="771">
      <c r="B771" s="670"/>
      <c r="C771" s="609"/>
      <c r="D771" s="609"/>
      <c r="E771" s="671"/>
      <c r="F771" s="672"/>
      <c r="K771" s="370"/>
      <c r="L771" s="370"/>
      <c r="P771" s="208"/>
      <c r="Q771" s="370"/>
      <c r="R771" s="370"/>
    </row>
    <row r="772">
      <c r="B772" s="670"/>
      <c r="C772" s="609"/>
      <c r="D772" s="609"/>
      <c r="E772" s="671"/>
      <c r="F772" s="672"/>
      <c r="K772" s="370"/>
      <c r="L772" s="370"/>
      <c r="P772" s="208"/>
      <c r="Q772" s="370"/>
      <c r="R772" s="370"/>
    </row>
    <row r="773">
      <c r="B773" s="670"/>
      <c r="C773" s="609"/>
      <c r="D773" s="609"/>
      <c r="E773" s="671"/>
      <c r="F773" s="672"/>
      <c r="K773" s="370"/>
      <c r="L773" s="370"/>
      <c r="P773" s="208"/>
      <c r="Q773" s="370"/>
      <c r="R773" s="370"/>
    </row>
    <row r="774">
      <c r="B774" s="670"/>
      <c r="C774" s="609"/>
      <c r="D774" s="609"/>
      <c r="E774" s="671"/>
      <c r="F774" s="672"/>
      <c r="K774" s="370"/>
      <c r="L774" s="370"/>
      <c r="P774" s="208"/>
      <c r="Q774" s="370"/>
      <c r="R774" s="370"/>
    </row>
    <row r="775">
      <c r="B775" s="670"/>
      <c r="C775" s="609"/>
      <c r="D775" s="609"/>
      <c r="E775" s="671"/>
      <c r="F775" s="672"/>
      <c r="K775" s="370"/>
      <c r="L775" s="370"/>
      <c r="P775" s="208"/>
      <c r="Q775" s="370"/>
      <c r="R775" s="370"/>
    </row>
    <row r="776">
      <c r="B776" s="670"/>
      <c r="C776" s="609"/>
      <c r="D776" s="609"/>
      <c r="E776" s="671"/>
      <c r="F776" s="672"/>
      <c r="K776" s="370"/>
      <c r="L776" s="370"/>
      <c r="P776" s="208"/>
      <c r="Q776" s="370"/>
      <c r="R776" s="370"/>
    </row>
    <row r="777">
      <c r="B777" s="670"/>
      <c r="C777" s="609"/>
      <c r="D777" s="609"/>
      <c r="E777" s="671"/>
      <c r="F777" s="672"/>
      <c r="K777" s="370"/>
      <c r="L777" s="370"/>
      <c r="P777" s="208"/>
      <c r="Q777" s="370"/>
      <c r="R777" s="370"/>
    </row>
    <row r="778">
      <c r="B778" s="670"/>
      <c r="C778" s="609"/>
      <c r="D778" s="609"/>
      <c r="E778" s="671"/>
      <c r="F778" s="672"/>
      <c r="K778" s="370"/>
      <c r="L778" s="370"/>
      <c r="P778" s="208"/>
      <c r="Q778" s="370"/>
      <c r="R778" s="370"/>
    </row>
    <row r="779">
      <c r="B779" s="670"/>
      <c r="C779" s="609"/>
      <c r="D779" s="609"/>
      <c r="E779" s="671"/>
      <c r="F779" s="672"/>
      <c r="K779" s="370"/>
      <c r="L779" s="370"/>
      <c r="P779" s="208"/>
      <c r="Q779" s="370"/>
      <c r="R779" s="370"/>
    </row>
    <row r="780">
      <c r="B780" s="670"/>
      <c r="C780" s="609"/>
      <c r="D780" s="609"/>
      <c r="E780" s="671"/>
      <c r="F780" s="672"/>
      <c r="K780" s="370"/>
      <c r="L780" s="370"/>
      <c r="P780" s="208"/>
      <c r="Q780" s="370"/>
      <c r="R780" s="370"/>
    </row>
    <row r="781">
      <c r="B781" s="670"/>
      <c r="C781" s="609"/>
      <c r="D781" s="609"/>
      <c r="E781" s="671"/>
      <c r="F781" s="672"/>
      <c r="K781" s="370"/>
      <c r="L781" s="370"/>
      <c r="P781" s="208"/>
      <c r="Q781" s="370"/>
      <c r="R781" s="370"/>
    </row>
    <row r="782">
      <c r="B782" s="670"/>
      <c r="C782" s="609"/>
      <c r="D782" s="609"/>
      <c r="E782" s="671"/>
      <c r="F782" s="672"/>
      <c r="K782" s="370"/>
      <c r="L782" s="370"/>
      <c r="P782" s="208"/>
      <c r="Q782" s="370"/>
      <c r="R782" s="370"/>
    </row>
    <row r="783">
      <c r="B783" s="670"/>
      <c r="C783" s="609"/>
      <c r="D783" s="609"/>
      <c r="E783" s="671"/>
      <c r="F783" s="672"/>
      <c r="K783" s="370"/>
      <c r="L783" s="370"/>
      <c r="P783" s="208"/>
      <c r="Q783" s="370"/>
      <c r="R783" s="370"/>
    </row>
    <row r="784">
      <c r="B784" s="670"/>
      <c r="C784" s="609"/>
      <c r="D784" s="609"/>
      <c r="E784" s="671"/>
      <c r="F784" s="672"/>
      <c r="K784" s="370"/>
      <c r="L784" s="370"/>
      <c r="P784" s="208"/>
      <c r="Q784" s="370"/>
      <c r="R784" s="370"/>
    </row>
    <row r="785">
      <c r="B785" s="670"/>
      <c r="C785" s="609"/>
      <c r="D785" s="609"/>
      <c r="E785" s="671"/>
      <c r="F785" s="672"/>
      <c r="K785" s="370"/>
      <c r="L785" s="370"/>
      <c r="P785" s="208"/>
      <c r="Q785" s="370"/>
      <c r="R785" s="370"/>
    </row>
    <row r="786">
      <c r="B786" s="670"/>
      <c r="C786" s="609"/>
      <c r="D786" s="609"/>
      <c r="E786" s="671"/>
      <c r="F786" s="672"/>
      <c r="K786" s="370"/>
      <c r="L786" s="370"/>
      <c r="P786" s="208"/>
      <c r="Q786" s="370"/>
      <c r="R786" s="370"/>
    </row>
    <row r="787">
      <c r="B787" s="670"/>
      <c r="C787" s="609"/>
      <c r="D787" s="609"/>
      <c r="E787" s="671"/>
      <c r="F787" s="672"/>
      <c r="K787" s="370"/>
      <c r="L787" s="370"/>
      <c r="P787" s="208"/>
      <c r="Q787" s="370"/>
      <c r="R787" s="370"/>
    </row>
    <row r="788">
      <c r="B788" s="670"/>
      <c r="C788" s="609"/>
      <c r="D788" s="609"/>
      <c r="E788" s="671"/>
      <c r="F788" s="672"/>
      <c r="K788" s="370"/>
      <c r="L788" s="370"/>
      <c r="P788" s="208"/>
      <c r="Q788" s="370"/>
      <c r="R788" s="370"/>
    </row>
    <row r="789">
      <c r="B789" s="670"/>
      <c r="C789" s="609"/>
      <c r="D789" s="609"/>
      <c r="E789" s="671"/>
      <c r="F789" s="672"/>
      <c r="K789" s="370"/>
      <c r="L789" s="370"/>
      <c r="P789" s="208"/>
      <c r="Q789" s="370"/>
      <c r="R789" s="370"/>
    </row>
    <row r="790">
      <c r="B790" s="670"/>
      <c r="C790" s="609"/>
      <c r="D790" s="609"/>
      <c r="E790" s="671"/>
      <c r="F790" s="672"/>
      <c r="K790" s="370"/>
      <c r="L790" s="370"/>
      <c r="P790" s="208"/>
      <c r="Q790" s="370"/>
      <c r="R790" s="370"/>
    </row>
    <row r="791">
      <c r="B791" s="670"/>
      <c r="C791" s="609"/>
      <c r="D791" s="609"/>
      <c r="E791" s="671"/>
      <c r="F791" s="672"/>
      <c r="K791" s="370"/>
      <c r="L791" s="370"/>
      <c r="P791" s="208"/>
      <c r="Q791" s="370"/>
      <c r="R791" s="370"/>
    </row>
    <row r="792">
      <c r="B792" s="670"/>
      <c r="C792" s="609"/>
      <c r="D792" s="609"/>
      <c r="E792" s="671"/>
      <c r="F792" s="672"/>
      <c r="K792" s="370"/>
      <c r="L792" s="370"/>
      <c r="P792" s="208"/>
      <c r="Q792" s="370"/>
      <c r="R792" s="370"/>
    </row>
    <row r="793">
      <c r="B793" s="670"/>
      <c r="C793" s="609"/>
      <c r="D793" s="609"/>
      <c r="E793" s="671"/>
      <c r="F793" s="672"/>
      <c r="K793" s="370"/>
      <c r="L793" s="370"/>
      <c r="P793" s="208"/>
      <c r="Q793" s="370"/>
      <c r="R793" s="370"/>
    </row>
    <row r="794">
      <c r="B794" s="670"/>
      <c r="C794" s="609"/>
      <c r="D794" s="609"/>
      <c r="E794" s="671"/>
      <c r="F794" s="672"/>
      <c r="K794" s="370"/>
      <c r="L794" s="370"/>
      <c r="P794" s="208"/>
      <c r="Q794" s="370"/>
      <c r="R794" s="370"/>
    </row>
    <row r="795">
      <c r="B795" s="670"/>
      <c r="C795" s="609"/>
      <c r="D795" s="609"/>
      <c r="E795" s="671"/>
      <c r="F795" s="672"/>
      <c r="K795" s="370"/>
      <c r="L795" s="370"/>
      <c r="P795" s="208"/>
      <c r="Q795" s="370"/>
      <c r="R795" s="370"/>
    </row>
    <row r="796">
      <c r="B796" s="670"/>
      <c r="C796" s="609"/>
      <c r="D796" s="609"/>
      <c r="E796" s="671"/>
      <c r="F796" s="672"/>
      <c r="K796" s="370"/>
      <c r="L796" s="370"/>
      <c r="P796" s="208"/>
      <c r="Q796" s="370"/>
      <c r="R796" s="370"/>
    </row>
    <row r="797">
      <c r="B797" s="670"/>
      <c r="C797" s="609"/>
      <c r="D797" s="609"/>
      <c r="E797" s="671"/>
      <c r="F797" s="672"/>
      <c r="K797" s="370"/>
      <c r="L797" s="370"/>
      <c r="P797" s="208"/>
      <c r="Q797" s="370"/>
      <c r="R797" s="370"/>
    </row>
    <row r="798">
      <c r="B798" s="670"/>
      <c r="C798" s="609"/>
      <c r="D798" s="609"/>
      <c r="E798" s="671"/>
      <c r="F798" s="672"/>
      <c r="K798" s="370"/>
      <c r="L798" s="370"/>
      <c r="P798" s="208"/>
      <c r="Q798" s="370"/>
      <c r="R798" s="370"/>
    </row>
    <row r="799">
      <c r="B799" s="670"/>
      <c r="C799" s="609"/>
      <c r="D799" s="609"/>
      <c r="E799" s="671"/>
      <c r="F799" s="672"/>
      <c r="K799" s="370"/>
      <c r="L799" s="370"/>
      <c r="P799" s="208"/>
      <c r="Q799" s="370"/>
      <c r="R799" s="370"/>
    </row>
    <row r="800">
      <c r="B800" s="670"/>
      <c r="C800" s="609"/>
      <c r="D800" s="609"/>
      <c r="E800" s="671"/>
      <c r="F800" s="672"/>
      <c r="K800" s="370"/>
      <c r="L800" s="370"/>
      <c r="P800" s="208"/>
      <c r="Q800" s="370"/>
      <c r="R800" s="370"/>
    </row>
    <row r="801">
      <c r="B801" s="670"/>
      <c r="C801" s="609"/>
      <c r="D801" s="609"/>
      <c r="E801" s="671"/>
      <c r="F801" s="672"/>
      <c r="K801" s="370"/>
      <c r="L801" s="370"/>
      <c r="P801" s="208"/>
      <c r="Q801" s="370"/>
      <c r="R801" s="370"/>
    </row>
    <row r="802">
      <c r="B802" s="670"/>
      <c r="C802" s="609"/>
      <c r="D802" s="609"/>
      <c r="E802" s="671"/>
      <c r="F802" s="672"/>
      <c r="K802" s="370"/>
      <c r="L802" s="370"/>
      <c r="P802" s="208"/>
      <c r="Q802" s="370"/>
      <c r="R802" s="370"/>
    </row>
    <row r="803">
      <c r="B803" s="670"/>
      <c r="C803" s="609"/>
      <c r="D803" s="609"/>
      <c r="E803" s="671"/>
      <c r="F803" s="672"/>
      <c r="K803" s="370"/>
      <c r="L803" s="370"/>
      <c r="P803" s="208"/>
      <c r="Q803" s="370"/>
      <c r="R803" s="370"/>
    </row>
    <row r="804">
      <c r="B804" s="670"/>
      <c r="C804" s="609"/>
      <c r="D804" s="609"/>
      <c r="E804" s="671"/>
      <c r="F804" s="672"/>
      <c r="K804" s="370"/>
      <c r="L804" s="370"/>
      <c r="P804" s="208"/>
      <c r="Q804" s="370"/>
      <c r="R804" s="370"/>
    </row>
    <row r="805">
      <c r="B805" s="670"/>
      <c r="C805" s="609"/>
      <c r="D805" s="609"/>
      <c r="E805" s="671"/>
      <c r="F805" s="672"/>
      <c r="K805" s="370"/>
      <c r="L805" s="370"/>
      <c r="P805" s="208"/>
      <c r="Q805" s="370"/>
      <c r="R805" s="370"/>
    </row>
    <row r="806">
      <c r="B806" s="670"/>
      <c r="C806" s="609"/>
      <c r="D806" s="609"/>
      <c r="E806" s="671"/>
      <c r="F806" s="672"/>
      <c r="K806" s="370"/>
      <c r="L806" s="370"/>
      <c r="P806" s="208"/>
      <c r="Q806" s="370"/>
      <c r="R806" s="370"/>
    </row>
    <row r="807">
      <c r="B807" s="670"/>
      <c r="C807" s="609"/>
      <c r="D807" s="609"/>
      <c r="E807" s="671"/>
      <c r="F807" s="672"/>
      <c r="K807" s="370"/>
      <c r="L807" s="370"/>
      <c r="P807" s="208"/>
      <c r="Q807" s="370"/>
      <c r="R807" s="370"/>
    </row>
    <row r="808">
      <c r="B808" s="670"/>
      <c r="C808" s="609"/>
      <c r="D808" s="609"/>
      <c r="E808" s="671"/>
      <c r="F808" s="672"/>
      <c r="K808" s="370"/>
      <c r="L808" s="370"/>
      <c r="P808" s="208"/>
      <c r="Q808" s="370"/>
      <c r="R808" s="370"/>
    </row>
    <row r="809">
      <c r="B809" s="670"/>
      <c r="C809" s="609"/>
      <c r="D809" s="609"/>
      <c r="E809" s="671"/>
      <c r="F809" s="672"/>
      <c r="K809" s="370"/>
      <c r="L809" s="370"/>
      <c r="P809" s="208"/>
      <c r="Q809" s="370"/>
      <c r="R809" s="370"/>
    </row>
    <row r="810">
      <c r="B810" s="670"/>
      <c r="C810" s="609"/>
      <c r="D810" s="609"/>
      <c r="E810" s="671"/>
      <c r="F810" s="672"/>
      <c r="K810" s="370"/>
      <c r="L810" s="370"/>
      <c r="P810" s="208"/>
      <c r="Q810" s="370"/>
      <c r="R810" s="370"/>
    </row>
    <row r="811">
      <c r="B811" s="670"/>
      <c r="C811" s="609"/>
      <c r="D811" s="609"/>
      <c r="E811" s="671"/>
      <c r="F811" s="672"/>
      <c r="K811" s="370"/>
      <c r="L811" s="370"/>
      <c r="P811" s="208"/>
      <c r="Q811" s="370"/>
      <c r="R811" s="370"/>
    </row>
    <row r="812">
      <c r="B812" s="670"/>
      <c r="C812" s="609"/>
      <c r="D812" s="609"/>
      <c r="E812" s="671"/>
      <c r="F812" s="672"/>
      <c r="K812" s="370"/>
      <c r="L812" s="370"/>
      <c r="P812" s="208"/>
      <c r="Q812" s="370"/>
      <c r="R812" s="370"/>
    </row>
    <row r="813">
      <c r="B813" s="670"/>
      <c r="C813" s="609"/>
      <c r="D813" s="609"/>
      <c r="E813" s="671"/>
      <c r="F813" s="672"/>
      <c r="K813" s="370"/>
      <c r="L813" s="370"/>
      <c r="P813" s="208"/>
      <c r="Q813" s="370"/>
      <c r="R813" s="370"/>
    </row>
    <row r="814">
      <c r="B814" s="670"/>
      <c r="C814" s="609"/>
      <c r="D814" s="609"/>
      <c r="E814" s="671"/>
      <c r="F814" s="672"/>
      <c r="K814" s="370"/>
      <c r="L814" s="370"/>
      <c r="P814" s="208"/>
      <c r="Q814" s="370"/>
      <c r="R814" s="370"/>
    </row>
    <row r="815">
      <c r="B815" s="670"/>
      <c r="C815" s="609"/>
      <c r="D815" s="609"/>
      <c r="E815" s="671"/>
      <c r="F815" s="672"/>
      <c r="K815" s="370"/>
      <c r="L815" s="370"/>
      <c r="P815" s="208"/>
      <c r="Q815" s="370"/>
      <c r="R815" s="370"/>
    </row>
    <row r="816">
      <c r="B816" s="670"/>
      <c r="C816" s="609"/>
      <c r="D816" s="609"/>
      <c r="E816" s="671"/>
      <c r="F816" s="672"/>
      <c r="K816" s="370"/>
      <c r="L816" s="370"/>
      <c r="P816" s="208"/>
      <c r="Q816" s="370"/>
      <c r="R816" s="370"/>
    </row>
    <row r="817">
      <c r="B817" s="670"/>
      <c r="C817" s="609"/>
      <c r="D817" s="609"/>
      <c r="E817" s="671"/>
      <c r="F817" s="672"/>
      <c r="K817" s="370"/>
      <c r="L817" s="370"/>
      <c r="P817" s="208"/>
      <c r="Q817" s="370"/>
      <c r="R817" s="370"/>
    </row>
    <row r="818">
      <c r="B818" s="670"/>
      <c r="C818" s="609"/>
      <c r="D818" s="609"/>
      <c r="E818" s="671"/>
      <c r="F818" s="672"/>
      <c r="K818" s="370"/>
      <c r="L818" s="370"/>
      <c r="P818" s="208"/>
      <c r="Q818" s="370"/>
      <c r="R818" s="370"/>
    </row>
    <row r="819">
      <c r="B819" s="670"/>
      <c r="C819" s="609"/>
      <c r="D819" s="609"/>
      <c r="E819" s="671"/>
      <c r="F819" s="672"/>
      <c r="K819" s="370"/>
      <c r="L819" s="370"/>
      <c r="P819" s="208"/>
      <c r="Q819" s="370"/>
      <c r="R819" s="370"/>
    </row>
    <row r="820">
      <c r="B820" s="670"/>
      <c r="C820" s="609"/>
      <c r="D820" s="609"/>
      <c r="E820" s="671"/>
      <c r="F820" s="672"/>
      <c r="K820" s="370"/>
      <c r="L820" s="370"/>
      <c r="P820" s="208"/>
      <c r="Q820" s="370"/>
      <c r="R820" s="370"/>
    </row>
    <row r="821">
      <c r="B821" s="670"/>
      <c r="C821" s="609"/>
      <c r="D821" s="609"/>
      <c r="E821" s="671"/>
      <c r="F821" s="672"/>
      <c r="K821" s="370"/>
      <c r="L821" s="370"/>
      <c r="P821" s="208"/>
      <c r="Q821" s="370"/>
      <c r="R821" s="370"/>
    </row>
    <row r="822">
      <c r="B822" s="670"/>
      <c r="C822" s="609"/>
      <c r="D822" s="609"/>
      <c r="E822" s="671"/>
      <c r="F822" s="672"/>
      <c r="K822" s="370"/>
      <c r="L822" s="370"/>
      <c r="P822" s="208"/>
      <c r="Q822" s="370"/>
      <c r="R822" s="370"/>
    </row>
    <row r="823">
      <c r="B823" s="670"/>
      <c r="C823" s="609"/>
      <c r="D823" s="609"/>
      <c r="E823" s="671"/>
      <c r="F823" s="672"/>
      <c r="K823" s="370"/>
      <c r="L823" s="370"/>
      <c r="P823" s="208"/>
      <c r="Q823" s="370"/>
      <c r="R823" s="370"/>
    </row>
    <row r="824">
      <c r="B824" s="670"/>
      <c r="C824" s="609"/>
      <c r="D824" s="609"/>
      <c r="E824" s="671"/>
      <c r="F824" s="672"/>
      <c r="K824" s="370"/>
      <c r="L824" s="370"/>
      <c r="P824" s="208"/>
      <c r="Q824" s="370"/>
      <c r="R824" s="370"/>
    </row>
    <row r="825">
      <c r="B825" s="670"/>
      <c r="C825" s="609"/>
      <c r="D825" s="609"/>
      <c r="E825" s="671"/>
      <c r="F825" s="672"/>
      <c r="K825" s="370"/>
      <c r="L825" s="370"/>
      <c r="P825" s="208"/>
      <c r="Q825" s="370"/>
      <c r="R825" s="370"/>
    </row>
    <row r="826">
      <c r="B826" s="670"/>
      <c r="C826" s="609"/>
      <c r="D826" s="609"/>
      <c r="E826" s="671"/>
      <c r="F826" s="672"/>
      <c r="K826" s="370"/>
      <c r="L826" s="370"/>
      <c r="P826" s="208"/>
      <c r="Q826" s="370"/>
      <c r="R826" s="370"/>
    </row>
    <row r="827">
      <c r="B827" s="670"/>
      <c r="C827" s="609"/>
      <c r="D827" s="609"/>
      <c r="E827" s="671"/>
      <c r="F827" s="672"/>
      <c r="K827" s="370"/>
      <c r="L827" s="370"/>
      <c r="P827" s="208"/>
      <c r="Q827" s="370"/>
      <c r="R827" s="370"/>
    </row>
    <row r="828">
      <c r="B828" s="670"/>
      <c r="C828" s="609"/>
      <c r="D828" s="609"/>
      <c r="E828" s="671"/>
      <c r="F828" s="672"/>
      <c r="K828" s="370"/>
      <c r="L828" s="370"/>
      <c r="P828" s="208"/>
      <c r="Q828" s="370"/>
      <c r="R828" s="370"/>
    </row>
    <row r="829">
      <c r="B829" s="670"/>
      <c r="C829" s="609"/>
      <c r="D829" s="609"/>
      <c r="E829" s="671"/>
      <c r="F829" s="672"/>
      <c r="K829" s="370"/>
      <c r="L829" s="370"/>
      <c r="P829" s="208"/>
      <c r="Q829" s="370"/>
      <c r="R829" s="370"/>
    </row>
    <row r="830">
      <c r="B830" s="670"/>
      <c r="C830" s="609"/>
      <c r="D830" s="609"/>
      <c r="E830" s="671"/>
      <c r="F830" s="672"/>
      <c r="K830" s="370"/>
      <c r="L830" s="370"/>
      <c r="P830" s="208"/>
      <c r="Q830" s="370"/>
      <c r="R830" s="370"/>
    </row>
    <row r="831">
      <c r="B831" s="670"/>
      <c r="C831" s="609"/>
      <c r="D831" s="609"/>
      <c r="E831" s="671"/>
      <c r="F831" s="672"/>
      <c r="K831" s="370"/>
      <c r="L831" s="370"/>
      <c r="P831" s="208"/>
      <c r="Q831" s="370"/>
      <c r="R831" s="370"/>
    </row>
    <row r="832">
      <c r="B832" s="670"/>
      <c r="C832" s="609"/>
      <c r="D832" s="609"/>
      <c r="E832" s="671"/>
      <c r="F832" s="672"/>
      <c r="K832" s="370"/>
      <c r="L832" s="370"/>
      <c r="P832" s="208"/>
      <c r="Q832" s="370"/>
      <c r="R832" s="370"/>
    </row>
    <row r="833">
      <c r="B833" s="670"/>
      <c r="C833" s="609"/>
      <c r="D833" s="609"/>
      <c r="E833" s="671"/>
      <c r="F833" s="672"/>
      <c r="K833" s="370"/>
      <c r="L833" s="370"/>
      <c r="P833" s="208"/>
      <c r="Q833" s="370"/>
      <c r="R833" s="370"/>
    </row>
    <row r="834">
      <c r="B834" s="670"/>
      <c r="C834" s="609"/>
      <c r="D834" s="609"/>
      <c r="E834" s="671"/>
      <c r="F834" s="672"/>
      <c r="K834" s="370"/>
      <c r="L834" s="370"/>
      <c r="P834" s="208"/>
      <c r="Q834" s="370"/>
      <c r="R834" s="370"/>
    </row>
    <row r="835">
      <c r="B835" s="670"/>
      <c r="C835" s="609"/>
      <c r="D835" s="609"/>
      <c r="E835" s="671"/>
      <c r="F835" s="672"/>
      <c r="K835" s="370"/>
      <c r="L835" s="370"/>
      <c r="P835" s="208"/>
      <c r="Q835" s="370"/>
      <c r="R835" s="370"/>
    </row>
    <row r="836">
      <c r="B836" s="670"/>
      <c r="C836" s="609"/>
      <c r="D836" s="609"/>
      <c r="E836" s="671"/>
      <c r="F836" s="672"/>
      <c r="K836" s="370"/>
      <c r="L836" s="370"/>
      <c r="P836" s="208"/>
      <c r="Q836" s="370"/>
      <c r="R836" s="370"/>
    </row>
    <row r="837">
      <c r="B837" s="670"/>
      <c r="C837" s="609"/>
      <c r="D837" s="609"/>
      <c r="E837" s="671"/>
      <c r="F837" s="672"/>
      <c r="K837" s="370"/>
      <c r="L837" s="370"/>
      <c r="P837" s="208"/>
      <c r="Q837" s="370"/>
      <c r="R837" s="370"/>
    </row>
    <row r="838">
      <c r="B838" s="670"/>
      <c r="C838" s="609"/>
      <c r="D838" s="609"/>
      <c r="E838" s="671"/>
      <c r="F838" s="672"/>
      <c r="K838" s="370"/>
      <c r="L838" s="370"/>
      <c r="P838" s="208"/>
      <c r="Q838" s="370"/>
      <c r="R838" s="370"/>
    </row>
    <row r="839">
      <c r="B839" s="670"/>
      <c r="C839" s="609"/>
      <c r="D839" s="609"/>
      <c r="E839" s="671"/>
      <c r="F839" s="672"/>
      <c r="K839" s="370"/>
      <c r="L839" s="370"/>
      <c r="P839" s="208"/>
      <c r="Q839" s="370"/>
      <c r="R839" s="370"/>
    </row>
    <row r="840">
      <c r="B840" s="670"/>
      <c r="C840" s="609"/>
      <c r="D840" s="609"/>
      <c r="E840" s="671"/>
      <c r="F840" s="672"/>
      <c r="K840" s="370"/>
      <c r="L840" s="370"/>
      <c r="P840" s="208"/>
      <c r="Q840" s="370"/>
      <c r="R840" s="370"/>
    </row>
    <row r="841">
      <c r="B841" s="670"/>
      <c r="C841" s="609"/>
      <c r="D841" s="609"/>
      <c r="E841" s="671"/>
      <c r="F841" s="672"/>
      <c r="K841" s="370"/>
      <c r="L841" s="370"/>
      <c r="P841" s="208"/>
      <c r="Q841" s="370"/>
      <c r="R841" s="370"/>
    </row>
    <row r="842">
      <c r="B842" s="670"/>
      <c r="C842" s="609"/>
      <c r="D842" s="609"/>
      <c r="E842" s="671"/>
      <c r="F842" s="672"/>
      <c r="K842" s="370"/>
      <c r="L842" s="370"/>
      <c r="P842" s="208"/>
      <c r="Q842" s="370"/>
      <c r="R842" s="370"/>
    </row>
    <row r="843">
      <c r="B843" s="670"/>
      <c r="C843" s="609"/>
      <c r="D843" s="609"/>
      <c r="E843" s="671"/>
      <c r="F843" s="672"/>
      <c r="K843" s="370"/>
      <c r="L843" s="370"/>
      <c r="P843" s="208"/>
      <c r="Q843" s="370"/>
      <c r="R843" s="370"/>
    </row>
    <row r="844">
      <c r="B844" s="670"/>
      <c r="C844" s="609"/>
      <c r="D844" s="609"/>
      <c r="E844" s="671"/>
      <c r="F844" s="672"/>
      <c r="K844" s="370"/>
      <c r="L844" s="370"/>
      <c r="P844" s="208"/>
      <c r="Q844" s="370"/>
      <c r="R844" s="370"/>
    </row>
    <row r="845">
      <c r="B845" s="670"/>
      <c r="C845" s="609"/>
      <c r="D845" s="609"/>
      <c r="E845" s="671"/>
      <c r="F845" s="672"/>
      <c r="K845" s="370"/>
      <c r="L845" s="370"/>
      <c r="P845" s="208"/>
      <c r="Q845" s="370"/>
      <c r="R845" s="370"/>
    </row>
    <row r="846">
      <c r="B846" s="670"/>
      <c r="C846" s="609"/>
      <c r="D846" s="609"/>
      <c r="E846" s="671"/>
      <c r="F846" s="672"/>
      <c r="K846" s="370"/>
      <c r="L846" s="370"/>
      <c r="P846" s="208"/>
      <c r="Q846" s="370"/>
      <c r="R846" s="370"/>
    </row>
    <row r="847">
      <c r="B847" s="670"/>
      <c r="C847" s="609"/>
      <c r="D847" s="609"/>
      <c r="E847" s="671"/>
      <c r="F847" s="672"/>
      <c r="K847" s="370"/>
      <c r="L847" s="370"/>
      <c r="P847" s="208"/>
      <c r="Q847" s="370"/>
      <c r="R847" s="370"/>
    </row>
    <row r="848">
      <c r="B848" s="670"/>
      <c r="C848" s="609"/>
      <c r="D848" s="609"/>
      <c r="E848" s="671"/>
      <c r="F848" s="672"/>
      <c r="K848" s="370"/>
      <c r="L848" s="370"/>
      <c r="P848" s="208"/>
      <c r="Q848" s="370"/>
      <c r="R848" s="370"/>
    </row>
    <row r="849">
      <c r="B849" s="670"/>
      <c r="C849" s="609"/>
      <c r="D849" s="609"/>
      <c r="E849" s="671"/>
      <c r="F849" s="672"/>
      <c r="K849" s="370"/>
      <c r="L849" s="370"/>
      <c r="P849" s="208"/>
      <c r="Q849" s="370"/>
      <c r="R849" s="370"/>
    </row>
    <row r="850">
      <c r="B850" s="670"/>
      <c r="C850" s="609"/>
      <c r="D850" s="609"/>
      <c r="E850" s="671"/>
      <c r="F850" s="672"/>
      <c r="K850" s="370"/>
      <c r="L850" s="370"/>
      <c r="P850" s="208"/>
      <c r="Q850" s="370"/>
      <c r="R850" s="370"/>
    </row>
    <row r="851">
      <c r="B851" s="670"/>
      <c r="C851" s="609"/>
      <c r="D851" s="609"/>
      <c r="E851" s="671"/>
      <c r="F851" s="672"/>
      <c r="K851" s="370"/>
      <c r="L851" s="370"/>
      <c r="P851" s="208"/>
      <c r="Q851" s="370"/>
      <c r="R851" s="370"/>
    </row>
    <row r="852">
      <c r="B852" s="670"/>
      <c r="C852" s="609"/>
      <c r="D852" s="609"/>
      <c r="E852" s="671"/>
      <c r="F852" s="672"/>
      <c r="K852" s="370"/>
      <c r="L852" s="370"/>
      <c r="P852" s="208"/>
      <c r="Q852" s="370"/>
      <c r="R852" s="370"/>
    </row>
    <row r="853">
      <c r="B853" s="670"/>
      <c r="C853" s="609"/>
      <c r="D853" s="609"/>
      <c r="E853" s="671"/>
      <c r="F853" s="672"/>
      <c r="K853" s="370"/>
      <c r="L853" s="370"/>
      <c r="P853" s="208"/>
      <c r="Q853" s="370"/>
      <c r="R853" s="370"/>
    </row>
    <row r="854">
      <c r="B854" s="670"/>
      <c r="C854" s="609"/>
      <c r="D854" s="609"/>
      <c r="E854" s="671"/>
      <c r="F854" s="672"/>
      <c r="K854" s="370"/>
      <c r="L854" s="370"/>
      <c r="P854" s="208"/>
      <c r="Q854" s="370"/>
      <c r="R854" s="370"/>
    </row>
    <row r="855">
      <c r="B855" s="670"/>
      <c r="C855" s="609"/>
      <c r="D855" s="609"/>
      <c r="E855" s="671"/>
      <c r="F855" s="672"/>
      <c r="K855" s="370"/>
      <c r="L855" s="370"/>
      <c r="P855" s="208"/>
      <c r="Q855" s="370"/>
      <c r="R855" s="370"/>
    </row>
    <row r="856">
      <c r="B856" s="670"/>
      <c r="C856" s="609"/>
      <c r="D856" s="609"/>
      <c r="E856" s="671"/>
      <c r="F856" s="672"/>
      <c r="K856" s="370"/>
      <c r="L856" s="370"/>
      <c r="P856" s="208"/>
      <c r="Q856" s="370"/>
      <c r="R856" s="370"/>
    </row>
    <row r="857">
      <c r="B857" s="670"/>
      <c r="C857" s="609"/>
      <c r="D857" s="609"/>
      <c r="E857" s="671"/>
      <c r="F857" s="672"/>
      <c r="K857" s="370"/>
      <c r="L857" s="370"/>
      <c r="P857" s="208"/>
      <c r="Q857" s="370"/>
      <c r="R857" s="370"/>
    </row>
    <row r="858">
      <c r="B858" s="670"/>
      <c r="C858" s="609"/>
      <c r="D858" s="609"/>
      <c r="E858" s="671"/>
      <c r="F858" s="672"/>
      <c r="K858" s="370"/>
      <c r="L858" s="370"/>
      <c r="P858" s="208"/>
      <c r="Q858" s="370"/>
      <c r="R858" s="370"/>
    </row>
    <row r="859">
      <c r="B859" s="670"/>
      <c r="C859" s="609"/>
      <c r="D859" s="609"/>
      <c r="E859" s="671"/>
      <c r="F859" s="672"/>
      <c r="K859" s="370"/>
      <c r="L859" s="370"/>
      <c r="P859" s="208"/>
      <c r="Q859" s="370"/>
      <c r="R859" s="370"/>
    </row>
    <row r="860">
      <c r="B860" s="670"/>
      <c r="C860" s="609"/>
      <c r="D860" s="609"/>
      <c r="E860" s="671"/>
      <c r="F860" s="672"/>
      <c r="K860" s="370"/>
      <c r="L860" s="370"/>
      <c r="P860" s="208"/>
      <c r="Q860" s="370"/>
      <c r="R860" s="370"/>
    </row>
    <row r="861">
      <c r="B861" s="670"/>
      <c r="C861" s="609"/>
      <c r="D861" s="609"/>
      <c r="E861" s="671"/>
      <c r="F861" s="672"/>
      <c r="K861" s="370"/>
      <c r="L861" s="370"/>
      <c r="P861" s="208"/>
      <c r="Q861" s="370"/>
      <c r="R861" s="370"/>
    </row>
    <row r="862">
      <c r="B862" s="670"/>
      <c r="C862" s="609"/>
      <c r="D862" s="609"/>
      <c r="E862" s="671"/>
      <c r="F862" s="672"/>
      <c r="K862" s="370"/>
      <c r="L862" s="370"/>
      <c r="P862" s="208"/>
      <c r="Q862" s="370"/>
      <c r="R862" s="370"/>
    </row>
    <row r="863">
      <c r="B863" s="670"/>
      <c r="C863" s="609"/>
      <c r="D863" s="609"/>
      <c r="E863" s="671"/>
      <c r="F863" s="672"/>
      <c r="K863" s="370"/>
      <c r="L863" s="370"/>
      <c r="P863" s="208"/>
      <c r="Q863" s="370"/>
      <c r="R863" s="370"/>
    </row>
    <row r="864">
      <c r="B864" s="670"/>
      <c r="C864" s="609"/>
      <c r="D864" s="609"/>
      <c r="E864" s="671"/>
      <c r="F864" s="672"/>
      <c r="K864" s="370"/>
      <c r="L864" s="370"/>
      <c r="P864" s="208"/>
      <c r="Q864" s="370"/>
      <c r="R864" s="370"/>
    </row>
    <row r="865">
      <c r="B865" s="670"/>
      <c r="C865" s="609"/>
      <c r="D865" s="609"/>
      <c r="E865" s="671"/>
      <c r="F865" s="672"/>
      <c r="K865" s="370"/>
      <c r="L865" s="370"/>
      <c r="P865" s="208"/>
      <c r="Q865" s="370"/>
      <c r="R865" s="370"/>
    </row>
    <row r="866">
      <c r="B866" s="670"/>
      <c r="C866" s="609"/>
      <c r="D866" s="609"/>
      <c r="E866" s="671"/>
      <c r="F866" s="672"/>
      <c r="K866" s="370"/>
      <c r="L866" s="370"/>
      <c r="P866" s="208"/>
      <c r="Q866" s="370"/>
      <c r="R866" s="370"/>
    </row>
    <row r="867">
      <c r="B867" s="670"/>
      <c r="C867" s="609"/>
      <c r="D867" s="609"/>
      <c r="E867" s="671"/>
      <c r="F867" s="672"/>
      <c r="K867" s="370"/>
      <c r="L867" s="370"/>
      <c r="P867" s="208"/>
      <c r="Q867" s="370"/>
      <c r="R867" s="370"/>
    </row>
    <row r="868">
      <c r="B868" s="670"/>
      <c r="C868" s="609"/>
      <c r="D868" s="609"/>
      <c r="E868" s="671"/>
      <c r="F868" s="672"/>
      <c r="K868" s="370"/>
      <c r="L868" s="370"/>
      <c r="P868" s="208"/>
      <c r="Q868" s="370"/>
      <c r="R868" s="370"/>
    </row>
    <row r="869">
      <c r="B869" s="670"/>
      <c r="C869" s="609"/>
      <c r="D869" s="609"/>
      <c r="E869" s="671"/>
      <c r="F869" s="672"/>
      <c r="K869" s="370"/>
      <c r="L869" s="370"/>
      <c r="P869" s="208"/>
      <c r="Q869" s="370"/>
      <c r="R869" s="370"/>
    </row>
    <row r="870">
      <c r="B870" s="670"/>
      <c r="C870" s="609"/>
      <c r="D870" s="609"/>
      <c r="E870" s="671"/>
      <c r="F870" s="672"/>
      <c r="K870" s="370"/>
      <c r="L870" s="370"/>
      <c r="P870" s="208"/>
      <c r="Q870" s="370"/>
      <c r="R870" s="370"/>
    </row>
    <row r="871">
      <c r="B871" s="670"/>
      <c r="C871" s="609"/>
      <c r="D871" s="609"/>
      <c r="E871" s="671"/>
      <c r="F871" s="672"/>
      <c r="K871" s="370"/>
      <c r="L871" s="370"/>
      <c r="P871" s="208"/>
      <c r="Q871" s="370"/>
      <c r="R871" s="370"/>
    </row>
    <row r="872">
      <c r="B872" s="670"/>
      <c r="C872" s="609"/>
      <c r="D872" s="609"/>
      <c r="E872" s="671"/>
      <c r="F872" s="672"/>
      <c r="K872" s="370"/>
      <c r="L872" s="370"/>
      <c r="P872" s="208"/>
      <c r="Q872" s="370"/>
      <c r="R872" s="370"/>
    </row>
    <row r="873">
      <c r="B873" s="670"/>
      <c r="C873" s="609"/>
      <c r="D873" s="609"/>
      <c r="E873" s="671"/>
      <c r="F873" s="672"/>
      <c r="K873" s="370"/>
      <c r="L873" s="370"/>
      <c r="P873" s="208"/>
      <c r="Q873" s="370"/>
      <c r="R873" s="370"/>
    </row>
    <row r="874">
      <c r="B874" s="670"/>
      <c r="C874" s="609"/>
      <c r="D874" s="609"/>
      <c r="E874" s="671"/>
      <c r="F874" s="672"/>
      <c r="K874" s="370"/>
      <c r="L874" s="370"/>
      <c r="P874" s="208"/>
      <c r="Q874" s="370"/>
      <c r="R874" s="370"/>
    </row>
    <row r="875">
      <c r="B875" s="670"/>
      <c r="C875" s="609"/>
      <c r="D875" s="609"/>
      <c r="E875" s="671"/>
      <c r="F875" s="672"/>
      <c r="K875" s="370"/>
      <c r="L875" s="370"/>
      <c r="P875" s="208"/>
      <c r="Q875" s="370"/>
      <c r="R875" s="370"/>
    </row>
    <row r="876">
      <c r="B876" s="670"/>
      <c r="C876" s="609"/>
      <c r="D876" s="609"/>
      <c r="E876" s="671"/>
      <c r="F876" s="672"/>
      <c r="K876" s="370"/>
      <c r="L876" s="370"/>
      <c r="P876" s="208"/>
      <c r="Q876" s="370"/>
      <c r="R876" s="370"/>
    </row>
    <row r="877">
      <c r="B877" s="670"/>
      <c r="C877" s="609"/>
      <c r="D877" s="609"/>
      <c r="E877" s="671"/>
      <c r="F877" s="672"/>
      <c r="K877" s="370"/>
      <c r="L877" s="370"/>
      <c r="P877" s="208"/>
      <c r="Q877" s="370"/>
      <c r="R877" s="370"/>
    </row>
    <row r="878">
      <c r="B878" s="670"/>
      <c r="C878" s="609"/>
      <c r="D878" s="609"/>
      <c r="E878" s="671"/>
      <c r="F878" s="672"/>
      <c r="K878" s="370"/>
      <c r="L878" s="370"/>
      <c r="P878" s="208"/>
      <c r="Q878" s="370"/>
      <c r="R878" s="370"/>
    </row>
    <row r="879">
      <c r="B879" s="670"/>
      <c r="C879" s="609"/>
      <c r="D879" s="609"/>
      <c r="E879" s="671"/>
      <c r="F879" s="672"/>
      <c r="K879" s="370"/>
      <c r="L879" s="370"/>
      <c r="P879" s="208"/>
      <c r="Q879" s="370"/>
      <c r="R879" s="370"/>
    </row>
    <row r="880">
      <c r="B880" s="670"/>
      <c r="C880" s="609"/>
      <c r="D880" s="609"/>
      <c r="E880" s="671"/>
      <c r="F880" s="672"/>
      <c r="K880" s="370"/>
      <c r="L880" s="370"/>
      <c r="P880" s="208"/>
      <c r="Q880" s="370"/>
      <c r="R880" s="370"/>
    </row>
    <row r="881">
      <c r="B881" s="670"/>
      <c r="C881" s="609"/>
      <c r="D881" s="609"/>
      <c r="E881" s="671"/>
      <c r="F881" s="672"/>
      <c r="K881" s="370"/>
      <c r="L881" s="370"/>
      <c r="P881" s="208"/>
      <c r="Q881" s="370"/>
      <c r="R881" s="370"/>
    </row>
    <row r="882">
      <c r="B882" s="670"/>
      <c r="C882" s="609"/>
      <c r="D882" s="609"/>
      <c r="E882" s="671"/>
      <c r="F882" s="672"/>
      <c r="K882" s="370"/>
      <c r="L882" s="370"/>
      <c r="P882" s="208"/>
      <c r="Q882" s="370"/>
      <c r="R882" s="370"/>
    </row>
    <row r="883">
      <c r="B883" s="670"/>
      <c r="C883" s="609"/>
      <c r="D883" s="609"/>
      <c r="E883" s="671"/>
      <c r="F883" s="672"/>
      <c r="K883" s="370"/>
      <c r="L883" s="370"/>
      <c r="P883" s="208"/>
      <c r="Q883" s="370"/>
      <c r="R883" s="370"/>
    </row>
    <row r="884">
      <c r="B884" s="670"/>
      <c r="C884" s="609"/>
      <c r="D884" s="609"/>
      <c r="E884" s="671"/>
      <c r="F884" s="672"/>
      <c r="K884" s="370"/>
      <c r="L884" s="370"/>
      <c r="P884" s="208"/>
      <c r="Q884" s="370"/>
      <c r="R884" s="370"/>
    </row>
    <row r="885">
      <c r="B885" s="670"/>
      <c r="C885" s="609"/>
      <c r="D885" s="609"/>
      <c r="E885" s="671"/>
      <c r="F885" s="672"/>
      <c r="K885" s="370"/>
      <c r="L885" s="370"/>
      <c r="P885" s="208"/>
      <c r="Q885" s="370"/>
      <c r="R885" s="370"/>
    </row>
    <row r="886">
      <c r="B886" s="670"/>
      <c r="C886" s="609"/>
      <c r="D886" s="609"/>
      <c r="E886" s="671"/>
      <c r="F886" s="672"/>
      <c r="K886" s="370"/>
      <c r="L886" s="370"/>
      <c r="P886" s="208"/>
      <c r="Q886" s="370"/>
      <c r="R886" s="370"/>
    </row>
    <row r="887">
      <c r="B887" s="670"/>
      <c r="C887" s="609"/>
      <c r="D887" s="609"/>
      <c r="E887" s="671"/>
      <c r="F887" s="672"/>
      <c r="K887" s="370"/>
      <c r="L887" s="370"/>
      <c r="P887" s="208"/>
      <c r="Q887" s="370"/>
      <c r="R887" s="370"/>
    </row>
    <row r="888">
      <c r="B888" s="670"/>
      <c r="C888" s="609"/>
      <c r="D888" s="609"/>
      <c r="E888" s="671"/>
      <c r="F888" s="672"/>
      <c r="K888" s="370"/>
      <c r="L888" s="370"/>
      <c r="P888" s="208"/>
      <c r="Q888" s="370"/>
      <c r="R888" s="370"/>
    </row>
    <row r="889">
      <c r="B889" s="670"/>
      <c r="C889" s="609"/>
      <c r="D889" s="609"/>
      <c r="E889" s="671"/>
      <c r="F889" s="672"/>
      <c r="K889" s="370"/>
      <c r="L889" s="370"/>
      <c r="P889" s="208"/>
      <c r="Q889" s="370"/>
      <c r="R889" s="370"/>
    </row>
    <row r="890">
      <c r="B890" s="670"/>
      <c r="C890" s="609"/>
      <c r="D890" s="609"/>
      <c r="E890" s="671"/>
      <c r="F890" s="672"/>
      <c r="K890" s="370"/>
      <c r="L890" s="370"/>
      <c r="P890" s="208"/>
      <c r="Q890" s="370"/>
      <c r="R890" s="370"/>
    </row>
    <row r="891">
      <c r="B891" s="670"/>
      <c r="C891" s="609"/>
      <c r="D891" s="609"/>
      <c r="E891" s="671"/>
      <c r="F891" s="672"/>
      <c r="K891" s="370"/>
      <c r="L891" s="370"/>
      <c r="P891" s="208"/>
      <c r="Q891" s="370"/>
      <c r="R891" s="370"/>
    </row>
    <row r="892">
      <c r="B892" s="670"/>
      <c r="C892" s="609"/>
      <c r="D892" s="609"/>
      <c r="E892" s="671"/>
      <c r="F892" s="672"/>
      <c r="K892" s="370"/>
      <c r="L892" s="370"/>
      <c r="P892" s="208"/>
      <c r="Q892" s="370"/>
      <c r="R892" s="370"/>
    </row>
    <row r="893">
      <c r="B893" s="670"/>
      <c r="C893" s="609"/>
      <c r="D893" s="609"/>
      <c r="E893" s="671"/>
      <c r="F893" s="672"/>
      <c r="K893" s="370"/>
      <c r="L893" s="370"/>
      <c r="P893" s="208"/>
      <c r="Q893" s="370"/>
      <c r="R893" s="370"/>
    </row>
    <row r="894">
      <c r="B894" s="670"/>
      <c r="C894" s="609"/>
      <c r="D894" s="609"/>
      <c r="E894" s="671"/>
      <c r="F894" s="672"/>
      <c r="K894" s="370"/>
      <c r="L894" s="370"/>
      <c r="P894" s="208"/>
      <c r="Q894" s="370"/>
      <c r="R894" s="370"/>
    </row>
    <row r="895">
      <c r="B895" s="670"/>
      <c r="C895" s="609"/>
      <c r="D895" s="609"/>
      <c r="E895" s="671"/>
      <c r="F895" s="672"/>
      <c r="K895" s="370"/>
      <c r="L895" s="370"/>
      <c r="P895" s="208"/>
      <c r="Q895" s="370"/>
      <c r="R895" s="370"/>
    </row>
    <row r="896">
      <c r="B896" s="670"/>
      <c r="C896" s="609"/>
      <c r="D896" s="609"/>
      <c r="E896" s="671"/>
      <c r="F896" s="672"/>
      <c r="K896" s="370"/>
      <c r="L896" s="370"/>
      <c r="P896" s="208"/>
      <c r="Q896" s="370"/>
      <c r="R896" s="370"/>
    </row>
    <row r="897">
      <c r="B897" s="670"/>
      <c r="C897" s="609"/>
      <c r="D897" s="609"/>
      <c r="E897" s="671"/>
      <c r="F897" s="672"/>
      <c r="K897" s="370"/>
      <c r="L897" s="370"/>
      <c r="P897" s="208"/>
      <c r="Q897" s="370"/>
      <c r="R897" s="370"/>
    </row>
    <row r="898">
      <c r="B898" s="670"/>
      <c r="C898" s="609"/>
      <c r="D898" s="609"/>
      <c r="E898" s="671"/>
      <c r="F898" s="672"/>
      <c r="K898" s="370"/>
      <c r="L898" s="370"/>
      <c r="P898" s="208"/>
      <c r="Q898" s="370"/>
      <c r="R898" s="370"/>
    </row>
    <row r="899">
      <c r="B899" s="670"/>
      <c r="C899" s="609"/>
      <c r="D899" s="609"/>
      <c r="E899" s="671"/>
      <c r="F899" s="672"/>
      <c r="K899" s="370"/>
      <c r="L899" s="370"/>
      <c r="P899" s="208"/>
      <c r="Q899" s="370"/>
      <c r="R899" s="370"/>
    </row>
    <row r="900">
      <c r="B900" s="670"/>
      <c r="C900" s="609"/>
      <c r="D900" s="609"/>
      <c r="E900" s="671"/>
      <c r="F900" s="672"/>
      <c r="K900" s="370"/>
      <c r="L900" s="370"/>
      <c r="P900" s="208"/>
      <c r="Q900" s="370"/>
      <c r="R900" s="370"/>
    </row>
    <row r="901">
      <c r="B901" s="670"/>
      <c r="C901" s="609"/>
      <c r="D901" s="609"/>
      <c r="E901" s="671"/>
      <c r="F901" s="672"/>
      <c r="K901" s="370"/>
      <c r="L901" s="370"/>
      <c r="P901" s="208"/>
      <c r="Q901" s="370"/>
      <c r="R901" s="370"/>
    </row>
    <row r="902">
      <c r="B902" s="670"/>
      <c r="C902" s="609"/>
      <c r="D902" s="609"/>
      <c r="E902" s="671"/>
      <c r="F902" s="672"/>
      <c r="K902" s="370"/>
      <c r="L902" s="370"/>
      <c r="P902" s="208"/>
      <c r="Q902" s="370"/>
      <c r="R902" s="370"/>
    </row>
    <row r="903">
      <c r="B903" s="670"/>
      <c r="C903" s="609"/>
      <c r="D903" s="609"/>
      <c r="E903" s="671"/>
      <c r="F903" s="672"/>
      <c r="K903" s="370"/>
      <c r="L903" s="370"/>
      <c r="P903" s="208"/>
      <c r="Q903" s="370"/>
      <c r="R903" s="370"/>
    </row>
    <row r="904">
      <c r="B904" s="670"/>
      <c r="C904" s="609"/>
      <c r="D904" s="609"/>
      <c r="E904" s="671"/>
      <c r="F904" s="672"/>
      <c r="K904" s="370"/>
      <c r="L904" s="370"/>
      <c r="P904" s="208"/>
      <c r="Q904" s="370"/>
      <c r="R904" s="370"/>
    </row>
    <row r="905">
      <c r="B905" s="670"/>
      <c r="C905" s="609"/>
      <c r="D905" s="609"/>
      <c r="E905" s="671"/>
      <c r="F905" s="672"/>
      <c r="K905" s="370"/>
      <c r="L905" s="370"/>
      <c r="P905" s="208"/>
      <c r="Q905" s="370"/>
      <c r="R905" s="370"/>
    </row>
    <row r="906">
      <c r="B906" s="670"/>
      <c r="C906" s="609"/>
      <c r="D906" s="609"/>
      <c r="E906" s="671"/>
      <c r="F906" s="672"/>
      <c r="K906" s="370"/>
      <c r="L906" s="370"/>
      <c r="P906" s="208"/>
      <c r="Q906" s="370"/>
      <c r="R906" s="370"/>
    </row>
    <row r="907">
      <c r="B907" s="670"/>
      <c r="C907" s="609"/>
      <c r="D907" s="609"/>
      <c r="E907" s="671"/>
      <c r="F907" s="672"/>
      <c r="K907" s="370"/>
      <c r="L907" s="370"/>
      <c r="P907" s="208"/>
      <c r="Q907" s="370"/>
      <c r="R907" s="370"/>
    </row>
    <row r="908">
      <c r="B908" s="670"/>
      <c r="C908" s="609"/>
      <c r="D908" s="609"/>
      <c r="E908" s="671"/>
      <c r="F908" s="672"/>
      <c r="K908" s="370"/>
      <c r="L908" s="370"/>
      <c r="P908" s="208"/>
      <c r="Q908" s="370"/>
      <c r="R908" s="370"/>
    </row>
    <row r="909">
      <c r="B909" s="670"/>
      <c r="C909" s="609"/>
      <c r="D909" s="609"/>
      <c r="E909" s="671"/>
      <c r="F909" s="672"/>
      <c r="K909" s="370"/>
      <c r="L909" s="370"/>
      <c r="P909" s="208"/>
      <c r="Q909" s="370"/>
      <c r="R909" s="370"/>
    </row>
    <row r="910">
      <c r="B910" s="670"/>
      <c r="C910" s="609"/>
      <c r="D910" s="609"/>
      <c r="E910" s="671"/>
      <c r="F910" s="672"/>
      <c r="K910" s="370"/>
      <c r="L910" s="370"/>
      <c r="P910" s="208"/>
      <c r="Q910" s="370"/>
      <c r="R910" s="370"/>
    </row>
    <row r="911">
      <c r="B911" s="670"/>
      <c r="C911" s="609"/>
      <c r="D911" s="609"/>
      <c r="E911" s="671"/>
      <c r="F911" s="672"/>
      <c r="K911" s="370"/>
      <c r="L911" s="370"/>
      <c r="P911" s="208"/>
      <c r="Q911" s="370"/>
      <c r="R911" s="370"/>
    </row>
    <row r="912">
      <c r="B912" s="670"/>
      <c r="C912" s="609"/>
      <c r="D912" s="609"/>
      <c r="E912" s="671"/>
      <c r="F912" s="672"/>
      <c r="K912" s="370"/>
      <c r="L912" s="370"/>
      <c r="P912" s="208"/>
      <c r="Q912" s="370"/>
      <c r="R912" s="370"/>
    </row>
    <row r="913">
      <c r="B913" s="670"/>
      <c r="C913" s="609"/>
      <c r="D913" s="609"/>
      <c r="E913" s="671"/>
      <c r="F913" s="672"/>
      <c r="K913" s="370"/>
      <c r="L913" s="370"/>
      <c r="P913" s="208"/>
      <c r="Q913" s="370"/>
      <c r="R913" s="370"/>
    </row>
    <row r="914">
      <c r="B914" s="670"/>
      <c r="C914" s="609"/>
      <c r="D914" s="609"/>
      <c r="E914" s="671"/>
      <c r="F914" s="672"/>
      <c r="K914" s="370"/>
      <c r="L914" s="370"/>
      <c r="P914" s="208"/>
      <c r="Q914" s="370"/>
      <c r="R914" s="370"/>
    </row>
    <row r="915">
      <c r="B915" s="670"/>
      <c r="C915" s="609"/>
      <c r="D915" s="609"/>
      <c r="E915" s="671"/>
      <c r="F915" s="672"/>
      <c r="K915" s="370"/>
      <c r="L915" s="370"/>
      <c r="P915" s="208"/>
      <c r="Q915" s="370"/>
      <c r="R915" s="370"/>
    </row>
    <row r="916">
      <c r="B916" s="670"/>
      <c r="C916" s="609"/>
      <c r="D916" s="609"/>
      <c r="E916" s="671"/>
      <c r="F916" s="672"/>
      <c r="K916" s="370"/>
      <c r="L916" s="370"/>
      <c r="P916" s="208"/>
      <c r="Q916" s="370"/>
      <c r="R916" s="370"/>
    </row>
    <row r="917">
      <c r="B917" s="670"/>
      <c r="C917" s="609"/>
      <c r="D917" s="609"/>
      <c r="E917" s="671"/>
      <c r="F917" s="672"/>
      <c r="K917" s="370"/>
      <c r="L917" s="370"/>
      <c r="P917" s="208"/>
      <c r="Q917" s="370"/>
      <c r="R917" s="370"/>
    </row>
    <row r="918">
      <c r="B918" s="670"/>
      <c r="C918" s="609"/>
      <c r="D918" s="609"/>
      <c r="E918" s="671"/>
      <c r="F918" s="672"/>
      <c r="K918" s="370"/>
      <c r="L918" s="370"/>
      <c r="P918" s="208"/>
      <c r="Q918" s="370"/>
      <c r="R918" s="370"/>
    </row>
    <row r="919">
      <c r="B919" s="670"/>
      <c r="C919" s="609"/>
      <c r="D919" s="609"/>
      <c r="E919" s="671"/>
      <c r="F919" s="672"/>
      <c r="K919" s="370"/>
      <c r="L919" s="370"/>
      <c r="P919" s="208"/>
      <c r="Q919" s="370"/>
      <c r="R919" s="370"/>
    </row>
    <row r="920">
      <c r="B920" s="670"/>
      <c r="C920" s="609"/>
      <c r="D920" s="609"/>
      <c r="E920" s="671"/>
      <c r="F920" s="672"/>
      <c r="K920" s="370"/>
      <c r="L920" s="370"/>
      <c r="P920" s="208"/>
      <c r="Q920" s="370"/>
      <c r="R920" s="370"/>
    </row>
    <row r="921">
      <c r="B921" s="670"/>
      <c r="C921" s="609"/>
      <c r="D921" s="609"/>
      <c r="E921" s="671"/>
      <c r="F921" s="672"/>
      <c r="K921" s="370"/>
      <c r="L921" s="370"/>
      <c r="P921" s="208"/>
      <c r="Q921" s="370"/>
      <c r="R921" s="370"/>
    </row>
    <row r="922">
      <c r="B922" s="670"/>
      <c r="C922" s="609"/>
      <c r="D922" s="609"/>
      <c r="E922" s="671"/>
      <c r="F922" s="672"/>
      <c r="K922" s="370"/>
      <c r="L922" s="370"/>
      <c r="P922" s="208"/>
      <c r="Q922" s="370"/>
      <c r="R922" s="370"/>
    </row>
    <row r="923">
      <c r="B923" s="670"/>
      <c r="C923" s="609"/>
      <c r="D923" s="609"/>
      <c r="E923" s="671"/>
      <c r="F923" s="672"/>
      <c r="K923" s="370"/>
      <c r="L923" s="370"/>
      <c r="P923" s="208"/>
      <c r="Q923" s="370"/>
      <c r="R923" s="370"/>
    </row>
    <row r="924">
      <c r="B924" s="670"/>
      <c r="C924" s="609"/>
      <c r="D924" s="609"/>
      <c r="E924" s="671"/>
      <c r="F924" s="672"/>
      <c r="K924" s="370"/>
      <c r="L924" s="370"/>
      <c r="P924" s="208"/>
      <c r="Q924" s="370"/>
      <c r="R924" s="370"/>
    </row>
    <row r="925">
      <c r="B925" s="670"/>
      <c r="C925" s="609"/>
      <c r="D925" s="609"/>
      <c r="E925" s="671"/>
      <c r="F925" s="672"/>
      <c r="K925" s="370"/>
      <c r="L925" s="370"/>
      <c r="P925" s="208"/>
      <c r="Q925" s="370"/>
      <c r="R925" s="370"/>
    </row>
    <row r="926">
      <c r="B926" s="670"/>
      <c r="C926" s="609"/>
      <c r="D926" s="609"/>
      <c r="E926" s="671"/>
      <c r="F926" s="672"/>
      <c r="K926" s="370"/>
      <c r="L926" s="370"/>
      <c r="P926" s="208"/>
      <c r="Q926" s="370"/>
      <c r="R926" s="370"/>
    </row>
    <row r="927">
      <c r="B927" s="670"/>
      <c r="C927" s="609"/>
      <c r="D927" s="609"/>
      <c r="E927" s="671"/>
      <c r="F927" s="672"/>
      <c r="K927" s="370"/>
      <c r="L927" s="370"/>
      <c r="P927" s="208"/>
      <c r="Q927" s="370"/>
      <c r="R927" s="370"/>
    </row>
    <row r="928">
      <c r="B928" s="670"/>
      <c r="C928" s="609"/>
      <c r="D928" s="609"/>
      <c r="E928" s="671"/>
      <c r="F928" s="672"/>
      <c r="K928" s="370"/>
      <c r="L928" s="370"/>
      <c r="P928" s="208"/>
      <c r="Q928" s="370"/>
      <c r="R928" s="370"/>
    </row>
    <row r="929">
      <c r="B929" s="670"/>
      <c r="C929" s="609"/>
      <c r="D929" s="609"/>
      <c r="E929" s="671"/>
      <c r="F929" s="672"/>
      <c r="K929" s="370"/>
      <c r="L929" s="370"/>
      <c r="P929" s="208"/>
      <c r="Q929" s="370"/>
      <c r="R929" s="370"/>
    </row>
    <row r="930">
      <c r="B930" s="670"/>
      <c r="C930" s="609"/>
      <c r="D930" s="609"/>
      <c r="E930" s="671"/>
      <c r="F930" s="672"/>
      <c r="K930" s="370"/>
      <c r="L930" s="370"/>
      <c r="P930" s="208"/>
      <c r="Q930" s="370"/>
      <c r="R930" s="370"/>
    </row>
    <row r="931">
      <c r="B931" s="670"/>
      <c r="C931" s="609"/>
      <c r="D931" s="609"/>
      <c r="E931" s="671"/>
      <c r="F931" s="672"/>
      <c r="K931" s="370"/>
      <c r="L931" s="370"/>
      <c r="P931" s="208"/>
      <c r="Q931" s="370"/>
      <c r="R931" s="370"/>
    </row>
    <row r="932">
      <c r="B932" s="670"/>
      <c r="C932" s="609"/>
      <c r="D932" s="609"/>
      <c r="E932" s="671"/>
      <c r="F932" s="672"/>
      <c r="K932" s="370"/>
      <c r="L932" s="370"/>
      <c r="P932" s="208"/>
      <c r="Q932" s="370"/>
      <c r="R932" s="370"/>
    </row>
    <row r="933">
      <c r="B933" s="670"/>
      <c r="C933" s="609"/>
      <c r="D933" s="609"/>
      <c r="E933" s="671"/>
      <c r="F933" s="672"/>
      <c r="K933" s="370"/>
      <c r="L933" s="370"/>
      <c r="P933" s="208"/>
      <c r="Q933" s="370"/>
      <c r="R933" s="370"/>
    </row>
    <row r="934">
      <c r="B934" s="670"/>
      <c r="C934" s="609"/>
      <c r="D934" s="609"/>
      <c r="E934" s="671"/>
      <c r="F934" s="672"/>
      <c r="K934" s="370"/>
      <c r="L934" s="370"/>
      <c r="P934" s="208"/>
      <c r="Q934" s="370"/>
      <c r="R934" s="370"/>
    </row>
    <row r="935">
      <c r="B935" s="670"/>
      <c r="C935" s="609"/>
      <c r="D935" s="609"/>
      <c r="E935" s="671"/>
      <c r="F935" s="672"/>
      <c r="K935" s="370"/>
      <c r="L935" s="370"/>
      <c r="P935" s="208"/>
      <c r="Q935" s="370"/>
      <c r="R935" s="370"/>
    </row>
    <row r="936">
      <c r="B936" s="670"/>
      <c r="C936" s="609"/>
      <c r="D936" s="609"/>
      <c r="E936" s="671"/>
      <c r="F936" s="672"/>
      <c r="K936" s="370"/>
      <c r="L936" s="370"/>
      <c r="P936" s="208"/>
      <c r="Q936" s="370"/>
      <c r="R936" s="370"/>
    </row>
    <row r="937">
      <c r="B937" s="670"/>
      <c r="C937" s="609"/>
      <c r="D937" s="609"/>
      <c r="E937" s="671"/>
      <c r="F937" s="672"/>
      <c r="K937" s="370"/>
      <c r="L937" s="370"/>
      <c r="P937" s="208"/>
      <c r="Q937" s="370"/>
      <c r="R937" s="370"/>
    </row>
    <row r="938">
      <c r="B938" s="670"/>
      <c r="C938" s="609"/>
      <c r="D938" s="609"/>
      <c r="E938" s="671"/>
      <c r="F938" s="672"/>
      <c r="K938" s="370"/>
      <c r="L938" s="370"/>
      <c r="P938" s="208"/>
      <c r="Q938" s="370"/>
      <c r="R938" s="370"/>
    </row>
    <row r="939">
      <c r="B939" s="670"/>
      <c r="C939" s="609"/>
      <c r="D939" s="609"/>
      <c r="E939" s="671"/>
      <c r="F939" s="672"/>
      <c r="K939" s="370"/>
      <c r="L939" s="370"/>
      <c r="P939" s="208"/>
      <c r="Q939" s="370"/>
      <c r="R939" s="370"/>
    </row>
    <row r="940">
      <c r="B940" s="670"/>
      <c r="C940" s="609"/>
      <c r="D940" s="609"/>
      <c r="E940" s="671"/>
      <c r="F940" s="672"/>
      <c r="K940" s="370"/>
      <c r="L940" s="370"/>
      <c r="P940" s="208"/>
      <c r="Q940" s="370"/>
      <c r="R940" s="370"/>
    </row>
    <row r="941">
      <c r="B941" s="670"/>
      <c r="C941" s="609"/>
      <c r="D941" s="609"/>
      <c r="E941" s="671"/>
      <c r="F941" s="672"/>
      <c r="K941" s="370"/>
      <c r="L941" s="370"/>
      <c r="P941" s="208"/>
      <c r="Q941" s="370"/>
      <c r="R941" s="370"/>
    </row>
    <row r="942">
      <c r="B942" s="670"/>
      <c r="C942" s="609"/>
      <c r="D942" s="609"/>
      <c r="E942" s="671"/>
      <c r="F942" s="672"/>
      <c r="K942" s="370"/>
      <c r="L942" s="370"/>
      <c r="P942" s="208"/>
      <c r="Q942" s="370"/>
      <c r="R942" s="370"/>
    </row>
    <row r="943">
      <c r="B943" s="670"/>
      <c r="C943" s="609"/>
      <c r="D943" s="609"/>
      <c r="E943" s="671"/>
      <c r="F943" s="672"/>
      <c r="K943" s="370"/>
      <c r="L943" s="370"/>
      <c r="P943" s="208"/>
      <c r="Q943" s="370"/>
      <c r="R943" s="370"/>
    </row>
    <row r="944">
      <c r="B944" s="670"/>
      <c r="C944" s="609"/>
      <c r="D944" s="609"/>
      <c r="E944" s="671"/>
      <c r="F944" s="672"/>
      <c r="K944" s="370"/>
      <c r="L944" s="370"/>
      <c r="P944" s="208"/>
      <c r="Q944" s="370"/>
      <c r="R944" s="370"/>
    </row>
    <row r="945">
      <c r="B945" s="670"/>
      <c r="C945" s="609"/>
      <c r="D945" s="609"/>
      <c r="E945" s="671"/>
      <c r="F945" s="672"/>
      <c r="K945" s="370"/>
      <c r="L945" s="370"/>
      <c r="P945" s="208"/>
      <c r="Q945" s="370"/>
      <c r="R945" s="370"/>
    </row>
    <row r="946">
      <c r="B946" s="670"/>
      <c r="C946" s="609"/>
      <c r="D946" s="609"/>
      <c r="E946" s="671"/>
      <c r="F946" s="672"/>
      <c r="K946" s="370"/>
      <c r="L946" s="370"/>
      <c r="P946" s="208"/>
      <c r="Q946" s="370"/>
      <c r="R946" s="370"/>
    </row>
    <row r="947">
      <c r="B947" s="670"/>
      <c r="C947" s="609"/>
      <c r="D947" s="609"/>
      <c r="E947" s="671"/>
      <c r="F947" s="672"/>
      <c r="K947" s="370"/>
      <c r="L947" s="370"/>
      <c r="P947" s="208"/>
      <c r="Q947" s="370"/>
      <c r="R947" s="370"/>
    </row>
    <row r="948">
      <c r="B948" s="670"/>
      <c r="C948" s="609"/>
      <c r="D948" s="609"/>
      <c r="E948" s="671"/>
      <c r="F948" s="672"/>
      <c r="K948" s="370"/>
      <c r="L948" s="370"/>
      <c r="P948" s="208"/>
      <c r="Q948" s="370"/>
      <c r="R948" s="370"/>
    </row>
    <row r="949">
      <c r="B949" s="670"/>
      <c r="C949" s="609"/>
      <c r="D949" s="609"/>
      <c r="E949" s="671"/>
      <c r="F949" s="672"/>
      <c r="K949" s="370"/>
      <c r="L949" s="370"/>
      <c r="P949" s="208"/>
      <c r="Q949" s="370"/>
      <c r="R949" s="370"/>
    </row>
    <row r="950">
      <c r="B950" s="670"/>
      <c r="C950" s="609"/>
      <c r="D950" s="609"/>
      <c r="E950" s="671"/>
      <c r="F950" s="672"/>
      <c r="K950" s="370"/>
      <c r="L950" s="370"/>
      <c r="P950" s="208"/>
      <c r="Q950" s="370"/>
      <c r="R950" s="370"/>
    </row>
    <row r="951">
      <c r="B951" s="670"/>
      <c r="C951" s="609"/>
      <c r="D951" s="609"/>
      <c r="E951" s="671"/>
      <c r="F951" s="672"/>
      <c r="K951" s="370"/>
      <c r="L951" s="370"/>
      <c r="P951" s="208"/>
      <c r="Q951" s="370"/>
      <c r="R951" s="370"/>
    </row>
    <row r="952">
      <c r="B952" s="670"/>
      <c r="C952" s="609"/>
      <c r="D952" s="609"/>
      <c r="E952" s="671"/>
      <c r="F952" s="672"/>
      <c r="K952" s="370"/>
      <c r="L952" s="370"/>
      <c r="P952" s="208"/>
      <c r="Q952" s="370"/>
      <c r="R952" s="370"/>
    </row>
    <row r="953">
      <c r="B953" s="670"/>
      <c r="C953" s="609"/>
      <c r="D953" s="609"/>
      <c r="E953" s="671"/>
      <c r="F953" s="672"/>
      <c r="K953" s="370"/>
      <c r="L953" s="370"/>
      <c r="P953" s="208"/>
      <c r="Q953" s="370"/>
      <c r="R953" s="370"/>
    </row>
    <row r="954">
      <c r="B954" s="670"/>
      <c r="C954" s="609"/>
      <c r="D954" s="609"/>
      <c r="E954" s="671"/>
      <c r="F954" s="672"/>
      <c r="K954" s="370"/>
      <c r="L954" s="370"/>
      <c r="P954" s="208"/>
      <c r="Q954" s="370"/>
      <c r="R954" s="370"/>
    </row>
    <row r="955">
      <c r="B955" s="670"/>
      <c r="C955" s="609"/>
      <c r="D955" s="609"/>
      <c r="E955" s="671"/>
      <c r="F955" s="672"/>
      <c r="K955" s="370"/>
      <c r="L955" s="370"/>
      <c r="P955" s="208"/>
      <c r="Q955" s="370"/>
      <c r="R955" s="370"/>
    </row>
    <row r="956">
      <c r="B956" s="670"/>
      <c r="C956" s="609"/>
      <c r="D956" s="609"/>
      <c r="E956" s="671"/>
      <c r="F956" s="672"/>
      <c r="K956" s="370"/>
      <c r="L956" s="370"/>
      <c r="P956" s="208"/>
      <c r="Q956" s="370"/>
      <c r="R956" s="370"/>
    </row>
    <row r="957">
      <c r="B957" s="670"/>
      <c r="C957" s="609"/>
      <c r="D957" s="609"/>
      <c r="E957" s="671"/>
      <c r="F957" s="672"/>
      <c r="K957" s="370"/>
      <c r="L957" s="370"/>
      <c r="P957" s="208"/>
      <c r="Q957" s="370"/>
      <c r="R957" s="370"/>
    </row>
    <row r="958">
      <c r="B958" s="670"/>
      <c r="C958" s="609"/>
      <c r="D958" s="609"/>
      <c r="E958" s="671"/>
      <c r="F958" s="672"/>
      <c r="K958" s="370"/>
      <c r="L958" s="370"/>
      <c r="P958" s="208"/>
      <c r="Q958" s="370"/>
      <c r="R958" s="370"/>
    </row>
    <row r="959">
      <c r="B959" s="670"/>
      <c r="C959" s="609"/>
      <c r="D959" s="609"/>
      <c r="E959" s="671"/>
      <c r="F959" s="672"/>
      <c r="K959" s="370"/>
      <c r="L959" s="370"/>
      <c r="P959" s="208"/>
      <c r="Q959" s="370"/>
      <c r="R959" s="370"/>
    </row>
    <row r="960">
      <c r="B960" s="670"/>
      <c r="C960" s="609"/>
      <c r="D960" s="609"/>
      <c r="E960" s="671"/>
      <c r="F960" s="672"/>
      <c r="K960" s="370"/>
      <c r="L960" s="370"/>
      <c r="P960" s="208"/>
      <c r="Q960" s="370"/>
      <c r="R960" s="370"/>
    </row>
    <row r="961">
      <c r="B961" s="670"/>
      <c r="C961" s="609"/>
      <c r="D961" s="609"/>
      <c r="E961" s="671"/>
      <c r="F961" s="672"/>
      <c r="K961" s="370"/>
      <c r="L961" s="370"/>
      <c r="P961" s="208"/>
      <c r="Q961" s="370"/>
      <c r="R961" s="370"/>
    </row>
    <row r="962">
      <c r="B962" s="670"/>
      <c r="C962" s="609"/>
      <c r="D962" s="609"/>
      <c r="E962" s="671"/>
      <c r="F962" s="672"/>
      <c r="K962" s="370"/>
      <c r="L962" s="370"/>
      <c r="P962" s="208"/>
      <c r="Q962" s="370"/>
      <c r="R962" s="370"/>
    </row>
    <row r="963">
      <c r="B963" s="670"/>
      <c r="C963" s="609"/>
      <c r="D963" s="609"/>
      <c r="E963" s="671"/>
      <c r="F963" s="672"/>
      <c r="K963" s="370"/>
      <c r="L963" s="370"/>
      <c r="P963" s="208"/>
      <c r="Q963" s="370"/>
      <c r="R963" s="370"/>
    </row>
    <row r="964">
      <c r="B964" s="670"/>
      <c r="C964" s="609"/>
      <c r="D964" s="609"/>
      <c r="E964" s="671"/>
      <c r="F964" s="672"/>
      <c r="K964" s="370"/>
      <c r="L964" s="370"/>
      <c r="P964" s="208"/>
      <c r="Q964" s="370"/>
      <c r="R964" s="370"/>
    </row>
    <row r="965">
      <c r="B965" s="670"/>
      <c r="C965" s="609"/>
      <c r="D965" s="609"/>
      <c r="E965" s="671"/>
      <c r="F965" s="672"/>
      <c r="K965" s="370"/>
      <c r="L965" s="370"/>
      <c r="P965" s="208"/>
      <c r="Q965" s="370"/>
      <c r="R965" s="370"/>
    </row>
    <row r="966">
      <c r="B966" s="670"/>
      <c r="C966" s="609"/>
      <c r="D966" s="609"/>
      <c r="E966" s="671"/>
      <c r="F966" s="672"/>
      <c r="K966" s="370"/>
      <c r="L966" s="370"/>
      <c r="P966" s="208"/>
      <c r="Q966" s="370"/>
      <c r="R966" s="370"/>
    </row>
    <row r="967">
      <c r="B967" s="670"/>
      <c r="C967" s="609"/>
      <c r="D967" s="609"/>
      <c r="E967" s="671"/>
      <c r="F967" s="672"/>
      <c r="K967" s="370"/>
      <c r="L967" s="370"/>
      <c r="P967" s="208"/>
      <c r="Q967" s="370"/>
      <c r="R967" s="370"/>
    </row>
    <row r="968">
      <c r="B968" s="670"/>
      <c r="C968" s="609"/>
      <c r="D968" s="609"/>
      <c r="E968" s="671"/>
      <c r="F968" s="672"/>
      <c r="K968" s="370"/>
      <c r="L968" s="370"/>
      <c r="P968" s="208"/>
      <c r="Q968" s="370"/>
      <c r="R968" s="370"/>
    </row>
    <row r="969">
      <c r="B969" s="670"/>
      <c r="C969" s="609"/>
      <c r="D969" s="609"/>
      <c r="E969" s="671"/>
      <c r="F969" s="672"/>
      <c r="K969" s="370"/>
      <c r="L969" s="370"/>
      <c r="P969" s="208"/>
      <c r="Q969" s="370"/>
      <c r="R969" s="370"/>
    </row>
    <row r="970">
      <c r="B970" s="670"/>
      <c r="C970" s="609"/>
      <c r="D970" s="609"/>
      <c r="E970" s="671"/>
      <c r="F970" s="672"/>
      <c r="K970" s="370"/>
      <c r="L970" s="370"/>
      <c r="P970" s="208"/>
      <c r="Q970" s="370"/>
      <c r="R970" s="370"/>
    </row>
    <row r="971">
      <c r="B971" s="670"/>
      <c r="C971" s="609"/>
      <c r="D971" s="609"/>
      <c r="E971" s="671"/>
      <c r="F971" s="672"/>
      <c r="K971" s="370"/>
      <c r="L971" s="370"/>
      <c r="P971" s="208"/>
      <c r="Q971" s="370"/>
      <c r="R971" s="370"/>
    </row>
    <row r="972">
      <c r="B972" s="670"/>
      <c r="C972" s="609"/>
      <c r="D972" s="609"/>
      <c r="E972" s="671"/>
      <c r="F972" s="672"/>
      <c r="K972" s="370"/>
      <c r="L972" s="370"/>
      <c r="P972" s="208"/>
      <c r="Q972" s="370"/>
      <c r="R972" s="370"/>
    </row>
    <row r="973">
      <c r="B973" s="670"/>
      <c r="C973" s="609"/>
      <c r="D973" s="609"/>
      <c r="E973" s="671"/>
      <c r="F973" s="672"/>
      <c r="K973" s="370"/>
      <c r="L973" s="370"/>
      <c r="P973" s="208"/>
      <c r="Q973" s="370"/>
      <c r="R973" s="370"/>
    </row>
    <row r="974">
      <c r="B974" s="670"/>
      <c r="C974" s="609"/>
      <c r="D974" s="609"/>
      <c r="E974" s="671"/>
      <c r="F974" s="672"/>
      <c r="K974" s="370"/>
      <c r="L974" s="370"/>
      <c r="P974" s="208"/>
      <c r="Q974" s="370"/>
      <c r="R974" s="370"/>
    </row>
    <row r="975">
      <c r="B975" s="670"/>
      <c r="C975" s="609"/>
      <c r="D975" s="609"/>
      <c r="E975" s="671"/>
      <c r="F975" s="672"/>
      <c r="K975" s="370"/>
      <c r="L975" s="370"/>
      <c r="P975" s="208"/>
      <c r="Q975" s="370"/>
      <c r="R975" s="370"/>
    </row>
    <row r="976">
      <c r="B976" s="670"/>
      <c r="C976" s="609"/>
      <c r="D976" s="609"/>
      <c r="E976" s="671"/>
      <c r="F976" s="672"/>
      <c r="K976" s="370"/>
      <c r="L976" s="370"/>
      <c r="P976" s="208"/>
      <c r="Q976" s="370"/>
      <c r="R976" s="370"/>
    </row>
    <row r="977">
      <c r="B977" s="670"/>
      <c r="C977" s="609"/>
      <c r="D977" s="609"/>
      <c r="E977" s="671"/>
      <c r="F977" s="672"/>
      <c r="K977" s="370"/>
      <c r="L977" s="370"/>
      <c r="P977" s="208"/>
      <c r="Q977" s="370"/>
      <c r="R977" s="370"/>
    </row>
    <row r="978">
      <c r="B978" s="670"/>
      <c r="C978" s="609"/>
      <c r="D978" s="609"/>
      <c r="E978" s="671"/>
      <c r="F978" s="672"/>
      <c r="K978" s="370"/>
      <c r="L978" s="370"/>
      <c r="P978" s="208"/>
      <c r="Q978" s="370"/>
      <c r="R978" s="370"/>
    </row>
    <row r="979">
      <c r="B979" s="670"/>
      <c r="C979" s="609"/>
      <c r="D979" s="609"/>
      <c r="E979" s="671"/>
      <c r="F979" s="672"/>
      <c r="K979" s="370"/>
      <c r="L979" s="370"/>
      <c r="P979" s="208"/>
      <c r="Q979" s="370"/>
      <c r="R979" s="370"/>
    </row>
    <row r="980">
      <c r="B980" s="670"/>
      <c r="C980" s="609"/>
      <c r="D980" s="609"/>
      <c r="E980" s="671"/>
      <c r="F980" s="672"/>
      <c r="K980" s="370"/>
      <c r="L980" s="370"/>
      <c r="P980" s="208"/>
      <c r="Q980" s="370"/>
      <c r="R980" s="370"/>
    </row>
    <row r="981">
      <c r="B981" s="670"/>
      <c r="C981" s="609"/>
      <c r="D981" s="609"/>
      <c r="E981" s="671"/>
      <c r="F981" s="672"/>
      <c r="K981" s="370"/>
      <c r="L981" s="370"/>
      <c r="P981" s="208"/>
      <c r="Q981" s="370"/>
      <c r="R981" s="370"/>
    </row>
    <row r="982">
      <c r="B982" s="670"/>
      <c r="C982" s="609"/>
      <c r="D982" s="609"/>
      <c r="E982" s="671"/>
      <c r="F982" s="672"/>
      <c r="K982" s="370"/>
      <c r="L982" s="370"/>
      <c r="P982" s="208"/>
      <c r="Q982" s="370"/>
      <c r="R982" s="370"/>
    </row>
    <row r="983">
      <c r="B983" s="670"/>
      <c r="C983" s="609"/>
      <c r="D983" s="609"/>
      <c r="E983" s="671"/>
      <c r="F983" s="672"/>
      <c r="K983" s="370"/>
      <c r="L983" s="370"/>
      <c r="P983" s="208"/>
      <c r="Q983" s="370"/>
      <c r="R983" s="370"/>
    </row>
    <row r="984">
      <c r="B984" s="670"/>
      <c r="C984" s="609"/>
      <c r="D984" s="609"/>
      <c r="E984" s="671"/>
      <c r="F984" s="672"/>
      <c r="K984" s="370"/>
      <c r="L984" s="370"/>
      <c r="P984" s="208"/>
      <c r="Q984" s="370"/>
      <c r="R984" s="370"/>
    </row>
    <row r="985">
      <c r="B985" s="670"/>
      <c r="C985" s="609"/>
      <c r="D985" s="609"/>
      <c r="E985" s="671"/>
      <c r="F985" s="672"/>
      <c r="K985" s="370"/>
      <c r="L985" s="370"/>
      <c r="P985" s="208"/>
      <c r="Q985" s="370"/>
      <c r="R985" s="370"/>
    </row>
    <row r="986">
      <c r="B986" s="670"/>
      <c r="C986" s="609"/>
      <c r="D986" s="609"/>
      <c r="E986" s="671"/>
      <c r="F986" s="672"/>
      <c r="K986" s="370"/>
      <c r="L986" s="370"/>
      <c r="P986" s="208"/>
      <c r="Q986" s="370"/>
      <c r="R986" s="370"/>
    </row>
    <row r="987">
      <c r="B987" s="670"/>
      <c r="C987" s="609"/>
      <c r="D987" s="609"/>
      <c r="E987" s="671"/>
      <c r="F987" s="672"/>
      <c r="K987" s="370"/>
      <c r="L987" s="370"/>
      <c r="P987" s="208"/>
      <c r="Q987" s="370"/>
      <c r="R987" s="370"/>
    </row>
    <row r="988">
      <c r="B988" s="670"/>
      <c r="C988" s="609"/>
      <c r="D988" s="609"/>
      <c r="E988" s="671"/>
      <c r="F988" s="672"/>
      <c r="K988" s="370"/>
      <c r="L988" s="370"/>
      <c r="P988" s="208"/>
      <c r="Q988" s="370"/>
      <c r="R988" s="370"/>
    </row>
    <row r="989">
      <c r="B989" s="670"/>
      <c r="C989" s="609"/>
      <c r="D989" s="609"/>
      <c r="E989" s="671"/>
      <c r="F989" s="672"/>
      <c r="K989" s="370"/>
      <c r="L989" s="370"/>
      <c r="P989" s="208"/>
      <c r="Q989" s="370"/>
      <c r="R989" s="370"/>
    </row>
    <row r="990">
      <c r="B990" s="670"/>
      <c r="C990" s="609"/>
      <c r="D990" s="609"/>
      <c r="E990" s="671"/>
      <c r="F990" s="672"/>
      <c r="K990" s="370"/>
      <c r="L990" s="370"/>
      <c r="P990" s="208"/>
      <c r="Q990" s="370"/>
      <c r="R990" s="370"/>
    </row>
    <row r="991">
      <c r="B991" s="670"/>
      <c r="C991" s="609"/>
      <c r="D991" s="609"/>
      <c r="E991" s="671"/>
      <c r="F991" s="672"/>
      <c r="K991" s="370"/>
      <c r="L991" s="370"/>
      <c r="P991" s="208"/>
      <c r="Q991" s="370"/>
      <c r="R991" s="370"/>
    </row>
    <row r="992">
      <c r="B992" s="670"/>
      <c r="C992" s="609"/>
      <c r="D992" s="609"/>
      <c r="E992" s="671"/>
      <c r="F992" s="672"/>
      <c r="K992" s="370"/>
      <c r="L992" s="370"/>
      <c r="P992" s="208"/>
      <c r="Q992" s="370"/>
      <c r="R992" s="370"/>
    </row>
    <row r="993">
      <c r="B993" s="670"/>
      <c r="C993" s="609"/>
      <c r="D993" s="609"/>
      <c r="E993" s="671"/>
      <c r="F993" s="672"/>
      <c r="K993" s="370"/>
      <c r="L993" s="370"/>
      <c r="P993" s="208"/>
      <c r="Q993" s="370"/>
      <c r="R993" s="370"/>
    </row>
    <row r="994">
      <c r="B994" s="670"/>
      <c r="C994" s="609"/>
      <c r="D994" s="609"/>
      <c r="E994" s="671"/>
      <c r="F994" s="672"/>
      <c r="K994" s="370"/>
      <c r="L994" s="370"/>
      <c r="P994" s="208"/>
      <c r="Q994" s="370"/>
      <c r="R994" s="370"/>
    </row>
    <row r="995">
      <c r="B995" s="670"/>
      <c r="C995" s="609"/>
      <c r="D995" s="609"/>
      <c r="E995" s="671"/>
      <c r="F995" s="672"/>
      <c r="K995" s="370"/>
      <c r="L995" s="370"/>
      <c r="P995" s="208"/>
      <c r="Q995" s="370"/>
      <c r="R995" s="370"/>
    </row>
    <row r="996">
      <c r="B996" s="670"/>
      <c r="C996" s="609"/>
      <c r="D996" s="609"/>
      <c r="E996" s="671"/>
      <c r="F996" s="672"/>
      <c r="K996" s="370"/>
      <c r="L996" s="370"/>
      <c r="P996" s="208"/>
      <c r="Q996" s="370"/>
      <c r="R996" s="370"/>
    </row>
    <row r="997">
      <c r="B997" s="670"/>
      <c r="C997" s="609"/>
      <c r="D997" s="609"/>
      <c r="E997" s="671"/>
      <c r="F997" s="672"/>
      <c r="K997" s="370"/>
      <c r="L997" s="370"/>
      <c r="P997" s="208"/>
      <c r="Q997" s="370"/>
      <c r="R997" s="370"/>
    </row>
    <row r="998">
      <c r="B998" s="670"/>
      <c r="C998" s="609"/>
      <c r="D998" s="609"/>
      <c r="E998" s="671"/>
      <c r="F998" s="672"/>
      <c r="K998" s="370"/>
      <c r="L998" s="370"/>
      <c r="P998" s="208"/>
      <c r="Q998" s="370"/>
      <c r="R998" s="370"/>
    </row>
    <row r="999">
      <c r="B999" s="670"/>
      <c r="C999" s="609"/>
      <c r="D999" s="609"/>
      <c r="E999" s="671"/>
      <c r="F999" s="672"/>
      <c r="K999" s="370"/>
      <c r="L999" s="370"/>
      <c r="P999" s="208"/>
      <c r="Q999" s="370"/>
      <c r="R999" s="370"/>
    </row>
    <row r="1000">
      <c r="B1000" s="670"/>
      <c r="C1000" s="609"/>
      <c r="D1000" s="609"/>
      <c r="E1000" s="671"/>
      <c r="F1000" s="672"/>
      <c r="K1000" s="370"/>
      <c r="L1000" s="370"/>
      <c r="P1000" s="208"/>
      <c r="Q1000" s="370"/>
      <c r="R1000" s="370"/>
    </row>
    <row r="1001">
      <c r="B1001" s="670"/>
      <c r="C1001" s="609"/>
      <c r="D1001" s="609"/>
      <c r="E1001" s="671"/>
      <c r="F1001" s="672"/>
      <c r="K1001" s="370"/>
      <c r="L1001" s="370"/>
      <c r="P1001" s="208"/>
      <c r="Q1001" s="370"/>
      <c r="R1001" s="370"/>
    </row>
    <row r="1002">
      <c r="B1002" s="670"/>
      <c r="C1002" s="609"/>
      <c r="D1002" s="609"/>
      <c r="E1002" s="671"/>
      <c r="F1002" s="672"/>
      <c r="K1002" s="370"/>
      <c r="L1002" s="370"/>
      <c r="P1002" s="208"/>
      <c r="Q1002" s="370"/>
      <c r="R1002" s="370"/>
    </row>
    <row r="1003">
      <c r="B1003" s="670"/>
      <c r="C1003" s="609"/>
      <c r="D1003" s="609"/>
      <c r="E1003" s="671"/>
      <c r="F1003" s="672"/>
      <c r="K1003" s="370"/>
      <c r="L1003" s="370"/>
      <c r="P1003" s="208"/>
      <c r="Q1003" s="370"/>
      <c r="R1003" s="370"/>
    </row>
    <row r="1004">
      <c r="B1004" s="670"/>
      <c r="C1004" s="609"/>
      <c r="D1004" s="609"/>
      <c r="E1004" s="671"/>
      <c r="F1004" s="672"/>
      <c r="K1004" s="370"/>
      <c r="L1004" s="370"/>
      <c r="P1004" s="208"/>
      <c r="Q1004" s="370"/>
      <c r="R1004" s="370"/>
    </row>
    <row r="1005">
      <c r="B1005" s="670"/>
      <c r="C1005" s="609"/>
      <c r="D1005" s="609"/>
      <c r="E1005" s="671"/>
      <c r="F1005" s="672"/>
      <c r="K1005" s="370"/>
      <c r="L1005" s="370"/>
      <c r="P1005" s="208"/>
      <c r="Q1005" s="370"/>
      <c r="R1005" s="370"/>
    </row>
    <row r="1006">
      <c r="B1006" s="670"/>
      <c r="C1006" s="609"/>
      <c r="D1006" s="609"/>
      <c r="E1006" s="671"/>
      <c r="F1006" s="672"/>
      <c r="K1006" s="370"/>
      <c r="L1006" s="370"/>
      <c r="P1006" s="208"/>
      <c r="Q1006" s="370"/>
      <c r="R1006" s="370"/>
    </row>
    <row r="1007">
      <c r="B1007" s="670"/>
      <c r="C1007" s="609"/>
      <c r="D1007" s="609"/>
      <c r="E1007" s="671"/>
      <c r="F1007" s="672"/>
      <c r="K1007" s="370"/>
      <c r="L1007" s="370"/>
      <c r="P1007" s="208"/>
      <c r="Q1007" s="370"/>
      <c r="R1007" s="370"/>
    </row>
    <row r="1008">
      <c r="B1008" s="670"/>
      <c r="C1008" s="609"/>
      <c r="D1008" s="609"/>
      <c r="E1008" s="671"/>
      <c r="F1008" s="672"/>
      <c r="K1008" s="370"/>
      <c r="L1008" s="370"/>
      <c r="P1008" s="208"/>
      <c r="Q1008" s="370"/>
      <c r="R1008" s="370"/>
    </row>
    <row r="1009">
      <c r="B1009" s="670"/>
      <c r="C1009" s="609"/>
      <c r="D1009" s="609"/>
      <c r="E1009" s="671"/>
      <c r="F1009" s="672"/>
      <c r="K1009" s="370"/>
      <c r="L1009" s="370"/>
      <c r="P1009" s="208"/>
      <c r="Q1009" s="370"/>
      <c r="R1009" s="370"/>
    </row>
    <row r="1010">
      <c r="B1010" s="670"/>
      <c r="C1010" s="609"/>
      <c r="D1010" s="609"/>
      <c r="E1010" s="671"/>
      <c r="F1010" s="672"/>
      <c r="K1010" s="370"/>
      <c r="L1010" s="370"/>
      <c r="P1010" s="208"/>
      <c r="Q1010" s="370"/>
      <c r="R1010" s="370"/>
    </row>
    <row r="1011">
      <c r="B1011" s="670"/>
      <c r="C1011" s="609"/>
      <c r="D1011" s="609"/>
      <c r="E1011" s="671"/>
      <c r="F1011" s="672"/>
      <c r="K1011" s="370"/>
      <c r="L1011" s="370"/>
      <c r="P1011" s="208"/>
      <c r="Q1011" s="370"/>
      <c r="R1011" s="370"/>
    </row>
    <row r="1012">
      <c r="B1012" s="670"/>
      <c r="C1012" s="609"/>
      <c r="D1012" s="609"/>
      <c r="E1012" s="671"/>
      <c r="F1012" s="672"/>
      <c r="K1012" s="370"/>
      <c r="L1012" s="370"/>
      <c r="P1012" s="208"/>
      <c r="Q1012" s="370"/>
      <c r="R1012" s="370"/>
    </row>
    <row r="1013">
      <c r="B1013" s="670"/>
      <c r="C1013" s="609"/>
      <c r="D1013" s="609"/>
      <c r="E1013" s="671"/>
      <c r="F1013" s="672"/>
      <c r="K1013" s="370"/>
      <c r="L1013" s="370"/>
      <c r="P1013" s="208"/>
      <c r="Q1013" s="370"/>
      <c r="R1013" s="370"/>
    </row>
    <row r="1014">
      <c r="B1014" s="670"/>
      <c r="C1014" s="609"/>
      <c r="D1014" s="609"/>
      <c r="E1014" s="671"/>
      <c r="F1014" s="672"/>
      <c r="K1014" s="370"/>
      <c r="L1014" s="370"/>
      <c r="P1014" s="208"/>
      <c r="Q1014" s="370"/>
      <c r="R1014" s="370"/>
    </row>
    <row r="1015">
      <c r="B1015" s="670"/>
      <c r="C1015" s="609"/>
      <c r="D1015" s="609"/>
      <c r="E1015" s="671"/>
      <c r="F1015" s="672"/>
      <c r="K1015" s="370"/>
      <c r="L1015" s="370"/>
      <c r="P1015" s="208"/>
      <c r="Q1015" s="370"/>
      <c r="R1015" s="370"/>
    </row>
    <row r="1016">
      <c r="B1016" s="670"/>
      <c r="C1016" s="609"/>
      <c r="D1016" s="609"/>
      <c r="E1016" s="671"/>
      <c r="F1016" s="672"/>
      <c r="K1016" s="370"/>
      <c r="L1016" s="370"/>
      <c r="P1016" s="208"/>
      <c r="Q1016" s="370"/>
      <c r="R1016" s="370"/>
    </row>
    <row r="1017">
      <c r="B1017" s="670"/>
      <c r="C1017" s="609"/>
      <c r="D1017" s="609"/>
      <c r="E1017" s="671"/>
      <c r="F1017" s="672"/>
      <c r="K1017" s="370"/>
      <c r="L1017" s="370"/>
      <c r="P1017" s="208"/>
      <c r="Q1017" s="370"/>
      <c r="R1017" s="370"/>
    </row>
    <row r="1018">
      <c r="B1018" s="670"/>
      <c r="C1018" s="609"/>
      <c r="D1018" s="609"/>
      <c r="E1018" s="671"/>
      <c r="F1018" s="672"/>
      <c r="K1018" s="370"/>
      <c r="L1018" s="370"/>
      <c r="P1018" s="208"/>
      <c r="Q1018" s="370"/>
      <c r="R1018" s="370"/>
    </row>
    <row r="1019">
      <c r="B1019" s="670"/>
      <c r="C1019" s="609"/>
      <c r="D1019" s="609"/>
      <c r="E1019" s="671"/>
      <c r="F1019" s="672"/>
      <c r="K1019" s="370"/>
      <c r="L1019" s="370"/>
      <c r="P1019" s="208"/>
      <c r="Q1019" s="370"/>
      <c r="R1019" s="370"/>
    </row>
    <row r="1020">
      <c r="B1020" s="670"/>
      <c r="C1020" s="609"/>
      <c r="D1020" s="609"/>
      <c r="E1020" s="671"/>
      <c r="F1020" s="672"/>
      <c r="K1020" s="370"/>
      <c r="L1020" s="370"/>
      <c r="P1020" s="208"/>
      <c r="Q1020" s="370"/>
      <c r="R1020" s="370"/>
    </row>
    <row r="1021">
      <c r="B1021" s="670"/>
      <c r="C1021" s="609"/>
      <c r="D1021" s="609"/>
      <c r="E1021" s="671"/>
      <c r="F1021" s="672"/>
      <c r="K1021" s="370"/>
      <c r="L1021" s="370"/>
      <c r="P1021" s="208"/>
      <c r="Q1021" s="370"/>
      <c r="R1021" s="370"/>
    </row>
    <row r="1022">
      <c r="B1022" s="670"/>
      <c r="C1022" s="609"/>
      <c r="D1022" s="609"/>
      <c r="E1022" s="671"/>
      <c r="F1022" s="672"/>
      <c r="K1022" s="370"/>
      <c r="L1022" s="370"/>
      <c r="P1022" s="208"/>
      <c r="Q1022" s="370"/>
      <c r="R1022" s="370"/>
    </row>
    <row r="1023">
      <c r="B1023" s="670"/>
      <c r="C1023" s="609"/>
      <c r="D1023" s="609"/>
      <c r="E1023" s="671"/>
      <c r="F1023" s="672"/>
      <c r="K1023" s="370"/>
      <c r="L1023" s="370"/>
      <c r="P1023" s="208"/>
      <c r="Q1023" s="370"/>
      <c r="R1023" s="370"/>
    </row>
    <row r="1024">
      <c r="B1024" s="670"/>
      <c r="C1024" s="609"/>
      <c r="D1024" s="609"/>
      <c r="E1024" s="671"/>
      <c r="F1024" s="672"/>
      <c r="K1024" s="370"/>
      <c r="L1024" s="370"/>
      <c r="P1024" s="208"/>
      <c r="Q1024" s="370"/>
      <c r="R1024" s="370"/>
    </row>
    <row r="1025">
      <c r="B1025" s="670"/>
      <c r="C1025" s="609"/>
      <c r="D1025" s="609"/>
      <c r="E1025" s="671"/>
      <c r="F1025" s="672"/>
      <c r="K1025" s="370"/>
      <c r="L1025" s="370"/>
      <c r="P1025" s="208"/>
      <c r="Q1025" s="370"/>
      <c r="R1025" s="370"/>
    </row>
    <row r="1026">
      <c r="B1026" s="670"/>
      <c r="C1026" s="609"/>
      <c r="D1026" s="609"/>
      <c r="E1026" s="671"/>
      <c r="F1026" s="672"/>
      <c r="K1026" s="370"/>
      <c r="L1026" s="370"/>
      <c r="P1026" s="208"/>
      <c r="Q1026" s="370"/>
      <c r="R1026" s="370"/>
    </row>
    <row r="1027">
      <c r="B1027" s="670"/>
      <c r="C1027" s="609"/>
      <c r="D1027" s="609"/>
      <c r="E1027" s="671"/>
      <c r="F1027" s="672"/>
      <c r="K1027" s="370"/>
      <c r="L1027" s="370"/>
      <c r="P1027" s="208"/>
      <c r="Q1027" s="370"/>
      <c r="R1027" s="370"/>
    </row>
    <row r="1028">
      <c r="B1028" s="670"/>
      <c r="C1028" s="609"/>
      <c r="D1028" s="609"/>
      <c r="E1028" s="671"/>
      <c r="F1028" s="672"/>
      <c r="K1028" s="370"/>
      <c r="L1028" s="370"/>
      <c r="P1028" s="208"/>
      <c r="Q1028" s="370"/>
      <c r="R1028" s="370"/>
    </row>
    <row r="1029">
      <c r="B1029" s="670"/>
      <c r="C1029" s="609"/>
      <c r="D1029" s="609"/>
      <c r="E1029" s="671"/>
      <c r="F1029" s="672"/>
      <c r="K1029" s="370"/>
      <c r="L1029" s="370"/>
      <c r="P1029" s="208"/>
      <c r="Q1029" s="370"/>
      <c r="R1029" s="370"/>
    </row>
    <row r="1030">
      <c r="B1030" s="670"/>
      <c r="C1030" s="609"/>
      <c r="D1030" s="609"/>
      <c r="E1030" s="671"/>
      <c r="F1030" s="672"/>
      <c r="K1030" s="370"/>
      <c r="L1030" s="370"/>
      <c r="P1030" s="208"/>
      <c r="Q1030" s="370"/>
      <c r="R1030" s="370"/>
    </row>
    <row r="1031">
      <c r="B1031" s="670"/>
      <c r="C1031" s="609"/>
      <c r="D1031" s="609"/>
      <c r="E1031" s="671"/>
      <c r="F1031" s="672"/>
      <c r="K1031" s="370"/>
      <c r="L1031" s="370"/>
      <c r="P1031" s="208"/>
      <c r="Q1031" s="370"/>
      <c r="R1031" s="370"/>
    </row>
    <row r="1032">
      <c r="B1032" s="670"/>
      <c r="C1032" s="609"/>
      <c r="D1032" s="609"/>
      <c r="E1032" s="671"/>
      <c r="F1032" s="672"/>
      <c r="K1032" s="370"/>
      <c r="L1032" s="370"/>
      <c r="P1032" s="208"/>
      <c r="Q1032" s="370"/>
      <c r="R1032" s="370"/>
    </row>
    <row r="1033">
      <c r="B1033" s="670"/>
      <c r="C1033" s="609"/>
      <c r="D1033" s="609"/>
      <c r="E1033" s="671"/>
      <c r="F1033" s="672"/>
      <c r="K1033" s="370"/>
      <c r="L1033" s="370"/>
      <c r="P1033" s="208"/>
      <c r="Q1033" s="370"/>
      <c r="R1033" s="370"/>
    </row>
    <row r="1034">
      <c r="B1034" s="670"/>
      <c r="C1034" s="609"/>
      <c r="D1034" s="609"/>
      <c r="E1034" s="671"/>
      <c r="F1034" s="672"/>
      <c r="K1034" s="370"/>
      <c r="L1034" s="370"/>
      <c r="P1034" s="208"/>
      <c r="Q1034" s="370"/>
      <c r="R1034" s="370"/>
    </row>
    <row r="1035">
      <c r="B1035" s="670"/>
      <c r="C1035" s="609"/>
      <c r="D1035" s="609"/>
      <c r="E1035" s="671"/>
      <c r="F1035" s="672"/>
      <c r="K1035" s="370"/>
      <c r="L1035" s="370"/>
      <c r="P1035" s="208"/>
      <c r="Q1035" s="370"/>
      <c r="R1035" s="370"/>
    </row>
    <row r="1036">
      <c r="B1036" s="670"/>
      <c r="C1036" s="609"/>
      <c r="D1036" s="609"/>
      <c r="E1036" s="671"/>
      <c r="F1036" s="672"/>
      <c r="K1036" s="370"/>
      <c r="L1036" s="370"/>
      <c r="P1036" s="208"/>
      <c r="Q1036" s="370"/>
      <c r="R1036" s="370"/>
    </row>
    <row r="1037">
      <c r="B1037" s="670"/>
      <c r="C1037" s="609"/>
      <c r="D1037" s="609"/>
      <c r="E1037" s="671"/>
      <c r="F1037" s="672"/>
      <c r="K1037" s="370"/>
      <c r="L1037" s="370"/>
      <c r="P1037" s="208"/>
      <c r="Q1037" s="370"/>
      <c r="R1037" s="370"/>
    </row>
    <row r="1038">
      <c r="B1038" s="670"/>
      <c r="C1038" s="609"/>
      <c r="D1038" s="609"/>
      <c r="E1038" s="671"/>
      <c r="F1038" s="672"/>
      <c r="K1038" s="370"/>
      <c r="L1038" s="370"/>
      <c r="P1038" s="208"/>
      <c r="Q1038" s="370"/>
      <c r="R1038" s="370"/>
    </row>
    <row r="1039">
      <c r="B1039" s="670"/>
      <c r="C1039" s="609"/>
      <c r="D1039" s="609"/>
      <c r="E1039" s="671"/>
      <c r="F1039" s="672"/>
      <c r="K1039" s="370"/>
      <c r="L1039" s="370"/>
      <c r="P1039" s="208"/>
      <c r="Q1039" s="370"/>
      <c r="R1039" s="370"/>
    </row>
    <row r="1040">
      <c r="B1040" s="670"/>
      <c r="C1040" s="609"/>
      <c r="D1040" s="609"/>
      <c r="E1040" s="671"/>
      <c r="F1040" s="672"/>
      <c r="K1040" s="370"/>
      <c r="L1040" s="370"/>
      <c r="P1040" s="208"/>
      <c r="Q1040" s="370"/>
      <c r="R1040" s="370"/>
    </row>
    <row r="1041">
      <c r="B1041" s="670"/>
      <c r="C1041" s="609"/>
      <c r="D1041" s="609"/>
      <c r="E1041" s="671"/>
      <c r="F1041" s="672"/>
      <c r="K1041" s="370"/>
      <c r="L1041" s="370"/>
      <c r="P1041" s="208"/>
      <c r="Q1041" s="370"/>
      <c r="R1041" s="370"/>
    </row>
    <row r="1042">
      <c r="B1042" s="670"/>
      <c r="C1042" s="609"/>
      <c r="D1042" s="609"/>
      <c r="E1042" s="671"/>
      <c r="F1042" s="672"/>
      <c r="K1042" s="370"/>
      <c r="L1042" s="370"/>
      <c r="P1042" s="208"/>
      <c r="Q1042" s="370"/>
      <c r="R1042" s="370"/>
    </row>
    <row r="1043">
      <c r="B1043" s="670"/>
      <c r="C1043" s="609"/>
      <c r="D1043" s="609"/>
      <c r="E1043" s="671"/>
      <c r="F1043" s="672"/>
      <c r="K1043" s="370"/>
      <c r="L1043" s="370"/>
      <c r="P1043" s="208"/>
      <c r="Q1043" s="370"/>
      <c r="R1043" s="370"/>
    </row>
    <row r="1044">
      <c r="B1044" s="670"/>
      <c r="C1044" s="609"/>
      <c r="D1044" s="609"/>
      <c r="E1044" s="671"/>
      <c r="F1044" s="672"/>
      <c r="K1044" s="370"/>
      <c r="L1044" s="370"/>
      <c r="P1044" s="208"/>
      <c r="Q1044" s="370"/>
      <c r="R1044" s="370"/>
    </row>
    <row r="1045">
      <c r="B1045" s="670"/>
      <c r="C1045" s="609"/>
      <c r="D1045" s="609"/>
      <c r="E1045" s="671"/>
      <c r="F1045" s="672"/>
      <c r="K1045" s="370"/>
      <c r="L1045" s="370"/>
      <c r="P1045" s="208"/>
      <c r="Q1045" s="370"/>
      <c r="R1045" s="370"/>
    </row>
    <row r="1046">
      <c r="B1046" s="670"/>
      <c r="C1046" s="609"/>
      <c r="D1046" s="609"/>
      <c r="E1046" s="671"/>
      <c r="F1046" s="672"/>
      <c r="K1046" s="370"/>
      <c r="L1046" s="370"/>
      <c r="P1046" s="208"/>
      <c r="Q1046" s="370"/>
      <c r="R1046" s="370"/>
    </row>
    <row r="1047">
      <c r="B1047" s="670"/>
      <c r="C1047" s="609"/>
      <c r="D1047" s="609"/>
      <c r="E1047" s="671"/>
      <c r="F1047" s="672"/>
      <c r="K1047" s="370"/>
      <c r="L1047" s="370"/>
      <c r="P1047" s="208"/>
      <c r="Q1047" s="370"/>
      <c r="R1047" s="370"/>
    </row>
    <row r="1048">
      <c r="B1048" s="670"/>
      <c r="C1048" s="609"/>
      <c r="D1048" s="609"/>
      <c r="E1048" s="671"/>
      <c r="F1048" s="672"/>
      <c r="K1048" s="370"/>
      <c r="L1048" s="370"/>
      <c r="P1048" s="208"/>
      <c r="Q1048" s="370"/>
      <c r="R1048" s="370"/>
    </row>
    <row r="1049">
      <c r="B1049" s="670"/>
      <c r="C1049" s="609"/>
      <c r="D1049" s="609"/>
      <c r="E1049" s="671"/>
      <c r="F1049" s="672"/>
      <c r="K1049" s="370"/>
      <c r="L1049" s="370"/>
      <c r="P1049" s="208"/>
      <c r="Q1049" s="370"/>
      <c r="R1049" s="370"/>
    </row>
    <row r="1050">
      <c r="B1050" s="670"/>
      <c r="C1050" s="609"/>
      <c r="D1050" s="609"/>
      <c r="E1050" s="671"/>
      <c r="F1050" s="672"/>
      <c r="K1050" s="370"/>
      <c r="L1050" s="370"/>
      <c r="P1050" s="208"/>
      <c r="Q1050" s="370"/>
      <c r="R1050" s="370"/>
    </row>
    <row r="1051">
      <c r="B1051" s="670"/>
      <c r="C1051" s="609"/>
      <c r="D1051" s="609"/>
      <c r="E1051" s="671"/>
      <c r="F1051" s="672"/>
      <c r="K1051" s="370"/>
      <c r="L1051" s="370"/>
      <c r="P1051" s="208"/>
      <c r="Q1051" s="370"/>
      <c r="R1051" s="370"/>
    </row>
    <row r="1052">
      <c r="B1052" s="670"/>
      <c r="C1052" s="609"/>
      <c r="D1052" s="609"/>
      <c r="E1052" s="671"/>
      <c r="F1052" s="672"/>
      <c r="K1052" s="370"/>
      <c r="L1052" s="370"/>
      <c r="P1052" s="208"/>
      <c r="Q1052" s="370"/>
      <c r="R1052" s="370"/>
    </row>
    <row r="1053">
      <c r="B1053" s="670"/>
      <c r="C1053" s="609"/>
      <c r="D1053" s="609"/>
      <c r="E1053" s="671"/>
      <c r="F1053" s="672"/>
      <c r="K1053" s="370"/>
      <c r="L1053" s="370"/>
      <c r="P1053" s="208"/>
      <c r="Q1053" s="370"/>
      <c r="R1053" s="370"/>
    </row>
    <row r="1054">
      <c r="B1054" s="670"/>
      <c r="C1054" s="609"/>
      <c r="D1054" s="609"/>
      <c r="E1054" s="671"/>
      <c r="F1054" s="672"/>
      <c r="K1054" s="370"/>
      <c r="L1054" s="370"/>
      <c r="P1054" s="208"/>
      <c r="Q1054" s="370"/>
      <c r="R1054" s="370"/>
    </row>
    <row r="1055">
      <c r="B1055" s="670"/>
      <c r="C1055" s="609"/>
      <c r="D1055" s="609"/>
      <c r="E1055" s="671"/>
      <c r="F1055" s="672"/>
      <c r="K1055" s="370"/>
      <c r="L1055" s="370"/>
      <c r="P1055" s="208"/>
      <c r="Q1055" s="370"/>
      <c r="R1055" s="370"/>
    </row>
    <row r="1056">
      <c r="B1056" s="670"/>
      <c r="C1056" s="609"/>
      <c r="D1056" s="609"/>
      <c r="E1056" s="671"/>
      <c r="F1056" s="672"/>
      <c r="K1056" s="370"/>
      <c r="L1056" s="370"/>
      <c r="P1056" s="208"/>
      <c r="Q1056" s="370"/>
      <c r="R1056" s="370"/>
    </row>
    <row r="1057">
      <c r="B1057" s="670"/>
      <c r="C1057" s="609"/>
      <c r="D1057" s="609"/>
      <c r="E1057" s="671"/>
      <c r="F1057" s="672"/>
      <c r="K1057" s="370"/>
      <c r="L1057" s="370"/>
      <c r="P1057" s="208"/>
      <c r="Q1057" s="370"/>
      <c r="R1057" s="370"/>
    </row>
    <row r="1058">
      <c r="B1058" s="670"/>
      <c r="C1058" s="609"/>
      <c r="D1058" s="609"/>
      <c r="E1058" s="671"/>
      <c r="F1058" s="672"/>
      <c r="K1058" s="370"/>
      <c r="L1058" s="370"/>
      <c r="P1058" s="208"/>
      <c r="Q1058" s="370"/>
      <c r="R1058" s="370"/>
    </row>
    <row r="1059">
      <c r="B1059" s="670"/>
      <c r="C1059" s="609"/>
      <c r="D1059" s="609"/>
      <c r="E1059" s="671"/>
      <c r="F1059" s="672"/>
      <c r="K1059" s="370"/>
      <c r="L1059" s="370"/>
      <c r="P1059" s="208"/>
      <c r="Q1059" s="370"/>
      <c r="R1059" s="370"/>
    </row>
    <row r="1060">
      <c r="B1060" s="670"/>
      <c r="C1060" s="609"/>
      <c r="D1060" s="609"/>
      <c r="E1060" s="671"/>
      <c r="F1060" s="672"/>
      <c r="K1060" s="370"/>
      <c r="L1060" s="370"/>
      <c r="P1060" s="208"/>
      <c r="Q1060" s="370"/>
      <c r="R1060" s="370"/>
    </row>
    <row r="1061">
      <c r="B1061" s="670"/>
      <c r="C1061" s="609"/>
      <c r="D1061" s="609"/>
      <c r="E1061" s="671"/>
      <c r="F1061" s="672"/>
      <c r="K1061" s="370"/>
      <c r="L1061" s="370"/>
      <c r="P1061" s="208"/>
      <c r="Q1061" s="370"/>
      <c r="R1061" s="370"/>
    </row>
    <row r="1062">
      <c r="B1062" s="670"/>
      <c r="C1062" s="609"/>
      <c r="D1062" s="609"/>
      <c r="E1062" s="671"/>
      <c r="F1062" s="672"/>
      <c r="K1062" s="370"/>
      <c r="L1062" s="370"/>
      <c r="P1062" s="208"/>
      <c r="Q1062" s="370"/>
      <c r="R1062" s="370"/>
    </row>
    <row r="1063">
      <c r="B1063" s="670"/>
      <c r="C1063" s="609"/>
      <c r="D1063" s="609"/>
      <c r="E1063" s="671"/>
      <c r="F1063" s="672"/>
      <c r="K1063" s="370"/>
      <c r="L1063" s="370"/>
      <c r="P1063" s="208"/>
      <c r="Q1063" s="370"/>
      <c r="R1063" s="370"/>
    </row>
    <row r="1064">
      <c r="B1064" s="670"/>
      <c r="C1064" s="609"/>
      <c r="D1064" s="609"/>
      <c r="E1064" s="671"/>
      <c r="F1064" s="672"/>
      <c r="K1064" s="370"/>
      <c r="L1064" s="370"/>
      <c r="P1064" s="208"/>
      <c r="Q1064" s="370"/>
      <c r="R1064" s="370"/>
    </row>
    <row r="1065">
      <c r="B1065" s="670"/>
      <c r="C1065" s="609"/>
      <c r="D1065" s="609"/>
      <c r="E1065" s="671"/>
      <c r="F1065" s="672"/>
      <c r="K1065" s="370"/>
      <c r="L1065" s="370"/>
      <c r="P1065" s="208"/>
      <c r="Q1065" s="370"/>
      <c r="R1065" s="370"/>
    </row>
    <row r="1066">
      <c r="B1066" s="670"/>
      <c r="C1066" s="609"/>
      <c r="D1066" s="609"/>
      <c r="E1066" s="671"/>
      <c r="F1066" s="672"/>
      <c r="K1066" s="370"/>
      <c r="L1066" s="370"/>
      <c r="P1066" s="208"/>
      <c r="Q1066" s="370"/>
      <c r="R1066" s="370"/>
    </row>
    <row r="1067">
      <c r="B1067" s="670"/>
      <c r="C1067" s="609"/>
      <c r="D1067" s="609"/>
      <c r="E1067" s="671"/>
      <c r="F1067" s="672"/>
      <c r="K1067" s="370"/>
      <c r="L1067" s="370"/>
      <c r="P1067" s="208"/>
      <c r="Q1067" s="370"/>
      <c r="R1067" s="370"/>
    </row>
    <row r="1068">
      <c r="B1068" s="670"/>
      <c r="C1068" s="609"/>
      <c r="D1068" s="609"/>
      <c r="E1068" s="671"/>
      <c r="F1068" s="672"/>
      <c r="K1068" s="370"/>
      <c r="L1068" s="370"/>
      <c r="P1068" s="208"/>
      <c r="Q1068" s="370"/>
      <c r="R1068" s="370"/>
    </row>
    <row r="1069">
      <c r="B1069" s="670"/>
      <c r="C1069" s="609"/>
      <c r="D1069" s="609"/>
      <c r="E1069" s="671"/>
      <c r="F1069" s="672"/>
      <c r="K1069" s="370"/>
      <c r="L1069" s="370"/>
      <c r="P1069" s="208"/>
      <c r="Q1069" s="370"/>
      <c r="R1069" s="370"/>
    </row>
    <row r="1070">
      <c r="B1070" s="670"/>
      <c r="C1070" s="609"/>
      <c r="D1070" s="609"/>
      <c r="E1070" s="671"/>
      <c r="F1070" s="672"/>
      <c r="K1070" s="370"/>
      <c r="L1070" s="370"/>
      <c r="P1070" s="208"/>
      <c r="Q1070" s="370"/>
      <c r="R1070" s="370"/>
    </row>
    <row r="1071">
      <c r="B1071" s="670"/>
      <c r="C1071" s="609"/>
      <c r="D1071" s="609"/>
      <c r="E1071" s="671"/>
      <c r="F1071" s="672"/>
      <c r="K1071" s="370"/>
      <c r="L1071" s="370"/>
      <c r="P1071" s="208"/>
      <c r="Q1071" s="370"/>
      <c r="R1071" s="370"/>
    </row>
    <row r="1072">
      <c r="B1072" s="670"/>
      <c r="C1072" s="609"/>
      <c r="D1072" s="609"/>
      <c r="E1072" s="671"/>
      <c r="F1072" s="672"/>
      <c r="K1072" s="370"/>
      <c r="L1072" s="370"/>
      <c r="P1072" s="208"/>
      <c r="Q1072" s="370"/>
      <c r="R1072" s="370"/>
    </row>
    <row r="1073">
      <c r="B1073" s="670"/>
      <c r="C1073" s="609"/>
      <c r="D1073" s="609"/>
      <c r="E1073" s="671"/>
      <c r="F1073" s="672"/>
      <c r="K1073" s="370"/>
      <c r="L1073" s="370"/>
      <c r="P1073" s="208"/>
      <c r="Q1073" s="370"/>
      <c r="R1073" s="370"/>
    </row>
    <row r="1074">
      <c r="B1074" s="670"/>
      <c r="C1074" s="609"/>
      <c r="D1074" s="609"/>
      <c r="E1074" s="671"/>
      <c r="F1074" s="672"/>
      <c r="K1074" s="370"/>
      <c r="L1074" s="370"/>
      <c r="P1074" s="208"/>
      <c r="Q1074" s="370"/>
      <c r="R1074" s="370"/>
    </row>
    <row r="1075">
      <c r="B1075" s="670"/>
      <c r="C1075" s="609"/>
      <c r="D1075" s="609"/>
      <c r="E1075" s="671"/>
      <c r="F1075" s="672"/>
      <c r="K1075" s="370"/>
      <c r="L1075" s="370"/>
      <c r="P1075" s="208"/>
      <c r="Q1075" s="370"/>
      <c r="R1075" s="370"/>
    </row>
    <row r="1076">
      <c r="B1076" s="670"/>
      <c r="C1076" s="609"/>
      <c r="D1076" s="609"/>
      <c r="E1076" s="671"/>
      <c r="F1076" s="672"/>
      <c r="K1076" s="370"/>
      <c r="L1076" s="370"/>
      <c r="P1076" s="208"/>
      <c r="Q1076" s="370"/>
      <c r="R1076" s="370"/>
    </row>
    <row r="1077">
      <c r="B1077" s="670"/>
      <c r="C1077" s="609"/>
      <c r="D1077" s="609"/>
      <c r="E1077" s="671"/>
      <c r="F1077" s="672"/>
      <c r="K1077" s="370"/>
      <c r="L1077" s="370"/>
      <c r="P1077" s="208"/>
      <c r="Q1077" s="370"/>
      <c r="R1077" s="370"/>
    </row>
    <row r="1078">
      <c r="B1078" s="670"/>
      <c r="C1078" s="609"/>
      <c r="D1078" s="609"/>
      <c r="E1078" s="671"/>
      <c r="F1078" s="672"/>
      <c r="K1078" s="370"/>
      <c r="L1078" s="370"/>
      <c r="P1078" s="208"/>
      <c r="Q1078" s="370"/>
      <c r="R1078" s="370"/>
    </row>
    <row r="1079">
      <c r="B1079" s="670"/>
      <c r="C1079" s="609"/>
      <c r="D1079" s="609"/>
      <c r="E1079" s="671"/>
      <c r="F1079" s="672"/>
      <c r="K1079" s="370"/>
      <c r="L1079" s="370"/>
      <c r="P1079" s="208"/>
      <c r="Q1079" s="370"/>
      <c r="R1079" s="370"/>
    </row>
    <row r="1080">
      <c r="B1080" s="670"/>
      <c r="C1080" s="609"/>
      <c r="D1080" s="609"/>
      <c r="E1080" s="671"/>
      <c r="F1080" s="672"/>
      <c r="K1080" s="370"/>
      <c r="L1080" s="370"/>
      <c r="P1080" s="208"/>
      <c r="Q1080" s="370"/>
      <c r="R1080" s="370"/>
    </row>
    <row r="1081">
      <c r="B1081" s="670"/>
      <c r="C1081" s="609"/>
      <c r="D1081" s="609"/>
      <c r="E1081" s="671"/>
      <c r="F1081" s="672"/>
      <c r="K1081" s="370"/>
      <c r="L1081" s="370"/>
      <c r="P1081" s="208"/>
      <c r="Q1081" s="370"/>
      <c r="R1081" s="370"/>
    </row>
    <row r="1082">
      <c r="B1082" s="670"/>
      <c r="C1082" s="609"/>
      <c r="D1082" s="609"/>
      <c r="E1082" s="671"/>
      <c r="F1082" s="672"/>
      <c r="K1082" s="370"/>
      <c r="L1082" s="370"/>
      <c r="P1082" s="208"/>
      <c r="Q1082" s="370"/>
      <c r="R1082" s="370"/>
    </row>
    <row r="1083">
      <c r="B1083" s="670"/>
      <c r="C1083" s="609"/>
      <c r="D1083" s="609"/>
      <c r="E1083" s="671"/>
      <c r="F1083" s="672"/>
      <c r="K1083" s="370"/>
      <c r="L1083" s="370"/>
      <c r="P1083" s="208"/>
      <c r="Q1083" s="370"/>
      <c r="R1083" s="370"/>
    </row>
    <row r="1084">
      <c r="B1084" s="670"/>
      <c r="C1084" s="609"/>
      <c r="D1084" s="609"/>
      <c r="E1084" s="671"/>
      <c r="F1084" s="672"/>
      <c r="K1084" s="370"/>
      <c r="L1084" s="370"/>
      <c r="P1084" s="208"/>
      <c r="Q1084" s="370"/>
      <c r="R1084" s="370"/>
    </row>
    <row r="1085">
      <c r="B1085" s="670"/>
      <c r="C1085" s="609"/>
      <c r="D1085" s="609"/>
      <c r="E1085" s="671"/>
      <c r="F1085" s="672"/>
      <c r="K1085" s="370"/>
      <c r="L1085" s="370"/>
      <c r="P1085" s="208"/>
      <c r="Q1085" s="370"/>
      <c r="R1085" s="370"/>
    </row>
    <row r="1086">
      <c r="B1086" s="670"/>
      <c r="C1086" s="609"/>
      <c r="D1086" s="609"/>
      <c r="E1086" s="671"/>
      <c r="F1086" s="672"/>
      <c r="K1086" s="370"/>
      <c r="L1086" s="370"/>
      <c r="P1086" s="208"/>
      <c r="Q1086" s="370"/>
      <c r="R1086" s="370"/>
    </row>
    <row r="1087">
      <c r="B1087" s="670"/>
      <c r="C1087" s="609"/>
      <c r="D1087" s="609"/>
      <c r="E1087" s="671"/>
      <c r="F1087" s="672"/>
      <c r="K1087" s="370"/>
      <c r="L1087" s="370"/>
      <c r="P1087" s="208"/>
      <c r="Q1087" s="370"/>
      <c r="R1087" s="370"/>
    </row>
    <row r="1088">
      <c r="B1088" s="670"/>
      <c r="C1088" s="609"/>
      <c r="D1088" s="609"/>
      <c r="E1088" s="671"/>
      <c r="F1088" s="672"/>
      <c r="K1088" s="370"/>
      <c r="L1088" s="370"/>
      <c r="P1088" s="208"/>
      <c r="Q1088" s="370"/>
      <c r="R1088" s="370"/>
    </row>
    <row r="1089">
      <c r="B1089" s="670"/>
      <c r="C1089" s="609"/>
      <c r="D1089" s="609"/>
      <c r="E1089" s="671"/>
      <c r="F1089" s="672"/>
      <c r="K1089" s="370"/>
      <c r="L1089" s="370"/>
      <c r="P1089" s="208"/>
      <c r="Q1089" s="370"/>
      <c r="R1089" s="370"/>
    </row>
    <row r="1090">
      <c r="B1090" s="670"/>
      <c r="C1090" s="609"/>
      <c r="D1090" s="609"/>
      <c r="E1090" s="671"/>
      <c r="F1090" s="672"/>
      <c r="K1090" s="370"/>
      <c r="L1090" s="370"/>
      <c r="P1090" s="208"/>
      <c r="Q1090" s="370"/>
      <c r="R1090" s="370"/>
    </row>
    <row r="1091">
      <c r="B1091" s="670"/>
      <c r="C1091" s="609"/>
      <c r="D1091" s="609"/>
      <c r="E1091" s="671"/>
      <c r="F1091" s="672"/>
      <c r="K1091" s="370"/>
      <c r="L1091" s="370"/>
      <c r="P1091" s="208"/>
      <c r="Q1091" s="370"/>
      <c r="R1091" s="370"/>
    </row>
    <row r="1092">
      <c r="B1092" s="670"/>
      <c r="C1092" s="609"/>
      <c r="D1092" s="609"/>
      <c r="E1092" s="671"/>
      <c r="F1092" s="672"/>
      <c r="K1092" s="370"/>
      <c r="L1092" s="370"/>
      <c r="P1092" s="208"/>
      <c r="Q1092" s="370"/>
      <c r="R1092" s="370"/>
    </row>
    <row r="1093">
      <c r="B1093" s="670"/>
      <c r="C1093" s="609"/>
      <c r="D1093" s="609"/>
      <c r="E1093" s="671"/>
      <c r="F1093" s="672"/>
      <c r="K1093" s="370"/>
      <c r="L1093" s="370"/>
      <c r="P1093" s="208"/>
      <c r="Q1093" s="370"/>
      <c r="R1093" s="370"/>
    </row>
    <row r="1094">
      <c r="B1094" s="670"/>
      <c r="C1094" s="609"/>
      <c r="D1094" s="609"/>
      <c r="E1094" s="671"/>
      <c r="F1094" s="672"/>
      <c r="K1094" s="370"/>
      <c r="L1094" s="370"/>
      <c r="P1094" s="208"/>
      <c r="Q1094" s="370"/>
      <c r="R1094" s="370"/>
    </row>
    <row r="1095">
      <c r="B1095" s="670"/>
      <c r="C1095" s="609"/>
      <c r="D1095" s="609"/>
      <c r="E1095" s="671"/>
      <c r="F1095" s="672"/>
      <c r="K1095" s="370"/>
      <c r="L1095" s="370"/>
      <c r="P1095" s="208"/>
      <c r="Q1095" s="370"/>
      <c r="R1095" s="370"/>
    </row>
    <row r="1096">
      <c r="B1096" s="670"/>
      <c r="C1096" s="609"/>
      <c r="D1096" s="609"/>
      <c r="E1096" s="671"/>
      <c r="F1096" s="672"/>
      <c r="K1096" s="370"/>
      <c r="L1096" s="370"/>
      <c r="P1096" s="208"/>
      <c r="Q1096" s="370"/>
      <c r="R1096" s="370"/>
    </row>
    <row r="1097">
      <c r="B1097" s="670"/>
      <c r="C1097" s="609"/>
      <c r="D1097" s="609"/>
      <c r="E1097" s="671"/>
      <c r="F1097" s="672"/>
      <c r="K1097" s="370"/>
      <c r="L1097" s="370"/>
      <c r="P1097" s="208"/>
      <c r="Q1097" s="370"/>
      <c r="R1097" s="370"/>
    </row>
    <row r="1098">
      <c r="B1098" s="670"/>
      <c r="C1098" s="609"/>
      <c r="D1098" s="609"/>
      <c r="E1098" s="671"/>
      <c r="F1098" s="672"/>
      <c r="K1098" s="370"/>
      <c r="L1098" s="370"/>
      <c r="P1098" s="208"/>
      <c r="Q1098" s="370"/>
      <c r="R1098" s="370"/>
    </row>
    <row r="1099">
      <c r="B1099" s="670"/>
      <c r="C1099" s="609"/>
      <c r="D1099" s="609"/>
      <c r="E1099" s="671"/>
      <c r="F1099" s="672"/>
      <c r="K1099" s="370"/>
      <c r="L1099" s="370"/>
      <c r="P1099" s="208"/>
      <c r="Q1099" s="370"/>
      <c r="R1099" s="370"/>
    </row>
    <row r="1100">
      <c r="B1100" s="670"/>
      <c r="C1100" s="609"/>
      <c r="D1100" s="609"/>
      <c r="E1100" s="671"/>
      <c r="F1100" s="672"/>
      <c r="K1100" s="370"/>
      <c r="L1100" s="370"/>
      <c r="P1100" s="208"/>
      <c r="Q1100" s="370"/>
      <c r="R1100" s="370"/>
    </row>
    <row r="1101">
      <c r="B1101" s="670"/>
      <c r="C1101" s="609"/>
      <c r="D1101" s="609"/>
      <c r="E1101" s="671"/>
      <c r="F1101" s="672"/>
      <c r="K1101" s="370"/>
      <c r="L1101" s="370"/>
      <c r="P1101" s="208"/>
      <c r="Q1101" s="370"/>
      <c r="R1101" s="370"/>
    </row>
    <row r="1102">
      <c r="B1102" s="670"/>
      <c r="C1102" s="609"/>
      <c r="D1102" s="609"/>
      <c r="E1102" s="671"/>
      <c r="F1102" s="672"/>
      <c r="K1102" s="370"/>
      <c r="L1102" s="370"/>
      <c r="P1102" s="208"/>
      <c r="Q1102" s="370"/>
      <c r="R1102" s="370"/>
    </row>
    <row r="1103">
      <c r="B1103" s="670"/>
      <c r="C1103" s="609"/>
      <c r="D1103" s="609"/>
      <c r="E1103" s="671"/>
      <c r="F1103" s="672"/>
      <c r="K1103" s="370"/>
      <c r="L1103" s="370"/>
      <c r="P1103" s="208"/>
      <c r="Q1103" s="370"/>
      <c r="R1103" s="370"/>
    </row>
    <row r="1104">
      <c r="B1104" s="670"/>
      <c r="C1104" s="609"/>
      <c r="D1104" s="609"/>
      <c r="E1104" s="671"/>
      <c r="F1104" s="672"/>
      <c r="K1104" s="370"/>
      <c r="L1104" s="370"/>
      <c r="P1104" s="208"/>
      <c r="Q1104" s="370"/>
      <c r="R1104" s="370"/>
    </row>
    <row r="1105">
      <c r="B1105" s="670"/>
      <c r="C1105" s="609"/>
      <c r="D1105" s="609"/>
      <c r="E1105" s="671"/>
      <c r="F1105" s="672"/>
      <c r="K1105" s="370"/>
      <c r="L1105" s="370"/>
      <c r="P1105" s="208"/>
      <c r="Q1105" s="370"/>
      <c r="R1105" s="370"/>
    </row>
    <row r="1106">
      <c r="B1106" s="670"/>
      <c r="C1106" s="609"/>
      <c r="D1106" s="609"/>
      <c r="E1106" s="671"/>
      <c r="F1106" s="672"/>
      <c r="K1106" s="370"/>
      <c r="L1106" s="370"/>
      <c r="P1106" s="208"/>
      <c r="Q1106" s="370"/>
      <c r="R1106" s="370"/>
    </row>
    <row r="1107">
      <c r="B1107" s="670"/>
      <c r="C1107" s="609"/>
      <c r="D1107" s="609"/>
      <c r="E1107" s="671"/>
      <c r="F1107" s="672"/>
      <c r="K1107" s="370"/>
      <c r="L1107" s="370"/>
      <c r="P1107" s="208"/>
      <c r="Q1107" s="370"/>
      <c r="R1107" s="370"/>
    </row>
    <row r="1108">
      <c r="B1108" s="670"/>
      <c r="C1108" s="609"/>
      <c r="D1108" s="609"/>
      <c r="E1108" s="671"/>
      <c r="F1108" s="672"/>
      <c r="K1108" s="370"/>
      <c r="L1108" s="370"/>
      <c r="P1108" s="208"/>
      <c r="Q1108" s="370"/>
      <c r="R1108" s="370"/>
    </row>
    <row r="1109">
      <c r="B1109" s="670"/>
      <c r="C1109" s="609"/>
      <c r="D1109" s="609"/>
      <c r="E1109" s="671"/>
      <c r="F1109" s="672"/>
      <c r="K1109" s="370"/>
      <c r="L1109" s="370"/>
      <c r="P1109" s="208"/>
      <c r="Q1109" s="370"/>
      <c r="R1109" s="370"/>
    </row>
    <row r="1110">
      <c r="B1110" s="670"/>
      <c r="C1110" s="609"/>
      <c r="D1110" s="609"/>
      <c r="E1110" s="671"/>
      <c r="F1110" s="672"/>
      <c r="K1110" s="370"/>
      <c r="L1110" s="370"/>
      <c r="P1110" s="208"/>
      <c r="Q1110" s="370"/>
      <c r="R1110" s="370"/>
    </row>
    <row r="1111">
      <c r="B1111" s="670"/>
      <c r="C1111" s="609"/>
      <c r="D1111" s="609"/>
      <c r="E1111" s="671"/>
      <c r="F1111" s="672"/>
      <c r="K1111" s="370"/>
      <c r="L1111" s="370"/>
      <c r="P1111" s="208"/>
      <c r="Q1111" s="370"/>
      <c r="R1111" s="370"/>
    </row>
    <row r="1112">
      <c r="B1112" s="670"/>
      <c r="C1112" s="609"/>
      <c r="D1112" s="609"/>
      <c r="E1112" s="671"/>
      <c r="F1112" s="672"/>
      <c r="K1112" s="370"/>
      <c r="L1112" s="370"/>
      <c r="P1112" s="208"/>
      <c r="Q1112" s="370"/>
      <c r="R1112" s="370"/>
    </row>
    <row r="1113">
      <c r="B1113" s="670"/>
      <c r="C1113" s="609"/>
      <c r="D1113" s="609"/>
      <c r="E1113" s="671"/>
      <c r="F1113" s="672"/>
      <c r="K1113" s="370"/>
      <c r="L1113" s="370"/>
      <c r="P1113" s="208"/>
      <c r="Q1113" s="370"/>
      <c r="R1113" s="370"/>
    </row>
    <row r="1114">
      <c r="B1114" s="670"/>
      <c r="C1114" s="609"/>
      <c r="D1114" s="609"/>
      <c r="E1114" s="671"/>
      <c r="F1114" s="672"/>
      <c r="K1114" s="370"/>
      <c r="L1114" s="370"/>
      <c r="P1114" s="208"/>
      <c r="Q1114" s="370"/>
      <c r="R1114" s="370"/>
    </row>
    <row r="1115">
      <c r="B1115" s="670"/>
      <c r="C1115" s="609"/>
      <c r="D1115" s="609"/>
      <c r="E1115" s="671"/>
      <c r="F1115" s="672"/>
      <c r="K1115" s="370"/>
      <c r="L1115" s="370"/>
      <c r="P1115" s="208"/>
      <c r="Q1115" s="370"/>
      <c r="R1115" s="370"/>
    </row>
    <row r="1116">
      <c r="B1116" s="670"/>
      <c r="C1116" s="609"/>
      <c r="D1116" s="609"/>
      <c r="E1116" s="671"/>
      <c r="F1116" s="672"/>
      <c r="K1116" s="370"/>
      <c r="L1116" s="370"/>
      <c r="P1116" s="208"/>
      <c r="Q1116" s="370"/>
      <c r="R1116" s="370"/>
    </row>
    <row r="1117">
      <c r="B1117" s="670"/>
      <c r="C1117" s="609"/>
      <c r="D1117" s="609"/>
      <c r="E1117" s="671"/>
      <c r="F1117" s="672"/>
      <c r="K1117" s="370"/>
      <c r="L1117" s="370"/>
      <c r="P1117" s="208"/>
      <c r="Q1117" s="370"/>
      <c r="R1117" s="370"/>
    </row>
    <row r="1118">
      <c r="B1118" s="670"/>
      <c r="C1118" s="609"/>
      <c r="D1118" s="609"/>
      <c r="E1118" s="671"/>
      <c r="F1118" s="672"/>
      <c r="K1118" s="370"/>
      <c r="L1118" s="370"/>
      <c r="P1118" s="208"/>
      <c r="Q1118" s="370"/>
      <c r="R1118" s="370"/>
    </row>
    <row r="1119">
      <c r="B1119" s="670"/>
      <c r="C1119" s="609"/>
      <c r="D1119" s="609"/>
      <c r="E1119" s="671"/>
      <c r="F1119" s="672"/>
      <c r="K1119" s="370"/>
      <c r="L1119" s="370"/>
      <c r="P1119" s="208"/>
      <c r="Q1119" s="370"/>
      <c r="R1119" s="370"/>
    </row>
    <row r="1120">
      <c r="B1120" s="670"/>
      <c r="C1120" s="609"/>
      <c r="D1120" s="609"/>
      <c r="E1120" s="671"/>
      <c r="F1120" s="672"/>
      <c r="K1120" s="370"/>
      <c r="L1120" s="370"/>
      <c r="P1120" s="208"/>
      <c r="Q1120" s="370"/>
      <c r="R1120" s="370"/>
    </row>
    <row r="1121">
      <c r="B1121" s="670"/>
      <c r="C1121" s="609"/>
      <c r="D1121" s="609"/>
      <c r="E1121" s="671"/>
      <c r="F1121" s="672"/>
      <c r="K1121" s="370"/>
      <c r="L1121" s="370"/>
      <c r="P1121" s="208"/>
      <c r="Q1121" s="370"/>
      <c r="R1121" s="370"/>
    </row>
    <row r="1122">
      <c r="B1122" s="670"/>
      <c r="C1122" s="609"/>
      <c r="D1122" s="609"/>
      <c r="E1122" s="671"/>
      <c r="F1122" s="672"/>
      <c r="K1122" s="370"/>
      <c r="L1122" s="370"/>
      <c r="P1122" s="208"/>
      <c r="Q1122" s="370"/>
      <c r="R1122" s="370"/>
    </row>
    <row r="1123">
      <c r="B1123" s="670"/>
      <c r="C1123" s="609"/>
      <c r="D1123" s="609"/>
      <c r="E1123" s="671"/>
      <c r="F1123" s="672"/>
      <c r="K1123" s="370"/>
      <c r="L1123" s="370"/>
      <c r="P1123" s="208"/>
      <c r="Q1123" s="370"/>
      <c r="R1123" s="370"/>
    </row>
    <row r="1124">
      <c r="B1124" s="670"/>
      <c r="C1124" s="609"/>
      <c r="D1124" s="609"/>
      <c r="E1124" s="671"/>
      <c r="F1124" s="672"/>
      <c r="K1124" s="370"/>
      <c r="L1124" s="370"/>
      <c r="P1124" s="208"/>
      <c r="Q1124" s="370"/>
      <c r="R1124" s="370"/>
    </row>
    <row r="1125">
      <c r="B1125" s="670"/>
      <c r="C1125" s="609"/>
      <c r="D1125" s="609"/>
      <c r="E1125" s="671"/>
      <c r="F1125" s="672"/>
      <c r="K1125" s="370"/>
      <c r="L1125" s="370"/>
      <c r="P1125" s="208"/>
      <c r="Q1125" s="370"/>
      <c r="R1125" s="370"/>
    </row>
    <row r="1126">
      <c r="B1126" s="670"/>
      <c r="C1126" s="609"/>
      <c r="D1126" s="609"/>
      <c r="E1126" s="671"/>
      <c r="F1126" s="672"/>
      <c r="K1126" s="370"/>
      <c r="L1126" s="370"/>
      <c r="P1126" s="208"/>
      <c r="Q1126" s="370"/>
      <c r="R1126" s="370"/>
    </row>
    <row r="1127">
      <c r="B1127" s="670"/>
      <c r="C1127" s="609"/>
      <c r="D1127" s="609"/>
      <c r="E1127" s="671"/>
      <c r="F1127" s="672"/>
      <c r="K1127" s="370"/>
      <c r="L1127" s="370"/>
      <c r="P1127" s="208"/>
      <c r="Q1127" s="370"/>
      <c r="R1127" s="370"/>
    </row>
    <row r="1128">
      <c r="B1128" s="670"/>
      <c r="C1128" s="609"/>
      <c r="D1128" s="609"/>
      <c r="E1128" s="671"/>
      <c r="F1128" s="672"/>
      <c r="K1128" s="370"/>
      <c r="L1128" s="370"/>
      <c r="P1128" s="208"/>
      <c r="Q1128" s="370"/>
      <c r="R1128" s="370"/>
    </row>
    <row r="1129">
      <c r="B1129" s="670"/>
      <c r="C1129" s="609"/>
      <c r="D1129" s="609"/>
      <c r="E1129" s="671"/>
      <c r="F1129" s="672"/>
      <c r="K1129" s="370"/>
      <c r="L1129" s="370"/>
      <c r="P1129" s="208"/>
      <c r="Q1129" s="370"/>
      <c r="R1129" s="370"/>
    </row>
    <row r="1130">
      <c r="B1130" s="670"/>
      <c r="C1130" s="609"/>
      <c r="D1130" s="609"/>
      <c r="E1130" s="671"/>
      <c r="F1130" s="672"/>
      <c r="K1130" s="370"/>
      <c r="L1130" s="370"/>
      <c r="P1130" s="208"/>
      <c r="Q1130" s="370"/>
      <c r="R1130" s="370"/>
    </row>
    <row r="1131">
      <c r="B1131" s="670"/>
      <c r="C1131" s="609"/>
      <c r="D1131" s="609"/>
      <c r="E1131" s="671"/>
      <c r="F1131" s="672"/>
      <c r="K1131" s="370"/>
      <c r="L1131" s="370"/>
      <c r="P1131" s="208"/>
      <c r="Q1131" s="370"/>
      <c r="R1131" s="370"/>
    </row>
    <row r="1132">
      <c r="B1132" s="670"/>
      <c r="C1132" s="609"/>
      <c r="D1132" s="609"/>
      <c r="E1132" s="671"/>
      <c r="F1132" s="672"/>
      <c r="K1132" s="370"/>
      <c r="L1132" s="370"/>
      <c r="P1132" s="208"/>
      <c r="Q1132" s="370"/>
      <c r="R1132" s="370"/>
    </row>
    <row r="1133">
      <c r="B1133" s="670"/>
      <c r="C1133" s="609"/>
      <c r="D1133" s="609"/>
      <c r="E1133" s="671"/>
      <c r="F1133" s="672"/>
      <c r="K1133" s="370"/>
      <c r="L1133" s="370"/>
      <c r="P1133" s="208"/>
      <c r="Q1133" s="370"/>
      <c r="R1133" s="370"/>
    </row>
    <row r="1134">
      <c r="B1134" s="670"/>
      <c r="C1134" s="609"/>
      <c r="D1134" s="609"/>
      <c r="E1134" s="671"/>
      <c r="F1134" s="672"/>
      <c r="K1134" s="370"/>
      <c r="L1134" s="370"/>
      <c r="P1134" s="208"/>
      <c r="Q1134" s="370"/>
      <c r="R1134" s="370"/>
    </row>
    <row r="1135">
      <c r="B1135" s="670"/>
      <c r="C1135" s="609"/>
      <c r="D1135" s="609"/>
      <c r="E1135" s="671"/>
      <c r="F1135" s="672"/>
      <c r="K1135" s="370"/>
      <c r="L1135" s="370"/>
      <c r="P1135" s="208"/>
      <c r="Q1135" s="370"/>
      <c r="R1135" s="370"/>
    </row>
    <row r="1136">
      <c r="B1136" s="670"/>
      <c r="C1136" s="609"/>
      <c r="D1136" s="609"/>
      <c r="E1136" s="671"/>
      <c r="F1136" s="672"/>
      <c r="K1136" s="370"/>
      <c r="L1136" s="370"/>
      <c r="P1136" s="208"/>
      <c r="Q1136" s="370"/>
      <c r="R1136" s="370"/>
    </row>
    <row r="1137">
      <c r="B1137" s="670"/>
      <c r="C1137" s="609"/>
      <c r="D1137" s="609"/>
      <c r="E1137" s="671"/>
      <c r="F1137" s="672"/>
      <c r="K1137" s="370"/>
      <c r="L1137" s="370"/>
      <c r="P1137" s="208"/>
      <c r="Q1137" s="370"/>
      <c r="R1137" s="370"/>
    </row>
    <row r="1138">
      <c r="B1138" s="670"/>
      <c r="C1138" s="609"/>
      <c r="D1138" s="609"/>
      <c r="E1138" s="671"/>
      <c r="F1138" s="672"/>
      <c r="K1138" s="370"/>
      <c r="L1138" s="370"/>
      <c r="P1138" s="208"/>
      <c r="Q1138" s="370"/>
      <c r="R1138" s="370"/>
    </row>
    <row r="1139">
      <c r="B1139" s="670"/>
      <c r="C1139" s="609"/>
      <c r="D1139" s="609"/>
      <c r="E1139" s="671"/>
      <c r="F1139" s="672"/>
      <c r="K1139" s="370"/>
      <c r="L1139" s="370"/>
      <c r="P1139" s="208"/>
      <c r="Q1139" s="370"/>
      <c r="R1139" s="370"/>
    </row>
    <row r="1140">
      <c r="B1140" s="670"/>
      <c r="C1140" s="609"/>
      <c r="D1140" s="609"/>
      <c r="E1140" s="671"/>
      <c r="F1140" s="672"/>
      <c r="K1140" s="370"/>
      <c r="L1140" s="370"/>
      <c r="P1140" s="208"/>
      <c r="Q1140" s="370"/>
      <c r="R1140" s="370"/>
    </row>
    <row r="1141">
      <c r="B1141" s="670"/>
      <c r="C1141" s="609"/>
      <c r="D1141" s="609"/>
      <c r="E1141" s="671"/>
      <c r="F1141" s="672"/>
      <c r="K1141" s="370"/>
      <c r="L1141" s="370"/>
      <c r="P1141" s="208"/>
      <c r="Q1141" s="370"/>
      <c r="R1141" s="370"/>
    </row>
    <row r="1142">
      <c r="B1142" s="670"/>
      <c r="C1142" s="609"/>
      <c r="D1142" s="609"/>
      <c r="E1142" s="671"/>
      <c r="F1142" s="672"/>
      <c r="K1142" s="370"/>
      <c r="L1142" s="370"/>
      <c r="P1142" s="208"/>
      <c r="Q1142" s="370"/>
      <c r="R1142" s="370"/>
    </row>
    <row r="1143">
      <c r="B1143" s="670"/>
      <c r="C1143" s="609"/>
      <c r="D1143" s="609"/>
      <c r="E1143" s="671"/>
      <c r="F1143" s="672"/>
      <c r="K1143" s="370"/>
      <c r="L1143" s="370"/>
      <c r="P1143" s="208"/>
      <c r="Q1143" s="370"/>
      <c r="R1143" s="370"/>
    </row>
    <row r="1144">
      <c r="B1144" s="670"/>
      <c r="C1144" s="609"/>
      <c r="D1144" s="609"/>
      <c r="E1144" s="671"/>
      <c r="F1144" s="672"/>
      <c r="K1144" s="370"/>
      <c r="L1144" s="370"/>
      <c r="P1144" s="208"/>
      <c r="Q1144" s="370"/>
      <c r="R1144" s="370"/>
    </row>
    <row r="1145">
      <c r="B1145" s="670"/>
      <c r="C1145" s="609"/>
      <c r="D1145" s="609"/>
      <c r="E1145" s="671"/>
      <c r="F1145" s="672"/>
      <c r="K1145" s="370"/>
      <c r="L1145" s="370"/>
      <c r="P1145" s="208"/>
      <c r="Q1145" s="370"/>
      <c r="R1145" s="370"/>
    </row>
    <row r="1146">
      <c r="B1146" s="670"/>
      <c r="C1146" s="609"/>
      <c r="D1146" s="609"/>
      <c r="E1146" s="671"/>
      <c r="F1146" s="672"/>
      <c r="K1146" s="370"/>
      <c r="L1146" s="370"/>
      <c r="P1146" s="208"/>
      <c r="Q1146" s="370"/>
      <c r="R1146" s="370"/>
    </row>
    <row r="1147">
      <c r="B1147" s="670"/>
      <c r="C1147" s="609"/>
      <c r="D1147" s="609"/>
      <c r="E1147" s="671"/>
      <c r="F1147" s="672"/>
      <c r="K1147" s="370"/>
      <c r="L1147" s="370"/>
      <c r="P1147" s="208"/>
      <c r="Q1147" s="370"/>
      <c r="R1147" s="370"/>
    </row>
    <row r="1148">
      <c r="B1148" s="670"/>
      <c r="C1148" s="609"/>
      <c r="D1148" s="609"/>
      <c r="E1148" s="671"/>
      <c r="F1148" s="672"/>
      <c r="K1148" s="370"/>
      <c r="L1148" s="370"/>
      <c r="P1148" s="208"/>
      <c r="Q1148" s="370"/>
      <c r="R1148" s="370"/>
    </row>
    <row r="1149">
      <c r="B1149" s="670"/>
      <c r="C1149" s="609"/>
      <c r="D1149" s="609"/>
      <c r="E1149" s="671"/>
      <c r="F1149" s="672"/>
      <c r="K1149" s="370"/>
      <c r="L1149" s="370"/>
      <c r="P1149" s="208"/>
      <c r="Q1149" s="370"/>
      <c r="R1149" s="370"/>
    </row>
    <row r="1150">
      <c r="B1150" s="670"/>
      <c r="C1150" s="609"/>
      <c r="D1150" s="609"/>
      <c r="E1150" s="671"/>
      <c r="F1150" s="672"/>
      <c r="K1150" s="370"/>
      <c r="L1150" s="370"/>
      <c r="P1150" s="208"/>
      <c r="Q1150" s="370"/>
      <c r="R1150" s="370"/>
    </row>
    <row r="1151">
      <c r="B1151" s="670"/>
      <c r="C1151" s="609"/>
      <c r="D1151" s="609"/>
      <c r="E1151" s="671"/>
      <c r="F1151" s="672"/>
      <c r="K1151" s="370"/>
      <c r="L1151" s="370"/>
      <c r="P1151" s="208"/>
      <c r="Q1151" s="370"/>
      <c r="R1151" s="370"/>
    </row>
    <row r="1152">
      <c r="B1152" s="670"/>
      <c r="C1152" s="609"/>
      <c r="D1152" s="609"/>
      <c r="E1152" s="671"/>
      <c r="F1152" s="672"/>
      <c r="K1152" s="370"/>
      <c r="L1152" s="370"/>
      <c r="P1152" s="208"/>
      <c r="Q1152" s="370"/>
      <c r="R1152" s="370"/>
    </row>
    <row r="1153">
      <c r="B1153" s="670"/>
      <c r="C1153" s="609"/>
      <c r="D1153" s="609"/>
      <c r="E1153" s="671"/>
      <c r="F1153" s="672"/>
      <c r="K1153" s="370"/>
      <c r="L1153" s="370"/>
      <c r="P1153" s="208"/>
      <c r="Q1153" s="370"/>
      <c r="R1153" s="370"/>
    </row>
    <row r="1154">
      <c r="B1154" s="670"/>
      <c r="C1154" s="609"/>
      <c r="D1154" s="609"/>
      <c r="E1154" s="671"/>
      <c r="F1154" s="672"/>
      <c r="K1154" s="370"/>
      <c r="L1154" s="370"/>
      <c r="P1154" s="208"/>
      <c r="Q1154" s="370"/>
      <c r="R1154" s="370"/>
    </row>
    <row r="1155">
      <c r="B1155" s="670"/>
      <c r="C1155" s="609"/>
      <c r="D1155" s="609"/>
      <c r="E1155" s="671"/>
      <c r="F1155" s="672"/>
      <c r="K1155" s="370"/>
      <c r="L1155" s="370"/>
      <c r="P1155" s="208"/>
      <c r="Q1155" s="370"/>
      <c r="R1155" s="370"/>
    </row>
    <row r="1156">
      <c r="B1156" s="670"/>
      <c r="C1156" s="609"/>
      <c r="D1156" s="609"/>
      <c r="E1156" s="671"/>
      <c r="F1156" s="672"/>
      <c r="K1156" s="370"/>
      <c r="L1156" s="370"/>
      <c r="P1156" s="208"/>
      <c r="Q1156" s="370"/>
      <c r="R1156" s="370"/>
    </row>
    <row r="1157">
      <c r="B1157" s="670"/>
      <c r="C1157" s="609"/>
      <c r="D1157" s="609"/>
      <c r="E1157" s="671"/>
      <c r="F1157" s="672"/>
      <c r="K1157" s="370"/>
      <c r="L1157" s="370"/>
      <c r="P1157" s="208"/>
      <c r="Q1157" s="370"/>
      <c r="R1157" s="370"/>
    </row>
    <row r="1158">
      <c r="B1158" s="670"/>
      <c r="C1158" s="609"/>
      <c r="D1158" s="609"/>
      <c r="E1158" s="671"/>
      <c r="F1158" s="672"/>
      <c r="K1158" s="370"/>
      <c r="L1158" s="370"/>
      <c r="P1158" s="208"/>
      <c r="Q1158" s="370"/>
      <c r="R1158" s="370"/>
    </row>
    <row r="1159">
      <c r="B1159" s="670"/>
      <c r="C1159" s="609"/>
      <c r="D1159" s="609"/>
      <c r="E1159" s="671"/>
      <c r="F1159" s="672"/>
      <c r="K1159" s="370"/>
      <c r="L1159" s="370"/>
      <c r="P1159" s="208"/>
      <c r="Q1159" s="370"/>
      <c r="R1159" s="370"/>
    </row>
    <row r="1160">
      <c r="B1160" s="670"/>
      <c r="C1160" s="609"/>
      <c r="D1160" s="609"/>
      <c r="E1160" s="671"/>
      <c r="F1160" s="672"/>
      <c r="K1160" s="370"/>
      <c r="L1160" s="370"/>
      <c r="P1160" s="208"/>
      <c r="Q1160" s="370"/>
      <c r="R1160" s="370"/>
    </row>
    <row r="1161">
      <c r="B1161" s="670"/>
      <c r="C1161" s="609"/>
      <c r="D1161" s="609"/>
      <c r="E1161" s="671"/>
      <c r="F1161" s="672"/>
      <c r="K1161" s="370"/>
      <c r="L1161" s="370"/>
      <c r="P1161" s="208"/>
      <c r="Q1161" s="370"/>
      <c r="R1161" s="370"/>
    </row>
    <row r="1162">
      <c r="B1162" s="670"/>
      <c r="C1162" s="609"/>
      <c r="D1162" s="609"/>
      <c r="E1162" s="671"/>
      <c r="F1162" s="672"/>
      <c r="K1162" s="370"/>
      <c r="L1162" s="370"/>
      <c r="P1162" s="208"/>
      <c r="Q1162" s="370"/>
      <c r="R1162" s="370"/>
    </row>
    <row r="1163">
      <c r="B1163" s="670"/>
      <c r="C1163" s="609"/>
      <c r="D1163" s="609"/>
      <c r="E1163" s="671"/>
      <c r="F1163" s="672"/>
      <c r="K1163" s="370"/>
      <c r="L1163" s="370"/>
      <c r="P1163" s="208"/>
      <c r="Q1163" s="370"/>
      <c r="R1163" s="370"/>
    </row>
    <row r="1164">
      <c r="B1164" s="670"/>
      <c r="C1164" s="609"/>
      <c r="D1164" s="609"/>
      <c r="E1164" s="671"/>
      <c r="F1164" s="672"/>
      <c r="K1164" s="370"/>
      <c r="L1164" s="370"/>
      <c r="P1164" s="208"/>
      <c r="Q1164" s="370"/>
      <c r="R1164" s="370"/>
    </row>
    <row r="1165">
      <c r="B1165" s="670"/>
      <c r="C1165" s="609"/>
      <c r="D1165" s="609"/>
      <c r="E1165" s="671"/>
      <c r="F1165" s="672"/>
      <c r="K1165" s="370"/>
      <c r="L1165" s="370"/>
      <c r="P1165" s="208"/>
      <c r="Q1165" s="370"/>
      <c r="R1165" s="370"/>
    </row>
    <row r="1166">
      <c r="B1166" s="670"/>
      <c r="C1166" s="609"/>
      <c r="D1166" s="609"/>
      <c r="E1166" s="671"/>
      <c r="F1166" s="672"/>
      <c r="K1166" s="370"/>
      <c r="L1166" s="370"/>
      <c r="P1166" s="208"/>
      <c r="Q1166" s="370"/>
      <c r="R1166" s="370"/>
    </row>
    <row r="1167">
      <c r="B1167" s="670"/>
      <c r="C1167" s="609"/>
      <c r="D1167" s="609"/>
      <c r="E1167" s="671"/>
      <c r="F1167" s="672"/>
      <c r="K1167" s="370"/>
      <c r="L1167" s="370"/>
      <c r="P1167" s="208"/>
      <c r="Q1167" s="370"/>
      <c r="R1167" s="370"/>
    </row>
    <row r="1168">
      <c r="B1168" s="670"/>
      <c r="C1168" s="609"/>
      <c r="D1168" s="609"/>
      <c r="E1168" s="671"/>
      <c r="F1168" s="672"/>
      <c r="K1168" s="370"/>
      <c r="L1168" s="370"/>
      <c r="P1168" s="208"/>
      <c r="Q1168" s="370"/>
      <c r="R1168" s="370"/>
    </row>
    <row r="1169">
      <c r="B1169" s="670"/>
      <c r="C1169" s="609"/>
      <c r="D1169" s="609"/>
      <c r="E1169" s="671"/>
      <c r="F1169" s="672"/>
      <c r="K1169" s="370"/>
      <c r="L1169" s="370"/>
      <c r="P1169" s="208"/>
      <c r="Q1169" s="370"/>
      <c r="R1169" s="370"/>
    </row>
    <row r="1170">
      <c r="B1170" s="670"/>
      <c r="C1170" s="609"/>
      <c r="D1170" s="609"/>
      <c r="E1170" s="671"/>
      <c r="F1170" s="672"/>
      <c r="K1170" s="370"/>
      <c r="L1170" s="370"/>
      <c r="P1170" s="208"/>
      <c r="Q1170" s="370"/>
      <c r="R1170" s="370"/>
    </row>
    <row r="1171">
      <c r="B1171" s="670"/>
      <c r="C1171" s="609"/>
      <c r="D1171" s="609"/>
      <c r="E1171" s="671"/>
      <c r="F1171" s="672"/>
      <c r="K1171" s="370"/>
      <c r="L1171" s="370"/>
      <c r="P1171" s="208"/>
      <c r="Q1171" s="370"/>
      <c r="R1171" s="370"/>
    </row>
    <row r="1172">
      <c r="B1172" s="670"/>
      <c r="C1172" s="609"/>
      <c r="D1172" s="609"/>
      <c r="E1172" s="671"/>
      <c r="F1172" s="672"/>
      <c r="K1172" s="370"/>
      <c r="L1172" s="370"/>
      <c r="P1172" s="208"/>
      <c r="Q1172" s="370"/>
      <c r="R1172" s="370"/>
    </row>
    <row r="1173">
      <c r="B1173" s="670"/>
      <c r="C1173" s="609"/>
      <c r="D1173" s="609"/>
      <c r="E1173" s="671"/>
      <c r="F1173" s="672"/>
      <c r="K1173" s="370"/>
      <c r="L1173" s="370"/>
      <c r="P1173" s="208"/>
      <c r="Q1173" s="370"/>
      <c r="R1173" s="370"/>
    </row>
    <row r="1174">
      <c r="B1174" s="670"/>
      <c r="C1174" s="609"/>
      <c r="D1174" s="609"/>
      <c r="E1174" s="671"/>
      <c r="F1174" s="672"/>
      <c r="K1174" s="370"/>
      <c r="L1174" s="370"/>
      <c r="P1174" s="208"/>
      <c r="Q1174" s="370"/>
      <c r="R1174" s="370"/>
    </row>
    <row r="1175">
      <c r="B1175" s="670"/>
      <c r="C1175" s="609"/>
      <c r="D1175" s="609"/>
      <c r="E1175" s="671"/>
      <c r="F1175" s="672"/>
      <c r="K1175" s="370"/>
      <c r="L1175" s="370"/>
      <c r="P1175" s="208"/>
      <c r="Q1175" s="370"/>
      <c r="R1175" s="370"/>
    </row>
    <row r="1176">
      <c r="B1176" s="670"/>
      <c r="C1176" s="609"/>
      <c r="D1176" s="609"/>
      <c r="E1176" s="671"/>
      <c r="F1176" s="672"/>
      <c r="K1176" s="370"/>
      <c r="L1176" s="370"/>
      <c r="P1176" s="208"/>
      <c r="Q1176" s="370"/>
      <c r="R1176" s="370"/>
    </row>
    <row r="1177">
      <c r="B1177" s="670"/>
      <c r="C1177" s="609"/>
      <c r="D1177" s="609"/>
      <c r="E1177" s="671"/>
      <c r="F1177" s="672"/>
      <c r="K1177" s="370"/>
      <c r="L1177" s="370"/>
      <c r="P1177" s="208"/>
      <c r="Q1177" s="370"/>
      <c r="R1177" s="370"/>
    </row>
    <row r="1178">
      <c r="B1178" s="670"/>
      <c r="C1178" s="609"/>
      <c r="D1178" s="609"/>
      <c r="E1178" s="671"/>
      <c r="F1178" s="672"/>
      <c r="K1178" s="370"/>
      <c r="L1178" s="370"/>
      <c r="P1178" s="208"/>
      <c r="Q1178" s="370"/>
      <c r="R1178" s="370"/>
    </row>
    <row r="1179">
      <c r="B1179" s="670"/>
      <c r="C1179" s="609"/>
      <c r="D1179" s="609"/>
      <c r="E1179" s="671"/>
      <c r="F1179" s="672"/>
      <c r="K1179" s="370"/>
      <c r="L1179" s="370"/>
      <c r="P1179" s="208"/>
      <c r="Q1179" s="370"/>
      <c r="R1179" s="370"/>
    </row>
    <row r="1180">
      <c r="B1180" s="670"/>
      <c r="C1180" s="609"/>
      <c r="D1180" s="609"/>
      <c r="E1180" s="671"/>
      <c r="F1180" s="672"/>
      <c r="K1180" s="370"/>
      <c r="L1180" s="370"/>
      <c r="P1180" s="208"/>
      <c r="Q1180" s="370"/>
      <c r="R1180" s="370"/>
    </row>
    <row r="1181">
      <c r="B1181" s="670"/>
      <c r="C1181" s="609"/>
      <c r="D1181" s="609"/>
      <c r="E1181" s="671"/>
      <c r="F1181" s="672"/>
      <c r="K1181" s="370"/>
      <c r="L1181" s="370"/>
      <c r="P1181" s="208"/>
      <c r="Q1181" s="370"/>
      <c r="R1181" s="370"/>
    </row>
    <row r="1182">
      <c r="B1182" s="670"/>
      <c r="C1182" s="609"/>
      <c r="D1182" s="609"/>
      <c r="E1182" s="671"/>
      <c r="F1182" s="672"/>
      <c r="K1182" s="370"/>
      <c r="L1182" s="370"/>
      <c r="P1182" s="208"/>
      <c r="Q1182" s="370"/>
      <c r="R1182" s="370"/>
    </row>
    <row r="1183">
      <c r="B1183" s="670"/>
      <c r="C1183" s="609"/>
      <c r="D1183" s="609"/>
      <c r="E1183" s="671"/>
      <c r="F1183" s="672"/>
      <c r="K1183" s="370"/>
      <c r="L1183" s="370"/>
      <c r="P1183" s="208"/>
      <c r="Q1183" s="370"/>
      <c r="R1183" s="370"/>
    </row>
    <row r="1184">
      <c r="B1184" s="670"/>
      <c r="C1184" s="609"/>
      <c r="D1184" s="609"/>
      <c r="E1184" s="671"/>
      <c r="F1184" s="672"/>
      <c r="K1184" s="370"/>
      <c r="L1184" s="370"/>
      <c r="P1184" s="208"/>
      <c r="Q1184" s="370"/>
      <c r="R1184" s="370"/>
    </row>
    <row r="1185">
      <c r="B1185" s="670"/>
      <c r="C1185" s="609"/>
      <c r="D1185" s="609"/>
      <c r="E1185" s="671"/>
      <c r="F1185" s="672"/>
      <c r="K1185" s="370"/>
      <c r="L1185" s="370"/>
      <c r="P1185" s="208"/>
      <c r="Q1185" s="370"/>
      <c r="R1185" s="370"/>
    </row>
    <row r="1186">
      <c r="B1186" s="670"/>
      <c r="C1186" s="609"/>
      <c r="D1186" s="609"/>
      <c r="E1186" s="671"/>
      <c r="F1186" s="672"/>
      <c r="K1186" s="370"/>
      <c r="L1186" s="370"/>
      <c r="P1186" s="208"/>
      <c r="Q1186" s="370"/>
      <c r="R1186" s="370"/>
    </row>
    <row r="1187">
      <c r="B1187" s="670"/>
      <c r="C1187" s="609"/>
      <c r="D1187" s="609"/>
      <c r="E1187" s="671"/>
      <c r="F1187" s="672"/>
      <c r="K1187" s="370"/>
      <c r="L1187" s="370"/>
      <c r="P1187" s="208"/>
      <c r="Q1187" s="370"/>
      <c r="R1187" s="370"/>
    </row>
    <row r="1188">
      <c r="B1188" s="670"/>
      <c r="C1188" s="609"/>
      <c r="D1188" s="609"/>
      <c r="E1188" s="671"/>
      <c r="F1188" s="672"/>
      <c r="K1188" s="370"/>
      <c r="L1188" s="370"/>
      <c r="P1188" s="208"/>
      <c r="Q1188" s="370"/>
      <c r="R1188" s="370"/>
    </row>
    <row r="1189">
      <c r="B1189" s="670"/>
      <c r="C1189" s="609"/>
      <c r="D1189" s="609"/>
      <c r="E1189" s="671"/>
      <c r="F1189" s="672"/>
      <c r="K1189" s="370"/>
      <c r="L1189" s="370"/>
      <c r="P1189" s="208"/>
      <c r="Q1189" s="370"/>
      <c r="R1189" s="370"/>
    </row>
    <row r="1190">
      <c r="B1190" s="670"/>
      <c r="C1190" s="609"/>
      <c r="D1190" s="609"/>
      <c r="E1190" s="671"/>
      <c r="F1190" s="672"/>
      <c r="K1190" s="370"/>
      <c r="L1190" s="370"/>
      <c r="P1190" s="208"/>
      <c r="Q1190" s="370"/>
      <c r="R1190" s="370"/>
    </row>
    <row r="1191">
      <c r="B1191" s="670"/>
      <c r="C1191" s="609"/>
      <c r="D1191" s="609"/>
      <c r="E1191" s="671"/>
      <c r="F1191" s="672"/>
      <c r="K1191" s="370"/>
      <c r="L1191" s="370"/>
      <c r="P1191" s="208"/>
      <c r="Q1191" s="370"/>
      <c r="R1191" s="370"/>
    </row>
    <row r="1192">
      <c r="B1192" s="670"/>
      <c r="C1192" s="609"/>
      <c r="D1192" s="609"/>
      <c r="E1192" s="671"/>
      <c r="F1192" s="672"/>
      <c r="K1192" s="370"/>
      <c r="L1192" s="370"/>
      <c r="P1192" s="208"/>
      <c r="Q1192" s="370"/>
      <c r="R1192" s="370"/>
    </row>
    <row r="1193">
      <c r="B1193" s="670"/>
      <c r="C1193" s="609"/>
      <c r="D1193" s="609"/>
      <c r="E1193" s="671"/>
      <c r="F1193" s="672"/>
      <c r="K1193" s="370"/>
      <c r="L1193" s="370"/>
      <c r="P1193" s="208"/>
      <c r="Q1193" s="370"/>
      <c r="R1193" s="370"/>
    </row>
    <row r="1194">
      <c r="B1194" s="670"/>
      <c r="C1194" s="609"/>
      <c r="D1194" s="609"/>
      <c r="E1194" s="671"/>
      <c r="F1194" s="672"/>
      <c r="K1194" s="370"/>
      <c r="L1194" s="370"/>
      <c r="P1194" s="208"/>
      <c r="Q1194" s="370"/>
      <c r="R1194" s="370"/>
    </row>
    <row r="1195">
      <c r="B1195" s="670"/>
      <c r="C1195" s="609"/>
      <c r="D1195" s="609"/>
      <c r="E1195" s="671"/>
      <c r="F1195" s="672"/>
      <c r="K1195" s="370"/>
      <c r="L1195" s="370"/>
      <c r="P1195" s="208"/>
      <c r="Q1195" s="370"/>
      <c r="R1195" s="370"/>
    </row>
    <row r="1196">
      <c r="B1196" s="670"/>
      <c r="C1196" s="609"/>
      <c r="D1196" s="609"/>
      <c r="E1196" s="671"/>
      <c r="F1196" s="672"/>
      <c r="K1196" s="370"/>
      <c r="L1196" s="370"/>
      <c r="P1196" s="208"/>
      <c r="Q1196" s="370"/>
      <c r="R1196" s="370"/>
    </row>
    <row r="1197">
      <c r="B1197" s="670"/>
      <c r="C1197" s="609"/>
      <c r="D1197" s="609"/>
      <c r="E1197" s="671"/>
      <c r="F1197" s="672"/>
      <c r="K1197" s="370"/>
      <c r="L1197" s="370"/>
      <c r="P1197" s="208"/>
      <c r="Q1197" s="370"/>
      <c r="R1197" s="370"/>
    </row>
    <row r="1198">
      <c r="B1198" s="670"/>
      <c r="C1198" s="609"/>
      <c r="D1198" s="609"/>
      <c r="E1198" s="671"/>
      <c r="F1198" s="672"/>
      <c r="K1198" s="370"/>
      <c r="L1198" s="370"/>
      <c r="P1198" s="208"/>
      <c r="Q1198" s="370"/>
      <c r="R1198" s="370"/>
    </row>
    <row r="1199">
      <c r="B1199" s="670"/>
      <c r="C1199" s="609"/>
      <c r="D1199" s="609"/>
      <c r="E1199" s="671"/>
      <c r="F1199" s="672"/>
      <c r="K1199" s="370"/>
      <c r="L1199" s="370"/>
      <c r="P1199" s="208"/>
      <c r="Q1199" s="370"/>
      <c r="R1199" s="370"/>
    </row>
    <row r="1200">
      <c r="B1200" s="670"/>
      <c r="C1200" s="609"/>
      <c r="D1200" s="609"/>
      <c r="E1200" s="671"/>
      <c r="F1200" s="672"/>
      <c r="K1200" s="370"/>
      <c r="L1200" s="370"/>
      <c r="P1200" s="208"/>
      <c r="Q1200" s="370"/>
      <c r="R1200" s="370"/>
    </row>
    <row r="1201">
      <c r="B1201" s="670"/>
      <c r="C1201" s="609"/>
      <c r="D1201" s="609"/>
      <c r="E1201" s="671"/>
      <c r="F1201" s="672"/>
      <c r="K1201" s="370"/>
      <c r="L1201" s="370"/>
      <c r="P1201" s="208"/>
      <c r="Q1201" s="370"/>
      <c r="R1201" s="370"/>
    </row>
    <row r="1202">
      <c r="B1202" s="670"/>
      <c r="C1202" s="609"/>
      <c r="D1202" s="609"/>
      <c r="E1202" s="671"/>
      <c r="F1202" s="672"/>
      <c r="K1202" s="370"/>
      <c r="L1202" s="370"/>
      <c r="P1202" s="208"/>
      <c r="Q1202" s="370"/>
      <c r="R1202" s="370"/>
    </row>
    <row r="1203">
      <c r="B1203" s="670"/>
      <c r="C1203" s="609"/>
      <c r="D1203" s="609"/>
      <c r="E1203" s="671"/>
      <c r="F1203" s="672"/>
      <c r="K1203" s="370"/>
      <c r="L1203" s="370"/>
      <c r="P1203" s="208"/>
      <c r="Q1203" s="370"/>
      <c r="R1203" s="370"/>
    </row>
    <row r="1204">
      <c r="B1204" s="670"/>
      <c r="C1204" s="609"/>
      <c r="D1204" s="609"/>
      <c r="E1204" s="671"/>
      <c r="F1204" s="672"/>
      <c r="K1204" s="370"/>
      <c r="L1204" s="370"/>
      <c r="P1204" s="208"/>
      <c r="Q1204" s="370"/>
      <c r="R1204" s="370"/>
    </row>
    <row r="1205">
      <c r="B1205" s="670"/>
      <c r="C1205" s="609"/>
      <c r="D1205" s="609"/>
      <c r="E1205" s="671"/>
      <c r="F1205" s="672"/>
      <c r="K1205" s="370"/>
      <c r="L1205" s="370"/>
      <c r="P1205" s="208"/>
      <c r="Q1205" s="370"/>
      <c r="R1205" s="370"/>
    </row>
    <row r="1206">
      <c r="B1206" s="670"/>
      <c r="C1206" s="609"/>
      <c r="D1206" s="609"/>
      <c r="E1206" s="671"/>
      <c r="F1206" s="672"/>
      <c r="K1206" s="370"/>
      <c r="L1206" s="370"/>
      <c r="P1206" s="208"/>
      <c r="Q1206" s="370"/>
      <c r="R1206" s="370"/>
    </row>
    <row r="1207">
      <c r="B1207" s="670"/>
      <c r="C1207" s="609"/>
      <c r="D1207" s="609"/>
      <c r="E1207" s="671"/>
      <c r="F1207" s="672"/>
      <c r="K1207" s="370"/>
      <c r="L1207" s="370"/>
      <c r="P1207" s="208"/>
      <c r="Q1207" s="370"/>
      <c r="R1207" s="370"/>
    </row>
    <row r="1208">
      <c r="B1208" s="670"/>
      <c r="C1208" s="609"/>
      <c r="D1208" s="609"/>
      <c r="E1208" s="671"/>
      <c r="F1208" s="672"/>
      <c r="K1208" s="370"/>
      <c r="L1208" s="370"/>
      <c r="P1208" s="208"/>
      <c r="Q1208" s="370"/>
      <c r="R1208" s="370"/>
    </row>
    <row r="1209">
      <c r="B1209" s="670"/>
      <c r="C1209" s="609"/>
      <c r="D1209" s="609"/>
      <c r="E1209" s="671"/>
      <c r="F1209" s="672"/>
      <c r="K1209" s="370"/>
      <c r="L1209" s="370"/>
      <c r="P1209" s="208"/>
      <c r="Q1209" s="370"/>
      <c r="R1209" s="370"/>
    </row>
    <row r="1210">
      <c r="B1210" s="670"/>
      <c r="C1210" s="609"/>
      <c r="D1210" s="609"/>
      <c r="E1210" s="671"/>
      <c r="F1210" s="672"/>
      <c r="K1210" s="370"/>
      <c r="L1210" s="370"/>
      <c r="P1210" s="208"/>
      <c r="Q1210" s="370"/>
      <c r="R1210" s="370"/>
    </row>
    <row r="1211">
      <c r="B1211" s="670"/>
      <c r="C1211" s="609"/>
      <c r="D1211" s="609"/>
      <c r="E1211" s="671"/>
      <c r="F1211" s="672"/>
      <c r="K1211" s="370"/>
      <c r="L1211" s="370"/>
      <c r="P1211" s="208"/>
      <c r="Q1211" s="370"/>
      <c r="R1211" s="370"/>
    </row>
    <row r="1212">
      <c r="B1212" s="670"/>
      <c r="C1212" s="609"/>
      <c r="D1212" s="609"/>
      <c r="E1212" s="671"/>
      <c r="F1212" s="672"/>
      <c r="K1212" s="370"/>
      <c r="L1212" s="370"/>
      <c r="P1212" s="208"/>
      <c r="Q1212" s="370"/>
      <c r="R1212" s="370"/>
    </row>
    <row r="1213">
      <c r="B1213" s="670"/>
      <c r="C1213" s="609"/>
      <c r="D1213" s="609"/>
      <c r="E1213" s="671"/>
      <c r="F1213" s="672"/>
      <c r="K1213" s="370"/>
      <c r="L1213" s="370"/>
      <c r="P1213" s="208"/>
      <c r="Q1213" s="370"/>
      <c r="R1213" s="370"/>
    </row>
    <row r="1214">
      <c r="B1214" s="670"/>
      <c r="C1214" s="609"/>
      <c r="D1214" s="609"/>
      <c r="E1214" s="671"/>
      <c r="F1214" s="672"/>
      <c r="K1214" s="370"/>
      <c r="L1214" s="370"/>
      <c r="P1214" s="208"/>
      <c r="Q1214" s="370"/>
      <c r="R1214" s="370"/>
    </row>
    <row r="1215">
      <c r="B1215" s="670"/>
      <c r="C1215" s="609"/>
      <c r="D1215" s="609"/>
      <c r="E1215" s="671"/>
      <c r="F1215" s="672"/>
      <c r="K1215" s="370"/>
      <c r="L1215" s="370"/>
      <c r="P1215" s="208"/>
      <c r="Q1215" s="370"/>
      <c r="R1215" s="370"/>
    </row>
    <row r="1216">
      <c r="B1216" s="670"/>
      <c r="C1216" s="609"/>
      <c r="D1216" s="609"/>
      <c r="E1216" s="671"/>
      <c r="F1216" s="672"/>
      <c r="K1216" s="370"/>
      <c r="L1216" s="370"/>
      <c r="P1216" s="208"/>
      <c r="Q1216" s="370"/>
      <c r="R1216" s="370"/>
    </row>
    <row r="1217">
      <c r="B1217" s="670"/>
      <c r="C1217" s="609"/>
      <c r="D1217" s="609"/>
      <c r="E1217" s="671"/>
      <c r="F1217" s="672"/>
      <c r="K1217" s="370"/>
      <c r="L1217" s="370"/>
      <c r="P1217" s="208"/>
      <c r="Q1217" s="370"/>
      <c r="R1217" s="370"/>
    </row>
    <row r="1218">
      <c r="B1218" s="670"/>
      <c r="C1218" s="609"/>
      <c r="D1218" s="609"/>
      <c r="E1218" s="671"/>
      <c r="F1218" s="672"/>
      <c r="K1218" s="370"/>
      <c r="L1218" s="370"/>
      <c r="P1218" s="208"/>
      <c r="Q1218" s="370"/>
      <c r="R1218" s="370"/>
    </row>
    <row r="1219">
      <c r="B1219" s="670"/>
      <c r="C1219" s="609"/>
      <c r="D1219" s="609"/>
      <c r="E1219" s="671"/>
      <c r="F1219" s="672"/>
      <c r="K1219" s="370"/>
      <c r="L1219" s="370"/>
      <c r="P1219" s="208"/>
      <c r="Q1219" s="370"/>
      <c r="R1219" s="370"/>
    </row>
    <row r="1220">
      <c r="B1220" s="670"/>
      <c r="C1220" s="609"/>
      <c r="D1220" s="609"/>
      <c r="E1220" s="671"/>
      <c r="F1220" s="672"/>
      <c r="K1220" s="370"/>
      <c r="L1220" s="370"/>
      <c r="P1220" s="208"/>
      <c r="Q1220" s="370"/>
      <c r="R1220" s="370"/>
    </row>
    <row r="1221">
      <c r="B1221" s="670"/>
      <c r="C1221" s="609"/>
      <c r="D1221" s="609"/>
      <c r="E1221" s="671"/>
      <c r="F1221" s="672"/>
      <c r="K1221" s="370"/>
      <c r="L1221" s="370"/>
      <c r="P1221" s="208"/>
      <c r="Q1221" s="370"/>
      <c r="R1221" s="370"/>
    </row>
    <row r="1222">
      <c r="B1222" s="670"/>
      <c r="C1222" s="609"/>
      <c r="D1222" s="609"/>
      <c r="E1222" s="671"/>
      <c r="F1222" s="672"/>
      <c r="K1222" s="370"/>
      <c r="L1222" s="370"/>
      <c r="P1222" s="208"/>
      <c r="Q1222" s="370"/>
      <c r="R1222" s="370"/>
    </row>
    <row r="1223">
      <c r="B1223" s="670"/>
      <c r="C1223" s="609"/>
      <c r="D1223" s="609"/>
      <c r="E1223" s="671"/>
      <c r="F1223" s="672"/>
      <c r="K1223" s="370"/>
      <c r="L1223" s="370"/>
      <c r="P1223" s="208"/>
      <c r="Q1223" s="370"/>
      <c r="R1223" s="370"/>
    </row>
    <row r="1224">
      <c r="B1224" s="670"/>
      <c r="C1224" s="609"/>
      <c r="D1224" s="609"/>
      <c r="E1224" s="671"/>
      <c r="F1224" s="672"/>
      <c r="K1224" s="370"/>
      <c r="L1224" s="370"/>
      <c r="P1224" s="208"/>
      <c r="Q1224" s="370"/>
      <c r="R1224" s="370"/>
    </row>
    <row r="1225">
      <c r="B1225" s="670"/>
      <c r="C1225" s="609"/>
      <c r="D1225" s="609"/>
      <c r="E1225" s="671"/>
      <c r="F1225" s="672"/>
      <c r="K1225" s="370"/>
      <c r="L1225" s="370"/>
      <c r="P1225" s="208"/>
      <c r="Q1225" s="370"/>
      <c r="R1225" s="370"/>
    </row>
    <row r="1226">
      <c r="B1226" s="670"/>
      <c r="C1226" s="609"/>
      <c r="D1226" s="609"/>
      <c r="E1226" s="671"/>
      <c r="F1226" s="672"/>
      <c r="K1226" s="370"/>
      <c r="L1226" s="370"/>
      <c r="P1226" s="208"/>
      <c r="Q1226" s="370"/>
      <c r="R1226" s="370"/>
    </row>
    <row r="1227">
      <c r="B1227" s="670"/>
      <c r="C1227" s="609"/>
      <c r="D1227" s="609"/>
      <c r="E1227" s="671"/>
      <c r="F1227" s="672"/>
      <c r="K1227" s="370"/>
      <c r="L1227" s="370"/>
      <c r="P1227" s="208"/>
      <c r="Q1227" s="370"/>
      <c r="R1227" s="370"/>
    </row>
    <row r="1228">
      <c r="B1228" s="670"/>
      <c r="C1228" s="609"/>
      <c r="D1228" s="609"/>
      <c r="E1228" s="671"/>
      <c r="F1228" s="672"/>
      <c r="K1228" s="370"/>
      <c r="L1228" s="370"/>
      <c r="P1228" s="208"/>
      <c r="Q1228" s="370"/>
      <c r="R1228" s="370"/>
    </row>
    <row r="1229">
      <c r="B1229" s="670"/>
      <c r="C1229" s="609"/>
      <c r="D1229" s="609"/>
      <c r="E1229" s="671"/>
      <c r="F1229" s="672"/>
      <c r="K1229" s="370"/>
      <c r="L1229" s="370"/>
      <c r="P1229" s="208"/>
      <c r="Q1229" s="370"/>
      <c r="R1229" s="370"/>
    </row>
    <row r="1230">
      <c r="B1230" s="670"/>
      <c r="C1230" s="609"/>
      <c r="D1230" s="609"/>
      <c r="E1230" s="671"/>
      <c r="F1230" s="672"/>
      <c r="K1230" s="370"/>
      <c r="L1230" s="370"/>
      <c r="P1230" s="208"/>
      <c r="Q1230" s="370"/>
      <c r="R1230" s="370"/>
    </row>
    <row r="1231">
      <c r="B1231" s="670"/>
      <c r="C1231" s="609"/>
      <c r="D1231" s="609"/>
      <c r="E1231" s="671"/>
      <c r="F1231" s="672"/>
      <c r="K1231" s="370"/>
      <c r="L1231" s="370"/>
      <c r="P1231" s="208"/>
      <c r="Q1231" s="370"/>
      <c r="R1231" s="370"/>
    </row>
    <row r="1232">
      <c r="B1232" s="670"/>
      <c r="C1232" s="609"/>
      <c r="D1232" s="609"/>
      <c r="E1232" s="671"/>
      <c r="F1232" s="672"/>
      <c r="K1232" s="370"/>
      <c r="L1232" s="370"/>
      <c r="P1232" s="208"/>
      <c r="Q1232" s="370"/>
      <c r="R1232" s="370"/>
    </row>
    <row r="1233">
      <c r="B1233" s="670"/>
      <c r="C1233" s="609"/>
      <c r="D1233" s="609"/>
      <c r="E1233" s="671"/>
      <c r="F1233" s="672"/>
      <c r="K1233" s="370"/>
      <c r="L1233" s="370"/>
      <c r="P1233" s="208"/>
      <c r="Q1233" s="370"/>
      <c r="R1233" s="370"/>
    </row>
    <row r="1234">
      <c r="B1234" s="670"/>
      <c r="C1234" s="609"/>
      <c r="D1234" s="609"/>
      <c r="E1234" s="671"/>
      <c r="F1234" s="672"/>
      <c r="K1234" s="370"/>
      <c r="L1234" s="370"/>
      <c r="P1234" s="208"/>
      <c r="Q1234" s="370"/>
      <c r="R1234" s="370"/>
    </row>
    <row r="1235">
      <c r="B1235" s="670"/>
      <c r="C1235" s="609"/>
      <c r="D1235" s="609"/>
      <c r="E1235" s="671"/>
      <c r="F1235" s="672"/>
      <c r="K1235" s="370"/>
      <c r="L1235" s="370"/>
      <c r="P1235" s="208"/>
      <c r="Q1235" s="370"/>
      <c r="R1235" s="370"/>
    </row>
    <row r="1236">
      <c r="B1236" s="670"/>
      <c r="C1236" s="609"/>
      <c r="D1236" s="609"/>
      <c r="E1236" s="671"/>
      <c r="F1236" s="672"/>
      <c r="K1236" s="370"/>
      <c r="L1236" s="370"/>
      <c r="P1236" s="208"/>
      <c r="Q1236" s="370"/>
      <c r="R1236" s="370"/>
    </row>
    <row r="1237">
      <c r="B1237" s="670"/>
      <c r="C1237" s="609"/>
      <c r="D1237" s="609"/>
      <c r="E1237" s="671"/>
      <c r="F1237" s="672"/>
      <c r="K1237" s="370"/>
      <c r="L1237" s="370"/>
      <c r="P1237" s="208"/>
      <c r="Q1237" s="370"/>
      <c r="R1237" s="370"/>
    </row>
    <row r="1238">
      <c r="B1238" s="670"/>
      <c r="C1238" s="609"/>
      <c r="D1238" s="609"/>
      <c r="E1238" s="671"/>
      <c r="F1238" s="672"/>
      <c r="K1238" s="370"/>
      <c r="L1238" s="370"/>
      <c r="P1238" s="208"/>
      <c r="Q1238" s="370"/>
      <c r="R1238" s="370"/>
    </row>
    <row r="1239">
      <c r="B1239" s="670"/>
      <c r="C1239" s="609"/>
      <c r="D1239" s="609"/>
      <c r="E1239" s="671"/>
      <c r="F1239" s="672"/>
      <c r="K1239" s="370"/>
      <c r="L1239" s="370"/>
      <c r="P1239" s="208"/>
      <c r="Q1239" s="370"/>
      <c r="R1239" s="370"/>
    </row>
    <row r="1240">
      <c r="B1240" s="670"/>
      <c r="C1240" s="609"/>
      <c r="D1240" s="609"/>
      <c r="E1240" s="671"/>
      <c r="F1240" s="672"/>
      <c r="K1240" s="370"/>
      <c r="L1240" s="370"/>
      <c r="P1240" s="208"/>
      <c r="Q1240" s="370"/>
      <c r="R1240" s="370"/>
    </row>
    <row r="1241">
      <c r="B1241" s="670"/>
      <c r="C1241" s="609"/>
      <c r="D1241" s="609"/>
      <c r="E1241" s="671"/>
      <c r="F1241" s="672"/>
      <c r="K1241" s="370"/>
      <c r="L1241" s="370"/>
      <c r="P1241" s="208"/>
      <c r="Q1241" s="370"/>
      <c r="R1241" s="370"/>
    </row>
    <row r="1242">
      <c r="B1242" s="670"/>
      <c r="C1242" s="609"/>
      <c r="D1242" s="609"/>
      <c r="E1242" s="671"/>
      <c r="F1242" s="672"/>
      <c r="K1242" s="370"/>
      <c r="L1242" s="370"/>
      <c r="P1242" s="208"/>
      <c r="Q1242" s="370"/>
      <c r="R1242" s="370"/>
    </row>
    <row r="1243">
      <c r="B1243" s="670"/>
      <c r="C1243" s="609"/>
      <c r="D1243" s="609"/>
      <c r="E1243" s="671"/>
      <c r="F1243" s="672"/>
      <c r="K1243" s="370"/>
      <c r="L1243" s="370"/>
      <c r="P1243" s="208"/>
      <c r="Q1243" s="370"/>
      <c r="R1243" s="370"/>
    </row>
    <row r="1244">
      <c r="B1244" s="670"/>
      <c r="C1244" s="609"/>
      <c r="D1244" s="609"/>
      <c r="E1244" s="671"/>
      <c r="F1244" s="672"/>
      <c r="K1244" s="370"/>
      <c r="L1244" s="370"/>
      <c r="P1244" s="208"/>
      <c r="Q1244" s="370"/>
      <c r="R1244" s="370"/>
    </row>
    <row r="1245">
      <c r="B1245" s="670"/>
      <c r="C1245" s="609"/>
      <c r="D1245" s="609"/>
      <c r="E1245" s="671"/>
      <c r="F1245" s="672"/>
      <c r="K1245" s="370"/>
      <c r="L1245" s="370"/>
      <c r="P1245" s="208"/>
      <c r="Q1245" s="370"/>
      <c r="R1245" s="370"/>
    </row>
    <row r="1246">
      <c r="B1246" s="670"/>
      <c r="C1246" s="609"/>
      <c r="D1246" s="609"/>
      <c r="E1246" s="671"/>
      <c r="F1246" s="672"/>
      <c r="K1246" s="370"/>
      <c r="L1246" s="370"/>
      <c r="P1246" s="208"/>
      <c r="Q1246" s="370"/>
      <c r="R1246" s="370"/>
    </row>
    <row r="1247">
      <c r="B1247" s="670"/>
      <c r="C1247" s="609"/>
      <c r="D1247" s="609"/>
      <c r="E1247" s="671"/>
      <c r="F1247" s="672"/>
      <c r="K1247" s="370"/>
      <c r="L1247" s="370"/>
      <c r="P1247" s="208"/>
      <c r="Q1247" s="370"/>
      <c r="R1247" s="370"/>
    </row>
    <row r="1248">
      <c r="B1248" s="670"/>
      <c r="C1248" s="609"/>
      <c r="D1248" s="609"/>
      <c r="E1248" s="671"/>
      <c r="F1248" s="672"/>
      <c r="K1248" s="370"/>
      <c r="L1248" s="370"/>
      <c r="P1248" s="208"/>
      <c r="Q1248" s="370"/>
      <c r="R1248" s="370"/>
    </row>
    <row r="1249">
      <c r="B1249" s="670"/>
      <c r="C1249" s="609"/>
      <c r="D1249" s="609"/>
      <c r="E1249" s="671"/>
      <c r="F1249" s="672"/>
      <c r="K1249" s="370"/>
      <c r="L1249" s="370"/>
      <c r="P1249" s="208"/>
      <c r="Q1249" s="370"/>
      <c r="R1249" s="370"/>
    </row>
    <row r="1250">
      <c r="B1250" s="670"/>
      <c r="C1250" s="609"/>
      <c r="D1250" s="609"/>
      <c r="E1250" s="671"/>
      <c r="F1250" s="672"/>
      <c r="K1250" s="370"/>
      <c r="L1250" s="370"/>
      <c r="P1250" s="208"/>
      <c r="Q1250" s="370"/>
      <c r="R1250" s="370"/>
    </row>
    <row r="1251">
      <c r="B1251" s="670"/>
      <c r="C1251" s="609"/>
      <c r="D1251" s="609"/>
      <c r="E1251" s="671"/>
      <c r="F1251" s="672"/>
      <c r="K1251" s="370"/>
      <c r="L1251" s="370"/>
      <c r="P1251" s="208"/>
      <c r="Q1251" s="370"/>
      <c r="R1251" s="370"/>
    </row>
    <row r="1252">
      <c r="B1252" s="670"/>
      <c r="C1252" s="609"/>
      <c r="D1252" s="609"/>
      <c r="E1252" s="671"/>
      <c r="F1252" s="672"/>
      <c r="K1252" s="370"/>
      <c r="L1252" s="370"/>
      <c r="P1252" s="208"/>
      <c r="Q1252" s="370"/>
      <c r="R1252" s="370"/>
    </row>
    <row r="1253">
      <c r="B1253" s="670"/>
      <c r="C1253" s="609"/>
      <c r="D1253" s="609"/>
      <c r="E1253" s="671"/>
      <c r="F1253" s="672"/>
      <c r="K1253" s="370"/>
      <c r="L1253" s="370"/>
      <c r="P1253" s="208"/>
      <c r="Q1253" s="370"/>
      <c r="R1253" s="370"/>
    </row>
    <row r="1254">
      <c r="B1254" s="670"/>
      <c r="C1254" s="609"/>
      <c r="D1254" s="609"/>
      <c r="E1254" s="671"/>
      <c r="F1254" s="672"/>
      <c r="K1254" s="370"/>
      <c r="L1254" s="370"/>
      <c r="P1254" s="208"/>
      <c r="Q1254" s="370"/>
      <c r="R1254" s="370"/>
    </row>
    <row r="1255">
      <c r="B1255" s="670"/>
      <c r="C1255" s="609"/>
      <c r="D1255" s="609"/>
      <c r="E1255" s="671"/>
      <c r="F1255" s="672"/>
      <c r="K1255" s="370"/>
      <c r="L1255" s="370"/>
      <c r="P1255" s="208"/>
      <c r="Q1255" s="370"/>
      <c r="R1255" s="370"/>
    </row>
    <row r="1256">
      <c r="B1256" s="670"/>
      <c r="C1256" s="609"/>
      <c r="D1256" s="609"/>
      <c r="E1256" s="671"/>
      <c r="F1256" s="672"/>
      <c r="K1256" s="370"/>
      <c r="L1256" s="370"/>
      <c r="P1256" s="208"/>
      <c r="Q1256" s="370"/>
      <c r="R1256" s="370"/>
    </row>
    <row r="1257">
      <c r="B1257" s="670"/>
      <c r="C1257" s="609"/>
      <c r="D1257" s="609"/>
      <c r="E1257" s="671"/>
      <c r="F1257" s="672"/>
      <c r="K1257" s="370"/>
      <c r="L1257" s="370"/>
      <c r="P1257" s="208"/>
      <c r="Q1257" s="370"/>
      <c r="R1257" s="370"/>
    </row>
    <row r="1258">
      <c r="B1258" s="670"/>
      <c r="C1258" s="609"/>
      <c r="D1258" s="609"/>
      <c r="E1258" s="671"/>
      <c r="F1258" s="672"/>
      <c r="K1258" s="370"/>
      <c r="L1258" s="370"/>
      <c r="P1258" s="208"/>
      <c r="Q1258" s="370"/>
      <c r="R1258" s="370"/>
    </row>
    <row r="1259">
      <c r="B1259" s="670"/>
      <c r="C1259" s="609"/>
      <c r="D1259" s="609"/>
      <c r="E1259" s="671"/>
      <c r="F1259" s="672"/>
      <c r="K1259" s="370"/>
      <c r="L1259" s="370"/>
      <c r="P1259" s="208"/>
      <c r="Q1259" s="370"/>
      <c r="R1259" s="370"/>
    </row>
    <row r="1260">
      <c r="B1260" s="670"/>
      <c r="C1260" s="609"/>
      <c r="D1260" s="609"/>
      <c r="E1260" s="671"/>
      <c r="F1260" s="672"/>
      <c r="K1260" s="370"/>
      <c r="L1260" s="370"/>
      <c r="P1260" s="208"/>
      <c r="Q1260" s="370"/>
      <c r="R1260" s="370"/>
    </row>
    <row r="1261">
      <c r="B1261" s="670"/>
      <c r="C1261" s="609"/>
      <c r="D1261" s="609"/>
      <c r="E1261" s="671"/>
      <c r="F1261" s="672"/>
      <c r="K1261" s="370"/>
      <c r="L1261" s="370"/>
      <c r="P1261" s="208"/>
      <c r="Q1261" s="370"/>
      <c r="R1261" s="370"/>
    </row>
    <row r="1262">
      <c r="B1262" s="670"/>
      <c r="C1262" s="609"/>
      <c r="D1262" s="609"/>
      <c r="E1262" s="671"/>
      <c r="F1262" s="672"/>
      <c r="K1262" s="370"/>
      <c r="L1262" s="370"/>
      <c r="P1262" s="208"/>
      <c r="Q1262" s="370"/>
      <c r="R1262" s="370"/>
    </row>
    <row r="1263">
      <c r="B1263" s="670"/>
      <c r="C1263" s="609"/>
      <c r="D1263" s="609"/>
      <c r="E1263" s="671"/>
      <c r="F1263" s="672"/>
      <c r="K1263" s="370"/>
      <c r="L1263" s="370"/>
      <c r="P1263" s="208"/>
      <c r="Q1263" s="370"/>
      <c r="R1263" s="370"/>
    </row>
    <row r="1264">
      <c r="B1264" s="670"/>
      <c r="C1264" s="609"/>
      <c r="D1264" s="609"/>
      <c r="E1264" s="671"/>
      <c r="F1264" s="672"/>
      <c r="K1264" s="370"/>
      <c r="L1264" s="370"/>
      <c r="P1264" s="208"/>
      <c r="Q1264" s="370"/>
      <c r="R1264" s="370"/>
    </row>
    <row r="1265">
      <c r="B1265" s="670"/>
      <c r="C1265" s="609"/>
      <c r="D1265" s="609"/>
      <c r="E1265" s="671"/>
      <c r="F1265" s="672"/>
      <c r="K1265" s="370"/>
      <c r="L1265" s="370"/>
      <c r="P1265" s="208"/>
      <c r="Q1265" s="370"/>
      <c r="R1265" s="370"/>
    </row>
    <row r="1266">
      <c r="B1266" s="670"/>
      <c r="C1266" s="609"/>
      <c r="D1266" s="609"/>
      <c r="E1266" s="671"/>
      <c r="F1266" s="672"/>
      <c r="K1266" s="370"/>
      <c r="L1266" s="370"/>
      <c r="P1266" s="208"/>
      <c r="Q1266" s="370"/>
      <c r="R1266" s="370"/>
    </row>
    <row r="1267">
      <c r="B1267" s="670"/>
      <c r="C1267" s="609"/>
      <c r="D1267" s="609"/>
      <c r="E1267" s="671"/>
      <c r="F1267" s="672"/>
      <c r="K1267" s="370"/>
      <c r="L1267" s="370"/>
      <c r="P1267" s="208"/>
      <c r="Q1267" s="370"/>
      <c r="R1267" s="370"/>
    </row>
    <row r="1268">
      <c r="B1268" s="670"/>
      <c r="C1268" s="609"/>
      <c r="D1268" s="609"/>
      <c r="E1268" s="671"/>
      <c r="F1268" s="672"/>
      <c r="K1268" s="370"/>
      <c r="L1268" s="370"/>
      <c r="P1268" s="208"/>
      <c r="Q1268" s="370"/>
      <c r="R1268" s="370"/>
    </row>
    <row r="1269">
      <c r="B1269" s="670"/>
      <c r="C1269" s="609"/>
      <c r="D1269" s="609"/>
      <c r="E1269" s="671"/>
      <c r="F1269" s="672"/>
      <c r="K1269" s="370"/>
      <c r="L1269" s="370"/>
      <c r="P1269" s="208"/>
      <c r="Q1269" s="370"/>
      <c r="R1269" s="370"/>
    </row>
    <row r="1270">
      <c r="B1270" s="670"/>
      <c r="C1270" s="609"/>
      <c r="D1270" s="609"/>
      <c r="E1270" s="671"/>
      <c r="F1270" s="672"/>
      <c r="K1270" s="370"/>
      <c r="L1270" s="370"/>
      <c r="P1270" s="208"/>
      <c r="Q1270" s="370"/>
      <c r="R1270" s="370"/>
    </row>
    <row r="1271">
      <c r="B1271" s="670"/>
      <c r="C1271" s="609"/>
      <c r="D1271" s="609"/>
      <c r="E1271" s="671"/>
      <c r="F1271" s="672"/>
      <c r="K1271" s="370"/>
      <c r="L1271" s="370"/>
      <c r="P1271" s="208"/>
      <c r="Q1271" s="370"/>
      <c r="R1271" s="370"/>
    </row>
    <row r="1272">
      <c r="B1272" s="670"/>
      <c r="C1272" s="609"/>
      <c r="D1272" s="609"/>
      <c r="E1272" s="671"/>
      <c r="F1272" s="672"/>
      <c r="K1272" s="370"/>
      <c r="L1272" s="370"/>
      <c r="P1272" s="208"/>
      <c r="Q1272" s="370"/>
      <c r="R1272" s="370"/>
    </row>
    <row r="1273">
      <c r="B1273" s="670"/>
      <c r="C1273" s="609"/>
      <c r="D1273" s="609"/>
      <c r="E1273" s="671"/>
      <c r="F1273" s="672"/>
      <c r="K1273" s="370"/>
      <c r="L1273" s="370"/>
      <c r="P1273" s="208"/>
      <c r="Q1273" s="370"/>
      <c r="R1273" s="370"/>
    </row>
    <row r="1274">
      <c r="B1274" s="670"/>
      <c r="C1274" s="609"/>
      <c r="D1274" s="609"/>
      <c r="E1274" s="671"/>
      <c r="F1274" s="672"/>
      <c r="K1274" s="370"/>
      <c r="L1274" s="370"/>
      <c r="P1274" s="208"/>
      <c r="Q1274" s="370"/>
      <c r="R1274" s="370"/>
    </row>
    <row r="1275">
      <c r="B1275" s="670"/>
      <c r="C1275" s="609"/>
      <c r="D1275" s="609"/>
      <c r="E1275" s="671"/>
      <c r="F1275" s="672"/>
      <c r="K1275" s="370"/>
      <c r="L1275" s="370"/>
      <c r="P1275" s="208"/>
      <c r="Q1275" s="370"/>
      <c r="R1275" s="370"/>
    </row>
    <row r="1276">
      <c r="B1276" s="670"/>
      <c r="C1276" s="609"/>
      <c r="D1276" s="609"/>
      <c r="E1276" s="671"/>
      <c r="F1276" s="672"/>
      <c r="K1276" s="370"/>
      <c r="L1276" s="370"/>
      <c r="P1276" s="208"/>
      <c r="Q1276" s="370"/>
      <c r="R1276" s="370"/>
    </row>
    <row r="1277">
      <c r="B1277" s="670"/>
      <c r="C1277" s="609"/>
      <c r="D1277" s="609"/>
      <c r="E1277" s="671"/>
      <c r="F1277" s="672"/>
      <c r="K1277" s="370"/>
      <c r="L1277" s="370"/>
      <c r="P1277" s="208"/>
      <c r="Q1277" s="370"/>
      <c r="R1277" s="370"/>
    </row>
    <row r="1278">
      <c r="B1278" s="670"/>
      <c r="C1278" s="609"/>
      <c r="D1278" s="609"/>
      <c r="E1278" s="671"/>
      <c r="F1278" s="672"/>
      <c r="K1278" s="370"/>
      <c r="L1278" s="370"/>
      <c r="P1278" s="208"/>
      <c r="Q1278" s="370"/>
      <c r="R1278" s="370"/>
    </row>
    <row r="1279">
      <c r="B1279" s="670"/>
      <c r="C1279" s="609"/>
      <c r="D1279" s="609"/>
      <c r="E1279" s="671"/>
      <c r="F1279" s="672"/>
      <c r="K1279" s="370"/>
      <c r="L1279" s="370"/>
      <c r="P1279" s="208"/>
      <c r="Q1279" s="370"/>
      <c r="R1279" s="370"/>
    </row>
    <row r="1280">
      <c r="B1280" s="670"/>
      <c r="C1280" s="609"/>
      <c r="D1280" s="609"/>
      <c r="E1280" s="671"/>
      <c r="F1280" s="672"/>
      <c r="K1280" s="370"/>
      <c r="L1280" s="370"/>
      <c r="P1280" s="208"/>
      <c r="Q1280" s="370"/>
      <c r="R1280" s="370"/>
    </row>
    <row r="1281">
      <c r="B1281" s="670"/>
      <c r="C1281" s="609"/>
      <c r="D1281" s="609"/>
      <c r="E1281" s="671"/>
      <c r="F1281" s="672"/>
      <c r="K1281" s="370"/>
      <c r="L1281" s="370"/>
      <c r="P1281" s="208"/>
      <c r="Q1281" s="370"/>
      <c r="R1281" s="370"/>
    </row>
    <row r="1282">
      <c r="B1282" s="670"/>
      <c r="C1282" s="609"/>
      <c r="D1282" s="609"/>
      <c r="E1282" s="671"/>
      <c r="F1282" s="672"/>
      <c r="K1282" s="370"/>
      <c r="L1282" s="370"/>
      <c r="P1282" s="208"/>
      <c r="Q1282" s="370"/>
      <c r="R1282" s="370"/>
    </row>
    <row r="1283">
      <c r="B1283" s="670"/>
      <c r="C1283" s="609"/>
      <c r="D1283" s="609"/>
      <c r="E1283" s="671"/>
      <c r="F1283" s="672"/>
      <c r="K1283" s="370"/>
      <c r="L1283" s="370"/>
      <c r="P1283" s="208"/>
      <c r="Q1283" s="370"/>
      <c r="R1283" s="370"/>
    </row>
    <row r="1284">
      <c r="B1284" s="670"/>
      <c r="C1284" s="609"/>
      <c r="D1284" s="609"/>
      <c r="E1284" s="671"/>
      <c r="F1284" s="672"/>
      <c r="K1284" s="370"/>
      <c r="L1284" s="370"/>
      <c r="P1284" s="208"/>
      <c r="Q1284" s="370"/>
      <c r="R1284" s="370"/>
    </row>
    <row r="1285">
      <c r="B1285" s="670"/>
      <c r="C1285" s="609"/>
      <c r="D1285" s="609"/>
      <c r="E1285" s="671"/>
      <c r="F1285" s="672"/>
      <c r="K1285" s="370"/>
      <c r="L1285" s="370"/>
      <c r="P1285" s="208"/>
      <c r="Q1285" s="370"/>
      <c r="R1285" s="370"/>
    </row>
    <row r="1286">
      <c r="B1286" s="670"/>
      <c r="C1286" s="609"/>
      <c r="D1286" s="609"/>
      <c r="E1286" s="671"/>
      <c r="F1286" s="672"/>
      <c r="K1286" s="370"/>
      <c r="L1286" s="370"/>
      <c r="P1286" s="208"/>
      <c r="Q1286" s="370"/>
      <c r="R1286" s="370"/>
    </row>
    <row r="1287">
      <c r="B1287" s="670"/>
      <c r="C1287" s="609"/>
      <c r="D1287" s="609"/>
      <c r="E1287" s="671"/>
      <c r="F1287" s="672"/>
      <c r="K1287" s="370"/>
      <c r="L1287" s="370"/>
      <c r="P1287" s="208"/>
      <c r="Q1287" s="370"/>
      <c r="R1287" s="370"/>
    </row>
    <row r="1288">
      <c r="B1288" s="670"/>
      <c r="C1288" s="609"/>
      <c r="D1288" s="609"/>
      <c r="E1288" s="671"/>
      <c r="F1288" s="672"/>
      <c r="K1288" s="370"/>
      <c r="L1288" s="370"/>
      <c r="P1288" s="208"/>
      <c r="Q1288" s="370"/>
      <c r="R1288" s="370"/>
    </row>
    <row r="1289">
      <c r="B1289" s="670"/>
      <c r="C1289" s="609"/>
      <c r="D1289" s="609"/>
      <c r="E1289" s="671"/>
      <c r="F1289" s="672"/>
      <c r="K1289" s="370"/>
      <c r="L1289" s="370"/>
      <c r="P1289" s="208"/>
      <c r="Q1289" s="370"/>
      <c r="R1289" s="370"/>
    </row>
    <row r="1290">
      <c r="B1290" s="670"/>
      <c r="C1290" s="609"/>
      <c r="D1290" s="609"/>
      <c r="E1290" s="671"/>
      <c r="F1290" s="672"/>
      <c r="K1290" s="370"/>
      <c r="L1290" s="370"/>
      <c r="P1290" s="208"/>
      <c r="Q1290" s="370"/>
      <c r="R1290" s="370"/>
    </row>
    <row r="1291">
      <c r="B1291" s="670"/>
      <c r="C1291" s="609"/>
      <c r="D1291" s="609"/>
      <c r="E1291" s="671"/>
      <c r="F1291" s="672"/>
      <c r="K1291" s="370"/>
      <c r="L1291" s="370"/>
      <c r="P1291" s="208"/>
      <c r="Q1291" s="370"/>
      <c r="R1291" s="370"/>
    </row>
    <row r="1292">
      <c r="B1292" s="670"/>
      <c r="C1292" s="609"/>
      <c r="D1292" s="609"/>
      <c r="E1292" s="671"/>
      <c r="F1292" s="672"/>
      <c r="K1292" s="370"/>
      <c r="L1292" s="370"/>
      <c r="P1292" s="208"/>
      <c r="Q1292" s="370"/>
      <c r="R1292" s="370"/>
    </row>
    <row r="1293">
      <c r="B1293" s="670"/>
      <c r="C1293" s="609"/>
      <c r="D1293" s="609"/>
      <c r="E1293" s="671"/>
      <c r="F1293" s="672"/>
      <c r="K1293" s="370"/>
      <c r="L1293" s="370"/>
      <c r="P1293" s="208"/>
      <c r="Q1293" s="370"/>
      <c r="R1293" s="370"/>
    </row>
    <row r="1294">
      <c r="B1294" s="670"/>
      <c r="C1294" s="609"/>
      <c r="D1294" s="609"/>
      <c r="E1294" s="671"/>
      <c r="F1294" s="672"/>
      <c r="K1294" s="370"/>
      <c r="L1294" s="370"/>
      <c r="P1294" s="208"/>
      <c r="Q1294" s="370"/>
      <c r="R1294" s="370"/>
    </row>
    <row r="1295">
      <c r="B1295" s="670"/>
      <c r="C1295" s="609"/>
      <c r="D1295" s="609"/>
      <c r="E1295" s="671"/>
      <c r="F1295" s="672"/>
      <c r="K1295" s="370"/>
      <c r="L1295" s="370"/>
      <c r="P1295" s="208"/>
      <c r="Q1295" s="370"/>
      <c r="R1295" s="370"/>
    </row>
    <row r="1296">
      <c r="B1296" s="670"/>
      <c r="C1296" s="609"/>
      <c r="D1296" s="609"/>
      <c r="E1296" s="671"/>
      <c r="F1296" s="672"/>
      <c r="K1296" s="370"/>
      <c r="L1296" s="370"/>
      <c r="P1296" s="208"/>
      <c r="Q1296" s="370"/>
      <c r="R1296" s="370"/>
    </row>
    <row r="1297">
      <c r="B1297" s="670"/>
      <c r="C1297" s="609"/>
      <c r="D1297" s="609"/>
      <c r="E1297" s="671"/>
      <c r="F1297" s="672"/>
      <c r="K1297" s="370"/>
      <c r="L1297" s="370"/>
      <c r="P1297" s="208"/>
      <c r="Q1297" s="370"/>
      <c r="R1297" s="370"/>
    </row>
    <row r="1298">
      <c r="B1298" s="670"/>
      <c r="C1298" s="609"/>
      <c r="D1298" s="609"/>
      <c r="E1298" s="671"/>
      <c r="F1298" s="672"/>
      <c r="K1298" s="370"/>
      <c r="L1298" s="370"/>
      <c r="P1298" s="208"/>
      <c r="Q1298" s="370"/>
      <c r="R1298" s="370"/>
    </row>
    <row r="1299">
      <c r="B1299" s="670"/>
      <c r="C1299" s="609"/>
      <c r="D1299" s="609"/>
      <c r="E1299" s="671"/>
      <c r="F1299" s="672"/>
      <c r="K1299" s="370"/>
      <c r="L1299" s="370"/>
      <c r="P1299" s="208"/>
      <c r="Q1299" s="370"/>
      <c r="R1299" s="370"/>
    </row>
    <row r="1300">
      <c r="B1300" s="670"/>
      <c r="C1300" s="609"/>
      <c r="D1300" s="609"/>
      <c r="E1300" s="671"/>
      <c r="F1300" s="672"/>
      <c r="K1300" s="370"/>
      <c r="L1300" s="370"/>
      <c r="P1300" s="208"/>
      <c r="Q1300" s="370"/>
      <c r="R1300" s="370"/>
    </row>
    <row r="1301">
      <c r="B1301" s="670"/>
      <c r="C1301" s="609"/>
      <c r="D1301" s="609"/>
      <c r="E1301" s="671"/>
      <c r="F1301" s="672"/>
      <c r="K1301" s="370"/>
      <c r="L1301" s="370"/>
      <c r="P1301" s="208"/>
      <c r="Q1301" s="370"/>
      <c r="R1301" s="370"/>
    </row>
    <row r="1302">
      <c r="B1302" s="670"/>
      <c r="C1302" s="609"/>
      <c r="D1302" s="609"/>
      <c r="E1302" s="671"/>
      <c r="F1302" s="672"/>
      <c r="K1302" s="370"/>
      <c r="L1302" s="370"/>
      <c r="P1302" s="208"/>
      <c r="Q1302" s="370"/>
      <c r="R1302" s="370"/>
    </row>
    <row r="1303">
      <c r="B1303" s="670"/>
      <c r="C1303" s="609"/>
      <c r="D1303" s="609"/>
      <c r="E1303" s="671"/>
      <c r="F1303" s="672"/>
      <c r="K1303" s="370"/>
      <c r="L1303" s="370"/>
      <c r="P1303" s="208"/>
      <c r="Q1303" s="370"/>
      <c r="R1303" s="370"/>
    </row>
    <row r="1304">
      <c r="B1304" s="670"/>
      <c r="C1304" s="609"/>
      <c r="D1304" s="609"/>
      <c r="E1304" s="671"/>
      <c r="F1304" s="672"/>
      <c r="K1304" s="370"/>
      <c r="L1304" s="370"/>
      <c r="P1304" s="208"/>
      <c r="Q1304" s="370"/>
      <c r="R1304" s="370"/>
    </row>
    <row r="1305">
      <c r="B1305" s="670"/>
      <c r="C1305" s="609"/>
      <c r="D1305" s="609"/>
      <c r="E1305" s="671"/>
      <c r="F1305" s="672"/>
      <c r="K1305" s="370"/>
      <c r="L1305" s="370"/>
      <c r="P1305" s="208"/>
      <c r="Q1305" s="370"/>
      <c r="R1305" s="370"/>
    </row>
    <row r="1306">
      <c r="B1306" s="670"/>
      <c r="C1306" s="609"/>
      <c r="D1306" s="609"/>
      <c r="E1306" s="671"/>
      <c r="F1306" s="672"/>
      <c r="K1306" s="370"/>
      <c r="L1306" s="370"/>
      <c r="P1306" s="208"/>
      <c r="Q1306" s="370"/>
      <c r="R1306" s="370"/>
    </row>
    <row r="1307">
      <c r="B1307" s="670"/>
      <c r="C1307" s="609"/>
      <c r="D1307" s="609"/>
      <c r="E1307" s="671"/>
      <c r="F1307" s="672"/>
      <c r="K1307" s="370"/>
      <c r="L1307" s="370"/>
      <c r="P1307" s="208"/>
      <c r="Q1307" s="370"/>
      <c r="R1307" s="370"/>
    </row>
    <row r="1308">
      <c r="B1308" s="670"/>
      <c r="C1308" s="609"/>
      <c r="D1308" s="609"/>
      <c r="E1308" s="671"/>
      <c r="F1308" s="672"/>
      <c r="K1308" s="370"/>
      <c r="L1308" s="370"/>
      <c r="P1308" s="208"/>
      <c r="Q1308" s="370"/>
      <c r="R1308" s="370"/>
    </row>
    <row r="1309">
      <c r="B1309" s="670"/>
      <c r="C1309" s="609"/>
      <c r="D1309" s="609"/>
      <c r="E1309" s="671"/>
      <c r="F1309" s="672"/>
      <c r="K1309" s="370"/>
      <c r="L1309" s="370"/>
      <c r="P1309" s="208"/>
      <c r="Q1309" s="370"/>
      <c r="R1309" s="370"/>
    </row>
    <row r="1310">
      <c r="B1310" s="670"/>
      <c r="C1310" s="609"/>
      <c r="D1310" s="609"/>
      <c r="E1310" s="671"/>
      <c r="F1310" s="672"/>
      <c r="K1310" s="370"/>
      <c r="L1310" s="370"/>
      <c r="P1310" s="208"/>
      <c r="Q1310" s="370"/>
      <c r="R1310" s="370"/>
    </row>
    <row r="1311">
      <c r="B1311" s="670"/>
      <c r="C1311" s="609"/>
      <c r="D1311" s="609"/>
      <c r="E1311" s="671"/>
      <c r="F1311" s="672"/>
      <c r="K1311" s="370"/>
      <c r="L1311" s="370"/>
      <c r="P1311" s="208"/>
      <c r="Q1311" s="370"/>
      <c r="R1311" s="370"/>
    </row>
    <row r="1312">
      <c r="B1312" s="670"/>
      <c r="C1312" s="609"/>
      <c r="D1312" s="609"/>
      <c r="E1312" s="671"/>
      <c r="F1312" s="672"/>
      <c r="K1312" s="370"/>
      <c r="L1312" s="370"/>
      <c r="P1312" s="208"/>
      <c r="Q1312" s="370"/>
      <c r="R1312" s="370"/>
    </row>
    <row r="1313">
      <c r="B1313" s="670"/>
      <c r="C1313" s="609"/>
      <c r="D1313" s="609"/>
      <c r="E1313" s="671"/>
      <c r="F1313" s="672"/>
      <c r="K1313" s="370"/>
      <c r="L1313" s="370"/>
      <c r="P1313" s="208"/>
      <c r="Q1313" s="370"/>
      <c r="R1313" s="370"/>
    </row>
    <row r="1314">
      <c r="B1314" s="670"/>
      <c r="C1314" s="609"/>
      <c r="D1314" s="609"/>
      <c r="E1314" s="671"/>
      <c r="F1314" s="672"/>
      <c r="K1314" s="370"/>
      <c r="L1314" s="370"/>
      <c r="P1314" s="208"/>
      <c r="Q1314" s="370"/>
      <c r="R1314" s="370"/>
    </row>
    <row r="1315">
      <c r="B1315" s="670"/>
      <c r="C1315" s="609"/>
      <c r="D1315" s="609"/>
      <c r="E1315" s="671"/>
      <c r="F1315" s="672"/>
      <c r="K1315" s="370"/>
      <c r="L1315" s="370"/>
      <c r="P1315" s="208"/>
      <c r="Q1315" s="370"/>
      <c r="R1315" s="370"/>
    </row>
    <row r="1316">
      <c r="B1316" s="670"/>
      <c r="C1316" s="609"/>
      <c r="D1316" s="609"/>
      <c r="E1316" s="671"/>
      <c r="F1316" s="672"/>
      <c r="K1316" s="370"/>
      <c r="L1316" s="370"/>
      <c r="P1316" s="208"/>
      <c r="Q1316" s="370"/>
      <c r="R1316" s="370"/>
    </row>
    <row r="1317">
      <c r="B1317" s="670"/>
      <c r="C1317" s="609"/>
      <c r="D1317" s="609"/>
      <c r="E1317" s="671"/>
      <c r="F1317" s="672"/>
      <c r="K1317" s="370"/>
      <c r="L1317" s="370"/>
      <c r="P1317" s="208"/>
      <c r="Q1317" s="370"/>
      <c r="R1317" s="370"/>
    </row>
    <row r="1318">
      <c r="B1318" s="670"/>
      <c r="C1318" s="609"/>
      <c r="D1318" s="609"/>
      <c r="E1318" s="671"/>
      <c r="F1318" s="672"/>
      <c r="K1318" s="370"/>
      <c r="L1318" s="370"/>
      <c r="P1318" s="208"/>
      <c r="Q1318" s="370"/>
      <c r="R1318" s="370"/>
    </row>
    <row r="1319">
      <c r="B1319" s="670"/>
      <c r="C1319" s="609"/>
      <c r="D1319" s="609"/>
      <c r="E1319" s="671"/>
      <c r="F1319" s="672"/>
      <c r="K1319" s="370"/>
      <c r="L1319" s="370"/>
      <c r="P1319" s="208"/>
      <c r="Q1319" s="370"/>
      <c r="R1319" s="370"/>
    </row>
    <row r="1320">
      <c r="B1320" s="670"/>
      <c r="C1320" s="609"/>
      <c r="D1320" s="609"/>
      <c r="E1320" s="671"/>
      <c r="F1320" s="672"/>
      <c r="K1320" s="370"/>
      <c r="L1320" s="370"/>
      <c r="P1320" s="208"/>
      <c r="Q1320" s="370"/>
      <c r="R1320" s="370"/>
    </row>
    <row r="1321">
      <c r="B1321" s="670"/>
      <c r="C1321" s="609"/>
      <c r="D1321" s="609"/>
      <c r="E1321" s="671"/>
      <c r="F1321" s="672"/>
      <c r="K1321" s="370"/>
      <c r="L1321" s="370"/>
      <c r="P1321" s="208"/>
      <c r="Q1321" s="370"/>
      <c r="R1321" s="370"/>
    </row>
    <row r="1322">
      <c r="B1322" s="670"/>
      <c r="C1322" s="609"/>
      <c r="D1322" s="609"/>
      <c r="E1322" s="671"/>
      <c r="F1322" s="672"/>
      <c r="K1322" s="370"/>
      <c r="L1322" s="370"/>
      <c r="P1322" s="208"/>
      <c r="Q1322" s="370"/>
      <c r="R1322" s="370"/>
    </row>
    <row r="1323">
      <c r="B1323" s="670"/>
      <c r="C1323" s="609"/>
      <c r="D1323" s="609"/>
      <c r="E1323" s="671"/>
      <c r="F1323" s="672"/>
      <c r="K1323" s="370"/>
      <c r="L1323" s="370"/>
      <c r="P1323" s="208"/>
      <c r="Q1323" s="370"/>
      <c r="R1323" s="370"/>
    </row>
    <row r="1324">
      <c r="B1324" s="670"/>
      <c r="C1324" s="609"/>
      <c r="D1324" s="609"/>
      <c r="E1324" s="671"/>
      <c r="F1324" s="672"/>
      <c r="K1324" s="370"/>
      <c r="L1324" s="370"/>
      <c r="P1324" s="208"/>
      <c r="Q1324" s="370"/>
      <c r="R1324" s="370"/>
    </row>
    <row r="1325">
      <c r="B1325" s="670"/>
      <c r="C1325" s="609"/>
      <c r="D1325" s="609"/>
      <c r="E1325" s="671"/>
      <c r="F1325" s="672"/>
      <c r="K1325" s="370"/>
      <c r="L1325" s="370"/>
      <c r="P1325" s="208"/>
      <c r="Q1325" s="370"/>
      <c r="R1325" s="370"/>
    </row>
    <row r="1326">
      <c r="B1326" s="670"/>
      <c r="C1326" s="609"/>
      <c r="D1326" s="609"/>
      <c r="E1326" s="671"/>
      <c r="F1326" s="672"/>
      <c r="K1326" s="370"/>
      <c r="L1326" s="370"/>
      <c r="P1326" s="208"/>
      <c r="Q1326" s="370"/>
      <c r="R1326" s="370"/>
    </row>
    <row r="1327">
      <c r="B1327" s="670"/>
      <c r="C1327" s="609"/>
      <c r="D1327" s="609"/>
      <c r="E1327" s="671"/>
      <c r="F1327" s="672"/>
      <c r="K1327" s="370"/>
      <c r="L1327" s="370"/>
      <c r="P1327" s="208"/>
      <c r="Q1327" s="370"/>
      <c r="R1327" s="370"/>
    </row>
    <row r="1328">
      <c r="B1328" s="670"/>
      <c r="C1328" s="609"/>
      <c r="D1328" s="609"/>
      <c r="E1328" s="671"/>
      <c r="F1328" s="672"/>
      <c r="K1328" s="370"/>
      <c r="L1328" s="370"/>
      <c r="P1328" s="208"/>
      <c r="Q1328" s="370"/>
      <c r="R1328" s="370"/>
    </row>
    <row r="1329">
      <c r="B1329" s="670"/>
      <c r="C1329" s="609"/>
      <c r="D1329" s="609"/>
      <c r="E1329" s="671"/>
      <c r="F1329" s="672"/>
      <c r="K1329" s="370"/>
      <c r="L1329" s="370"/>
      <c r="P1329" s="208"/>
      <c r="Q1329" s="370"/>
      <c r="R1329" s="370"/>
    </row>
    <row r="1330">
      <c r="B1330" s="670"/>
      <c r="C1330" s="609"/>
      <c r="D1330" s="609"/>
      <c r="E1330" s="671"/>
      <c r="F1330" s="672"/>
      <c r="K1330" s="370"/>
      <c r="L1330" s="370"/>
      <c r="P1330" s="208"/>
      <c r="Q1330" s="370"/>
      <c r="R1330" s="370"/>
    </row>
    <row r="1331">
      <c r="B1331" s="670"/>
      <c r="C1331" s="609"/>
      <c r="D1331" s="609"/>
      <c r="E1331" s="671"/>
      <c r="F1331" s="672"/>
      <c r="K1331" s="370"/>
      <c r="L1331" s="370"/>
      <c r="P1331" s="208"/>
      <c r="Q1331" s="370"/>
      <c r="R1331" s="370"/>
    </row>
    <row r="1332">
      <c r="B1332" s="670"/>
      <c r="C1332" s="609"/>
      <c r="D1332" s="609"/>
      <c r="E1332" s="671"/>
      <c r="F1332" s="672"/>
      <c r="K1332" s="370"/>
      <c r="L1332" s="370"/>
      <c r="P1332" s="208"/>
      <c r="Q1332" s="370"/>
      <c r="R1332" s="370"/>
    </row>
    <row r="1333">
      <c r="B1333" s="670"/>
      <c r="C1333" s="609"/>
      <c r="D1333" s="609"/>
      <c r="E1333" s="671"/>
      <c r="F1333" s="672"/>
      <c r="K1333" s="370"/>
      <c r="L1333" s="370"/>
      <c r="P1333" s="208"/>
      <c r="Q1333" s="370"/>
      <c r="R1333" s="370"/>
    </row>
    <row r="1334">
      <c r="B1334" s="670"/>
      <c r="C1334" s="609"/>
      <c r="D1334" s="609"/>
      <c r="E1334" s="671"/>
      <c r="F1334" s="672"/>
      <c r="K1334" s="370"/>
      <c r="L1334" s="370"/>
      <c r="P1334" s="208"/>
      <c r="Q1334" s="370"/>
      <c r="R1334" s="370"/>
    </row>
    <row r="1335">
      <c r="B1335" s="670"/>
      <c r="C1335" s="609"/>
      <c r="D1335" s="609"/>
      <c r="E1335" s="671"/>
      <c r="F1335" s="672"/>
      <c r="K1335" s="370"/>
      <c r="L1335" s="370"/>
      <c r="P1335" s="208"/>
      <c r="Q1335" s="370"/>
      <c r="R1335" s="370"/>
    </row>
    <row r="1336">
      <c r="B1336" s="670"/>
      <c r="C1336" s="609"/>
      <c r="D1336" s="609"/>
      <c r="E1336" s="671"/>
      <c r="F1336" s="672"/>
      <c r="K1336" s="370"/>
      <c r="L1336" s="370"/>
      <c r="P1336" s="208"/>
      <c r="Q1336" s="370"/>
      <c r="R1336" s="370"/>
    </row>
    <row r="1337">
      <c r="B1337" s="670"/>
      <c r="C1337" s="609"/>
      <c r="D1337" s="609"/>
      <c r="E1337" s="671"/>
      <c r="F1337" s="672"/>
      <c r="K1337" s="370"/>
      <c r="L1337" s="370"/>
      <c r="P1337" s="208"/>
      <c r="Q1337" s="370"/>
      <c r="R1337" s="370"/>
    </row>
    <row r="1338">
      <c r="B1338" s="670"/>
      <c r="C1338" s="609"/>
      <c r="D1338" s="609"/>
      <c r="E1338" s="671"/>
      <c r="F1338" s="672"/>
      <c r="K1338" s="370"/>
      <c r="L1338" s="370"/>
      <c r="P1338" s="208"/>
      <c r="Q1338" s="370"/>
      <c r="R1338" s="370"/>
    </row>
    <row r="1339">
      <c r="B1339" s="670"/>
      <c r="C1339" s="609"/>
      <c r="D1339" s="609"/>
      <c r="E1339" s="671"/>
      <c r="F1339" s="672"/>
      <c r="K1339" s="370"/>
      <c r="L1339" s="370"/>
      <c r="P1339" s="208"/>
      <c r="Q1339" s="370"/>
      <c r="R1339" s="370"/>
    </row>
    <row r="1340">
      <c r="B1340" s="670"/>
      <c r="C1340" s="609"/>
      <c r="D1340" s="609"/>
      <c r="E1340" s="671"/>
      <c r="F1340" s="672"/>
      <c r="K1340" s="370"/>
      <c r="L1340" s="370"/>
      <c r="P1340" s="208"/>
      <c r="Q1340" s="370"/>
      <c r="R1340" s="370"/>
    </row>
    <row r="1341">
      <c r="B1341" s="670"/>
      <c r="C1341" s="609"/>
      <c r="D1341" s="609"/>
      <c r="E1341" s="671"/>
      <c r="F1341" s="672"/>
      <c r="K1341" s="370"/>
      <c r="L1341" s="370"/>
      <c r="P1341" s="208"/>
      <c r="Q1341" s="370"/>
      <c r="R1341" s="370"/>
    </row>
    <row r="1342">
      <c r="B1342" s="670"/>
      <c r="C1342" s="609"/>
      <c r="D1342" s="609"/>
      <c r="E1342" s="671"/>
      <c r="F1342" s="672"/>
      <c r="K1342" s="370"/>
      <c r="L1342" s="370"/>
      <c r="P1342" s="208"/>
      <c r="Q1342" s="370"/>
      <c r="R1342" s="370"/>
    </row>
    <row r="1343">
      <c r="B1343" s="670"/>
      <c r="C1343" s="609"/>
      <c r="D1343" s="609"/>
      <c r="E1343" s="671"/>
      <c r="F1343" s="672"/>
      <c r="K1343" s="370"/>
      <c r="L1343" s="370"/>
      <c r="P1343" s="208"/>
      <c r="Q1343" s="370"/>
      <c r="R1343" s="370"/>
    </row>
    <row r="1344">
      <c r="B1344" s="670"/>
      <c r="C1344" s="609"/>
      <c r="D1344" s="609"/>
      <c r="E1344" s="671"/>
      <c r="F1344" s="672"/>
      <c r="K1344" s="370"/>
      <c r="L1344" s="370"/>
      <c r="P1344" s="208"/>
      <c r="Q1344" s="370"/>
      <c r="R1344" s="370"/>
    </row>
    <row r="1345">
      <c r="B1345" s="670"/>
      <c r="C1345" s="609"/>
      <c r="D1345" s="609"/>
      <c r="E1345" s="671"/>
      <c r="F1345" s="672"/>
      <c r="K1345" s="370"/>
      <c r="L1345" s="370"/>
      <c r="P1345" s="208"/>
      <c r="Q1345" s="370"/>
      <c r="R1345" s="370"/>
    </row>
    <row r="1346">
      <c r="B1346" s="670"/>
      <c r="C1346" s="609"/>
      <c r="D1346" s="609"/>
      <c r="E1346" s="671"/>
      <c r="F1346" s="672"/>
      <c r="K1346" s="370"/>
      <c r="L1346" s="370"/>
      <c r="P1346" s="208"/>
      <c r="Q1346" s="370"/>
      <c r="R1346" s="370"/>
    </row>
    <row r="1347">
      <c r="B1347" s="670"/>
      <c r="C1347" s="609"/>
      <c r="D1347" s="609"/>
      <c r="E1347" s="671"/>
      <c r="F1347" s="672"/>
      <c r="K1347" s="370"/>
      <c r="L1347" s="370"/>
      <c r="P1347" s="208"/>
      <c r="Q1347" s="370"/>
      <c r="R1347" s="370"/>
    </row>
    <row r="1348">
      <c r="B1348" s="670"/>
      <c r="C1348" s="609"/>
      <c r="D1348" s="609"/>
      <c r="E1348" s="671"/>
      <c r="F1348" s="672"/>
      <c r="K1348" s="370"/>
      <c r="L1348" s="370"/>
      <c r="P1348" s="208"/>
      <c r="Q1348" s="370"/>
      <c r="R1348" s="370"/>
    </row>
    <row r="1349">
      <c r="B1349" s="670"/>
      <c r="C1349" s="609"/>
      <c r="D1349" s="609"/>
      <c r="E1349" s="671"/>
      <c r="F1349" s="672"/>
      <c r="K1349" s="370"/>
      <c r="L1349" s="370"/>
      <c r="P1349" s="208"/>
      <c r="Q1349" s="370"/>
      <c r="R1349" s="370"/>
    </row>
    <row r="1350">
      <c r="B1350" s="670"/>
      <c r="C1350" s="609"/>
      <c r="D1350" s="609"/>
      <c r="E1350" s="671"/>
      <c r="F1350" s="672"/>
      <c r="K1350" s="370"/>
      <c r="L1350" s="370"/>
      <c r="P1350" s="208"/>
      <c r="Q1350" s="370"/>
      <c r="R1350" s="370"/>
    </row>
    <row r="1351">
      <c r="B1351" s="670"/>
      <c r="C1351" s="609"/>
      <c r="D1351" s="609"/>
      <c r="E1351" s="671"/>
      <c r="F1351" s="672"/>
      <c r="K1351" s="370"/>
      <c r="L1351" s="370"/>
      <c r="P1351" s="208"/>
      <c r="Q1351" s="370"/>
      <c r="R1351" s="370"/>
    </row>
    <row r="1352">
      <c r="B1352" s="670"/>
      <c r="C1352" s="609"/>
      <c r="D1352" s="609"/>
      <c r="E1352" s="671"/>
      <c r="F1352" s="672"/>
      <c r="K1352" s="370"/>
      <c r="L1352" s="370"/>
      <c r="P1352" s="208"/>
      <c r="Q1352" s="370"/>
      <c r="R1352" s="370"/>
    </row>
    <row r="1353">
      <c r="B1353" s="670"/>
      <c r="C1353" s="609"/>
      <c r="D1353" s="609"/>
      <c r="E1353" s="671"/>
      <c r="F1353" s="672"/>
      <c r="K1353" s="370"/>
      <c r="L1353" s="370"/>
      <c r="P1353" s="208"/>
      <c r="Q1353" s="370"/>
      <c r="R1353" s="370"/>
    </row>
    <row r="1354">
      <c r="B1354" s="670"/>
      <c r="C1354" s="609"/>
      <c r="D1354" s="609"/>
      <c r="E1354" s="671"/>
      <c r="F1354" s="672"/>
      <c r="K1354" s="370"/>
      <c r="L1354" s="370"/>
      <c r="P1354" s="208"/>
      <c r="Q1354" s="370"/>
      <c r="R1354" s="370"/>
    </row>
    <row r="1355">
      <c r="B1355" s="670"/>
      <c r="C1355" s="609"/>
      <c r="D1355" s="609"/>
      <c r="E1355" s="671"/>
      <c r="F1355" s="672"/>
      <c r="K1355" s="370"/>
      <c r="L1355" s="370"/>
      <c r="P1355" s="208"/>
      <c r="Q1355" s="370"/>
      <c r="R1355" s="370"/>
    </row>
    <row r="1356">
      <c r="B1356" s="670"/>
      <c r="C1356" s="609"/>
      <c r="D1356" s="609"/>
      <c r="E1356" s="671"/>
      <c r="F1356" s="672"/>
      <c r="K1356" s="370"/>
      <c r="L1356" s="370"/>
      <c r="P1356" s="208"/>
      <c r="Q1356" s="370"/>
      <c r="R1356" s="370"/>
    </row>
    <row r="1357">
      <c r="B1357" s="670"/>
      <c r="C1357" s="609"/>
      <c r="D1357" s="609"/>
      <c r="E1357" s="671"/>
      <c r="F1357" s="672"/>
      <c r="K1357" s="370"/>
      <c r="L1357" s="370"/>
      <c r="P1357" s="208"/>
      <c r="Q1357" s="370"/>
      <c r="R1357" s="370"/>
    </row>
    <row r="1358">
      <c r="B1358" s="670"/>
      <c r="C1358" s="609"/>
      <c r="D1358" s="609"/>
      <c r="E1358" s="671"/>
      <c r="F1358" s="672"/>
      <c r="K1358" s="370"/>
      <c r="L1358" s="370"/>
      <c r="P1358" s="208"/>
      <c r="Q1358" s="370"/>
      <c r="R1358" s="370"/>
    </row>
    <row r="1359">
      <c r="B1359" s="670"/>
      <c r="C1359" s="609"/>
      <c r="D1359" s="609"/>
      <c r="E1359" s="671"/>
      <c r="F1359" s="672"/>
      <c r="K1359" s="370"/>
      <c r="L1359" s="370"/>
      <c r="P1359" s="208"/>
      <c r="Q1359" s="370"/>
      <c r="R1359" s="370"/>
    </row>
    <row r="1360">
      <c r="B1360" s="670"/>
      <c r="C1360" s="609"/>
      <c r="D1360" s="609"/>
      <c r="E1360" s="671"/>
      <c r="F1360" s="672"/>
      <c r="K1360" s="370"/>
      <c r="L1360" s="370"/>
      <c r="P1360" s="208"/>
      <c r="Q1360" s="370"/>
      <c r="R1360" s="370"/>
    </row>
    <row r="1361">
      <c r="B1361" s="670"/>
      <c r="C1361" s="609"/>
      <c r="D1361" s="609"/>
      <c r="E1361" s="671"/>
      <c r="F1361" s="672"/>
      <c r="K1361" s="370"/>
      <c r="L1361" s="370"/>
      <c r="P1361" s="208"/>
      <c r="Q1361" s="370"/>
      <c r="R1361" s="370"/>
    </row>
    <row r="1362">
      <c r="B1362" s="670"/>
      <c r="C1362" s="609"/>
      <c r="D1362" s="609"/>
      <c r="E1362" s="671"/>
      <c r="F1362" s="672"/>
      <c r="K1362" s="370"/>
      <c r="L1362" s="370"/>
      <c r="P1362" s="208"/>
      <c r="Q1362" s="370"/>
      <c r="R1362" s="370"/>
    </row>
    <row r="1363">
      <c r="B1363" s="670"/>
      <c r="C1363" s="609"/>
      <c r="D1363" s="609"/>
      <c r="E1363" s="671"/>
      <c r="F1363" s="672"/>
      <c r="K1363" s="370"/>
      <c r="L1363" s="370"/>
      <c r="P1363" s="208"/>
      <c r="Q1363" s="370"/>
      <c r="R1363" s="370"/>
    </row>
    <row r="1364">
      <c r="B1364" s="670"/>
      <c r="C1364" s="609"/>
      <c r="D1364" s="609"/>
      <c r="E1364" s="671"/>
      <c r="F1364" s="672"/>
      <c r="K1364" s="370"/>
      <c r="L1364" s="370"/>
      <c r="P1364" s="208"/>
      <c r="Q1364" s="370"/>
      <c r="R1364" s="370"/>
    </row>
    <row r="1365">
      <c r="B1365" s="670"/>
      <c r="C1365" s="609"/>
      <c r="D1365" s="609"/>
      <c r="E1365" s="671"/>
      <c r="F1365" s="672"/>
      <c r="K1365" s="370"/>
      <c r="L1365" s="370"/>
      <c r="P1365" s="208"/>
      <c r="Q1365" s="370"/>
      <c r="R1365" s="370"/>
    </row>
    <row r="1366">
      <c r="B1366" s="670"/>
      <c r="C1366" s="609"/>
      <c r="D1366" s="609"/>
      <c r="E1366" s="671"/>
      <c r="F1366" s="672"/>
      <c r="K1366" s="370"/>
      <c r="L1366" s="370"/>
      <c r="P1366" s="208"/>
      <c r="Q1366" s="370"/>
      <c r="R1366" s="370"/>
    </row>
    <row r="1367">
      <c r="B1367" s="670"/>
      <c r="C1367" s="609"/>
      <c r="D1367" s="609"/>
      <c r="E1367" s="671"/>
      <c r="F1367" s="672"/>
      <c r="K1367" s="370"/>
      <c r="L1367" s="370"/>
      <c r="P1367" s="208"/>
      <c r="Q1367" s="370"/>
      <c r="R1367" s="370"/>
    </row>
    <row r="1368">
      <c r="B1368" s="670"/>
      <c r="C1368" s="609"/>
      <c r="D1368" s="609"/>
      <c r="E1368" s="671"/>
      <c r="F1368" s="672"/>
      <c r="K1368" s="370"/>
      <c r="L1368" s="370"/>
      <c r="P1368" s="208"/>
      <c r="Q1368" s="370"/>
      <c r="R1368" s="370"/>
    </row>
    <row r="1369">
      <c r="B1369" s="670"/>
      <c r="C1369" s="609"/>
      <c r="D1369" s="609"/>
      <c r="E1369" s="671"/>
      <c r="F1369" s="672"/>
      <c r="K1369" s="370"/>
      <c r="L1369" s="370"/>
      <c r="P1369" s="208"/>
      <c r="Q1369" s="370"/>
      <c r="R1369" s="370"/>
    </row>
    <row r="1370">
      <c r="B1370" s="670"/>
      <c r="C1370" s="609"/>
      <c r="D1370" s="609"/>
      <c r="E1370" s="671"/>
      <c r="F1370" s="672"/>
      <c r="K1370" s="370"/>
      <c r="L1370" s="370"/>
      <c r="P1370" s="208"/>
      <c r="Q1370" s="370"/>
      <c r="R1370" s="370"/>
    </row>
    <row r="1371">
      <c r="B1371" s="670"/>
      <c r="C1371" s="609"/>
      <c r="D1371" s="609"/>
      <c r="E1371" s="671"/>
      <c r="F1371" s="672"/>
      <c r="K1371" s="370"/>
      <c r="L1371" s="370"/>
      <c r="P1371" s="208"/>
      <c r="Q1371" s="370"/>
      <c r="R1371" s="370"/>
    </row>
    <row r="1372">
      <c r="B1372" s="670"/>
      <c r="C1372" s="609"/>
      <c r="D1372" s="609"/>
      <c r="E1372" s="671"/>
      <c r="F1372" s="672"/>
      <c r="K1372" s="370"/>
      <c r="L1372" s="370"/>
      <c r="P1372" s="208"/>
      <c r="Q1372" s="370"/>
      <c r="R1372" s="370"/>
    </row>
    <row r="1373">
      <c r="B1373" s="670"/>
      <c r="C1373" s="609"/>
      <c r="D1373" s="609"/>
      <c r="E1373" s="671"/>
      <c r="F1373" s="672"/>
      <c r="K1373" s="370"/>
      <c r="L1373" s="370"/>
      <c r="P1373" s="208"/>
      <c r="Q1373" s="370"/>
      <c r="R1373" s="370"/>
    </row>
    <row r="1374">
      <c r="B1374" s="670"/>
      <c r="C1374" s="609"/>
      <c r="D1374" s="609"/>
      <c r="E1374" s="671"/>
      <c r="F1374" s="672"/>
      <c r="K1374" s="370"/>
      <c r="L1374" s="370"/>
      <c r="P1374" s="208"/>
      <c r="Q1374" s="370"/>
      <c r="R1374" s="370"/>
    </row>
    <row r="1375">
      <c r="B1375" s="670"/>
      <c r="C1375" s="609"/>
      <c r="D1375" s="609"/>
      <c r="E1375" s="671"/>
      <c r="F1375" s="672"/>
      <c r="K1375" s="370"/>
      <c r="L1375" s="370"/>
      <c r="P1375" s="208"/>
      <c r="Q1375" s="370"/>
      <c r="R1375" s="370"/>
    </row>
    <row r="1376">
      <c r="B1376" s="670"/>
      <c r="C1376" s="609"/>
      <c r="D1376" s="609"/>
      <c r="E1376" s="671"/>
      <c r="F1376" s="672"/>
      <c r="K1376" s="370"/>
      <c r="L1376" s="370"/>
      <c r="P1376" s="208"/>
      <c r="Q1376" s="370"/>
      <c r="R1376" s="370"/>
    </row>
    <row r="1377">
      <c r="B1377" s="670"/>
      <c r="C1377" s="609"/>
      <c r="D1377" s="609"/>
      <c r="E1377" s="671"/>
      <c r="F1377" s="672"/>
      <c r="K1377" s="370"/>
      <c r="L1377" s="370"/>
      <c r="P1377" s="208"/>
      <c r="Q1377" s="370"/>
      <c r="R1377" s="370"/>
    </row>
    <row r="1378">
      <c r="B1378" s="670"/>
      <c r="C1378" s="609"/>
      <c r="D1378" s="609"/>
      <c r="E1378" s="671"/>
      <c r="F1378" s="672"/>
      <c r="K1378" s="370"/>
      <c r="L1378" s="370"/>
      <c r="P1378" s="208"/>
      <c r="Q1378" s="370"/>
      <c r="R1378" s="370"/>
    </row>
    <row r="1379">
      <c r="B1379" s="670"/>
      <c r="C1379" s="609"/>
      <c r="D1379" s="609"/>
      <c r="E1379" s="671"/>
      <c r="F1379" s="672"/>
      <c r="K1379" s="370"/>
      <c r="L1379" s="370"/>
      <c r="P1379" s="208"/>
      <c r="Q1379" s="370"/>
      <c r="R1379" s="370"/>
    </row>
    <row r="1380">
      <c r="B1380" s="670"/>
      <c r="C1380" s="609"/>
      <c r="D1380" s="609"/>
      <c r="E1380" s="671"/>
      <c r="F1380" s="672"/>
      <c r="K1380" s="370"/>
      <c r="L1380" s="370"/>
      <c r="P1380" s="208"/>
      <c r="Q1380" s="370"/>
      <c r="R1380" s="370"/>
    </row>
    <row r="1381">
      <c r="B1381" s="670"/>
      <c r="C1381" s="609"/>
      <c r="D1381" s="609"/>
      <c r="E1381" s="671"/>
      <c r="F1381" s="672"/>
      <c r="K1381" s="370"/>
      <c r="L1381" s="370"/>
      <c r="P1381" s="208"/>
      <c r="Q1381" s="370"/>
      <c r="R1381" s="370"/>
    </row>
    <row r="1382">
      <c r="B1382" s="670"/>
      <c r="C1382" s="609"/>
      <c r="D1382" s="609"/>
      <c r="E1382" s="671"/>
      <c r="F1382" s="672"/>
      <c r="K1382" s="370"/>
      <c r="L1382" s="370"/>
      <c r="P1382" s="208"/>
      <c r="Q1382" s="370"/>
      <c r="R1382" s="370"/>
    </row>
    <row r="1383">
      <c r="B1383" s="670"/>
      <c r="C1383" s="609"/>
      <c r="D1383" s="609"/>
      <c r="E1383" s="671"/>
      <c r="F1383" s="672"/>
      <c r="K1383" s="370"/>
      <c r="L1383" s="370"/>
      <c r="P1383" s="208"/>
      <c r="Q1383" s="370"/>
      <c r="R1383" s="370"/>
    </row>
    <row r="1384">
      <c r="B1384" s="670"/>
      <c r="C1384" s="609"/>
      <c r="D1384" s="609"/>
      <c r="E1384" s="671"/>
      <c r="F1384" s="672"/>
      <c r="K1384" s="370"/>
      <c r="L1384" s="370"/>
      <c r="P1384" s="208"/>
      <c r="Q1384" s="370"/>
      <c r="R1384" s="370"/>
    </row>
    <row r="1385">
      <c r="B1385" s="670"/>
      <c r="C1385" s="609"/>
      <c r="D1385" s="609"/>
      <c r="E1385" s="671"/>
      <c r="F1385" s="672"/>
      <c r="K1385" s="370"/>
      <c r="L1385" s="370"/>
      <c r="P1385" s="208"/>
      <c r="Q1385" s="370"/>
      <c r="R1385" s="370"/>
    </row>
    <row r="1386">
      <c r="B1386" s="670"/>
      <c r="C1386" s="609"/>
      <c r="D1386" s="609"/>
      <c r="E1386" s="671"/>
      <c r="F1386" s="672"/>
      <c r="K1386" s="370"/>
      <c r="L1386" s="370"/>
      <c r="P1386" s="208"/>
      <c r="Q1386" s="370"/>
      <c r="R1386" s="370"/>
    </row>
    <row r="1387">
      <c r="B1387" s="670"/>
      <c r="C1387" s="609"/>
      <c r="D1387" s="609"/>
      <c r="E1387" s="671"/>
      <c r="F1387" s="672"/>
      <c r="K1387" s="370"/>
      <c r="L1387" s="370"/>
      <c r="P1387" s="208"/>
      <c r="Q1387" s="370"/>
      <c r="R1387" s="370"/>
    </row>
    <row r="1388">
      <c r="B1388" s="670"/>
      <c r="C1388" s="609"/>
      <c r="D1388" s="609"/>
      <c r="E1388" s="671"/>
      <c r="F1388" s="672"/>
      <c r="K1388" s="370"/>
      <c r="L1388" s="370"/>
      <c r="P1388" s="208"/>
      <c r="Q1388" s="370"/>
      <c r="R1388" s="370"/>
    </row>
    <row r="1389">
      <c r="B1389" s="670"/>
      <c r="C1389" s="609"/>
      <c r="D1389" s="609"/>
      <c r="E1389" s="671"/>
      <c r="F1389" s="672"/>
      <c r="K1389" s="370"/>
      <c r="L1389" s="370"/>
      <c r="P1389" s="208"/>
      <c r="Q1389" s="370"/>
      <c r="R1389" s="370"/>
    </row>
    <row r="1390">
      <c r="B1390" s="670"/>
      <c r="C1390" s="609"/>
      <c r="D1390" s="609"/>
      <c r="E1390" s="671"/>
      <c r="F1390" s="672"/>
      <c r="K1390" s="370"/>
      <c r="L1390" s="370"/>
      <c r="P1390" s="208"/>
      <c r="Q1390" s="370"/>
      <c r="R1390" s="370"/>
    </row>
    <row r="1391">
      <c r="B1391" s="670"/>
      <c r="C1391" s="609"/>
      <c r="D1391" s="609"/>
      <c r="E1391" s="671"/>
      <c r="F1391" s="672"/>
      <c r="K1391" s="370"/>
      <c r="L1391" s="370"/>
      <c r="P1391" s="208"/>
      <c r="Q1391" s="370"/>
      <c r="R1391" s="370"/>
    </row>
    <row r="1392">
      <c r="B1392" s="670"/>
      <c r="C1392" s="609"/>
      <c r="D1392" s="609"/>
      <c r="E1392" s="671"/>
      <c r="F1392" s="672"/>
      <c r="K1392" s="370"/>
      <c r="L1392" s="370"/>
      <c r="P1392" s="208"/>
      <c r="Q1392" s="370"/>
      <c r="R1392" s="370"/>
    </row>
    <row r="1393">
      <c r="B1393" s="670"/>
      <c r="C1393" s="609"/>
      <c r="D1393" s="609"/>
      <c r="E1393" s="671"/>
      <c r="F1393" s="672"/>
      <c r="K1393" s="370"/>
      <c r="L1393" s="370"/>
      <c r="P1393" s="208"/>
      <c r="Q1393" s="370"/>
      <c r="R1393" s="370"/>
    </row>
    <row r="1394">
      <c r="B1394" s="670"/>
      <c r="C1394" s="609"/>
      <c r="D1394" s="609"/>
      <c r="E1394" s="671"/>
      <c r="F1394" s="672"/>
      <c r="K1394" s="370"/>
      <c r="L1394" s="370"/>
      <c r="P1394" s="208"/>
      <c r="Q1394" s="370"/>
      <c r="R1394" s="370"/>
    </row>
    <row r="1395">
      <c r="B1395" s="670"/>
      <c r="C1395" s="609"/>
      <c r="D1395" s="609"/>
      <c r="E1395" s="671"/>
      <c r="F1395" s="672"/>
      <c r="K1395" s="370"/>
      <c r="L1395" s="370"/>
      <c r="P1395" s="208"/>
      <c r="Q1395" s="370"/>
      <c r="R1395" s="370"/>
    </row>
    <row r="1396">
      <c r="B1396" s="670"/>
      <c r="C1396" s="609"/>
      <c r="D1396" s="609"/>
      <c r="E1396" s="671"/>
      <c r="F1396" s="672"/>
      <c r="K1396" s="370"/>
      <c r="L1396" s="370"/>
      <c r="P1396" s="208"/>
      <c r="Q1396" s="370"/>
      <c r="R1396" s="370"/>
    </row>
    <row r="1397">
      <c r="B1397" s="670"/>
      <c r="C1397" s="609"/>
      <c r="D1397" s="609"/>
      <c r="E1397" s="671"/>
      <c r="F1397" s="672"/>
      <c r="K1397" s="370"/>
      <c r="L1397" s="370"/>
      <c r="P1397" s="208"/>
      <c r="Q1397" s="370"/>
      <c r="R1397" s="370"/>
    </row>
    <row r="1398">
      <c r="B1398" s="670"/>
      <c r="C1398" s="609"/>
      <c r="D1398" s="609"/>
      <c r="E1398" s="671"/>
      <c r="F1398" s="672"/>
      <c r="K1398" s="370"/>
      <c r="L1398" s="370"/>
      <c r="P1398" s="208"/>
      <c r="Q1398" s="370"/>
      <c r="R1398" s="370"/>
    </row>
    <row r="1399">
      <c r="B1399" s="670"/>
      <c r="C1399" s="609"/>
      <c r="D1399" s="609"/>
      <c r="E1399" s="671"/>
      <c r="F1399" s="672"/>
      <c r="K1399" s="370"/>
      <c r="L1399" s="370"/>
      <c r="P1399" s="208"/>
      <c r="Q1399" s="370"/>
      <c r="R1399" s="370"/>
    </row>
    <row r="1400">
      <c r="B1400" s="670"/>
      <c r="C1400" s="609"/>
      <c r="D1400" s="609"/>
      <c r="E1400" s="671"/>
      <c r="F1400" s="672"/>
      <c r="K1400" s="370"/>
      <c r="L1400" s="370"/>
      <c r="P1400" s="208"/>
      <c r="Q1400" s="370"/>
      <c r="R1400" s="370"/>
    </row>
    <row r="1401">
      <c r="B1401" s="670"/>
      <c r="C1401" s="609"/>
      <c r="D1401" s="609"/>
      <c r="E1401" s="671"/>
      <c r="F1401" s="672"/>
      <c r="K1401" s="370"/>
      <c r="L1401" s="370"/>
      <c r="P1401" s="208"/>
      <c r="Q1401" s="370"/>
      <c r="R1401" s="370"/>
    </row>
    <row r="1402">
      <c r="B1402" s="670"/>
      <c r="C1402" s="609"/>
      <c r="D1402" s="609"/>
      <c r="E1402" s="671"/>
      <c r="F1402" s="672"/>
      <c r="K1402" s="370"/>
      <c r="L1402" s="370"/>
      <c r="P1402" s="208"/>
      <c r="Q1402" s="370"/>
      <c r="R1402" s="370"/>
    </row>
    <row r="1403">
      <c r="B1403" s="670"/>
      <c r="C1403" s="609"/>
      <c r="D1403" s="609"/>
      <c r="E1403" s="671"/>
      <c r="F1403" s="672"/>
      <c r="K1403" s="370"/>
      <c r="L1403" s="370"/>
      <c r="P1403" s="208"/>
      <c r="Q1403" s="370"/>
      <c r="R1403" s="370"/>
    </row>
    <row r="1404">
      <c r="B1404" s="670"/>
      <c r="C1404" s="609"/>
      <c r="D1404" s="609"/>
      <c r="E1404" s="671"/>
      <c r="F1404" s="672"/>
      <c r="K1404" s="370"/>
      <c r="L1404" s="370"/>
      <c r="P1404" s="208"/>
      <c r="Q1404" s="370"/>
      <c r="R1404" s="370"/>
    </row>
    <row r="1405">
      <c r="B1405" s="670"/>
      <c r="C1405" s="609"/>
      <c r="D1405" s="609"/>
      <c r="E1405" s="671"/>
      <c r="F1405" s="672"/>
      <c r="K1405" s="370"/>
      <c r="L1405" s="370"/>
      <c r="P1405" s="208"/>
      <c r="Q1405" s="370"/>
      <c r="R1405" s="370"/>
    </row>
    <row r="1406">
      <c r="B1406" s="670"/>
      <c r="C1406" s="609"/>
      <c r="D1406" s="609"/>
      <c r="E1406" s="671"/>
      <c r="F1406" s="672"/>
      <c r="K1406" s="370"/>
      <c r="L1406" s="370"/>
      <c r="P1406" s="208"/>
      <c r="Q1406" s="370"/>
      <c r="R1406" s="370"/>
    </row>
    <row r="1407">
      <c r="B1407" s="670"/>
      <c r="C1407" s="609"/>
      <c r="D1407" s="609"/>
      <c r="E1407" s="671"/>
      <c r="F1407" s="672"/>
      <c r="K1407" s="370"/>
      <c r="L1407" s="370"/>
      <c r="P1407" s="208"/>
      <c r="Q1407" s="370"/>
      <c r="R1407" s="370"/>
    </row>
    <row r="1408">
      <c r="B1408" s="670"/>
      <c r="C1408" s="609"/>
      <c r="D1408" s="609"/>
      <c r="E1408" s="671"/>
      <c r="F1408" s="672"/>
      <c r="K1408" s="370"/>
      <c r="L1408" s="370"/>
      <c r="P1408" s="208"/>
      <c r="Q1408" s="370"/>
      <c r="R1408" s="370"/>
    </row>
    <row r="1409">
      <c r="B1409" s="670"/>
      <c r="C1409" s="609"/>
      <c r="D1409" s="609"/>
      <c r="E1409" s="671"/>
      <c r="F1409" s="672"/>
      <c r="K1409" s="370"/>
      <c r="L1409" s="370"/>
      <c r="P1409" s="208"/>
      <c r="Q1409" s="370"/>
      <c r="R1409" s="370"/>
    </row>
    <row r="1410">
      <c r="B1410" s="670"/>
      <c r="C1410" s="609"/>
      <c r="D1410" s="609"/>
      <c r="E1410" s="671"/>
      <c r="F1410" s="672"/>
      <c r="K1410" s="370"/>
      <c r="L1410" s="370"/>
      <c r="P1410" s="208"/>
      <c r="Q1410" s="370"/>
      <c r="R1410" s="370"/>
    </row>
    <row r="1411">
      <c r="B1411" s="670"/>
      <c r="C1411" s="609"/>
      <c r="D1411" s="609"/>
      <c r="E1411" s="671"/>
      <c r="F1411" s="672"/>
      <c r="K1411" s="370"/>
      <c r="L1411" s="370"/>
      <c r="P1411" s="208"/>
      <c r="Q1411" s="370"/>
      <c r="R1411" s="370"/>
    </row>
    <row r="1412">
      <c r="B1412" s="670"/>
      <c r="C1412" s="609"/>
      <c r="D1412" s="609"/>
      <c r="E1412" s="671"/>
      <c r="F1412" s="672"/>
      <c r="K1412" s="370"/>
      <c r="L1412" s="370"/>
      <c r="P1412" s="208"/>
      <c r="Q1412" s="370"/>
      <c r="R1412" s="370"/>
    </row>
    <row r="1413">
      <c r="B1413" s="670"/>
      <c r="C1413" s="609"/>
      <c r="D1413" s="609"/>
      <c r="E1413" s="671"/>
      <c r="F1413" s="672"/>
      <c r="K1413" s="370"/>
      <c r="L1413" s="370"/>
      <c r="P1413" s="208"/>
      <c r="Q1413" s="370"/>
      <c r="R1413" s="370"/>
    </row>
    <row r="1414">
      <c r="B1414" s="670"/>
      <c r="C1414" s="609"/>
      <c r="D1414" s="609"/>
      <c r="E1414" s="671"/>
      <c r="F1414" s="672"/>
      <c r="K1414" s="370"/>
      <c r="L1414" s="370"/>
      <c r="P1414" s="208"/>
      <c r="Q1414" s="370"/>
      <c r="R1414" s="370"/>
    </row>
    <row r="1415">
      <c r="B1415" s="670"/>
      <c r="C1415" s="609"/>
      <c r="D1415" s="609"/>
      <c r="E1415" s="671"/>
      <c r="F1415" s="672"/>
      <c r="K1415" s="370"/>
      <c r="L1415" s="370"/>
      <c r="P1415" s="208"/>
      <c r="Q1415" s="370"/>
      <c r="R1415" s="370"/>
    </row>
    <row r="1416">
      <c r="B1416" s="670"/>
      <c r="C1416" s="609"/>
      <c r="D1416" s="609"/>
      <c r="E1416" s="671"/>
      <c r="F1416" s="672"/>
      <c r="K1416" s="370"/>
      <c r="L1416" s="370"/>
      <c r="P1416" s="208"/>
      <c r="Q1416" s="370"/>
      <c r="R1416" s="370"/>
    </row>
    <row r="1417">
      <c r="B1417" s="670"/>
      <c r="C1417" s="609"/>
      <c r="D1417" s="609"/>
      <c r="E1417" s="671"/>
      <c r="F1417" s="672"/>
      <c r="K1417" s="370"/>
      <c r="L1417" s="370"/>
      <c r="P1417" s="208"/>
      <c r="Q1417" s="370"/>
      <c r="R1417" s="370"/>
    </row>
    <row r="1418">
      <c r="B1418" s="670"/>
      <c r="C1418" s="609"/>
      <c r="D1418" s="609"/>
      <c r="E1418" s="671"/>
      <c r="F1418" s="672"/>
      <c r="K1418" s="370"/>
      <c r="L1418" s="370"/>
      <c r="P1418" s="208"/>
      <c r="Q1418" s="370"/>
      <c r="R1418" s="370"/>
    </row>
    <row r="1419">
      <c r="B1419" s="670"/>
      <c r="C1419" s="609"/>
      <c r="D1419" s="609"/>
      <c r="E1419" s="671"/>
      <c r="F1419" s="672"/>
      <c r="K1419" s="370"/>
      <c r="L1419" s="370"/>
      <c r="P1419" s="208"/>
      <c r="Q1419" s="370"/>
      <c r="R1419" s="370"/>
    </row>
    <row r="1420">
      <c r="B1420" s="670"/>
      <c r="C1420" s="609"/>
      <c r="D1420" s="609"/>
      <c r="E1420" s="671"/>
      <c r="F1420" s="672"/>
      <c r="K1420" s="370"/>
      <c r="L1420" s="370"/>
      <c r="P1420" s="208"/>
      <c r="Q1420" s="370"/>
      <c r="R1420" s="370"/>
    </row>
    <row r="1421">
      <c r="B1421" s="670"/>
      <c r="C1421" s="609"/>
      <c r="D1421" s="609"/>
      <c r="E1421" s="671"/>
      <c r="F1421" s="672"/>
      <c r="K1421" s="370"/>
      <c r="L1421" s="370"/>
      <c r="P1421" s="208"/>
      <c r="Q1421" s="370"/>
      <c r="R1421" s="370"/>
    </row>
    <row r="1422">
      <c r="B1422" s="670"/>
      <c r="C1422" s="609"/>
      <c r="D1422" s="609"/>
      <c r="E1422" s="671"/>
      <c r="F1422" s="672"/>
      <c r="K1422" s="370"/>
      <c r="L1422" s="370"/>
      <c r="P1422" s="208"/>
      <c r="Q1422" s="370"/>
      <c r="R1422" s="370"/>
    </row>
    <row r="1423">
      <c r="B1423" s="670"/>
      <c r="C1423" s="609"/>
      <c r="D1423" s="609"/>
      <c r="E1423" s="671"/>
      <c r="F1423" s="672"/>
      <c r="K1423" s="370"/>
      <c r="L1423" s="370"/>
      <c r="P1423" s="208"/>
      <c r="Q1423" s="370"/>
      <c r="R1423" s="370"/>
    </row>
    <row r="1424">
      <c r="B1424" s="670"/>
      <c r="C1424" s="609"/>
      <c r="D1424" s="609"/>
      <c r="E1424" s="671"/>
      <c r="F1424" s="672"/>
      <c r="K1424" s="370"/>
      <c r="L1424" s="370"/>
      <c r="P1424" s="208"/>
      <c r="Q1424" s="370"/>
      <c r="R1424" s="370"/>
    </row>
    <row r="1425">
      <c r="B1425" s="670"/>
      <c r="C1425" s="609"/>
      <c r="D1425" s="609"/>
      <c r="E1425" s="671"/>
      <c r="F1425" s="672"/>
      <c r="K1425" s="370"/>
      <c r="L1425" s="370"/>
      <c r="P1425" s="208"/>
      <c r="Q1425" s="370"/>
      <c r="R1425" s="370"/>
    </row>
    <row r="1426">
      <c r="B1426" s="670"/>
      <c r="C1426" s="609"/>
      <c r="D1426" s="609"/>
      <c r="E1426" s="671"/>
      <c r="F1426" s="672"/>
      <c r="K1426" s="370"/>
      <c r="L1426" s="370"/>
      <c r="P1426" s="208"/>
      <c r="Q1426" s="370"/>
      <c r="R1426" s="370"/>
    </row>
    <row r="1427">
      <c r="B1427" s="670"/>
      <c r="C1427" s="609"/>
      <c r="D1427" s="609"/>
      <c r="E1427" s="671"/>
      <c r="F1427" s="672"/>
      <c r="K1427" s="370"/>
      <c r="L1427" s="370"/>
      <c r="P1427" s="208"/>
      <c r="Q1427" s="370"/>
      <c r="R1427" s="370"/>
    </row>
    <row r="1428">
      <c r="B1428" s="670"/>
      <c r="C1428" s="609"/>
      <c r="D1428" s="609"/>
      <c r="E1428" s="671"/>
      <c r="F1428" s="672"/>
      <c r="K1428" s="370"/>
      <c r="L1428" s="370"/>
      <c r="P1428" s="208"/>
      <c r="Q1428" s="370"/>
      <c r="R1428" s="370"/>
    </row>
    <row r="1429">
      <c r="B1429" s="670"/>
      <c r="C1429" s="609"/>
      <c r="D1429" s="609"/>
      <c r="E1429" s="671"/>
      <c r="F1429" s="672"/>
      <c r="K1429" s="370"/>
      <c r="L1429" s="370"/>
      <c r="P1429" s="208"/>
      <c r="Q1429" s="370"/>
      <c r="R1429" s="370"/>
    </row>
    <row r="1430">
      <c r="B1430" s="670"/>
      <c r="C1430" s="609"/>
      <c r="D1430" s="609"/>
      <c r="E1430" s="671"/>
      <c r="F1430" s="672"/>
      <c r="K1430" s="370"/>
      <c r="L1430" s="370"/>
      <c r="P1430" s="208"/>
      <c r="Q1430" s="370"/>
      <c r="R1430" s="370"/>
    </row>
    <row r="1431">
      <c r="B1431" s="670"/>
      <c r="C1431" s="609"/>
      <c r="D1431" s="609"/>
      <c r="E1431" s="671"/>
      <c r="F1431" s="672"/>
      <c r="K1431" s="370"/>
      <c r="L1431" s="370"/>
      <c r="P1431" s="208"/>
      <c r="Q1431" s="370"/>
      <c r="R1431" s="370"/>
    </row>
    <row r="1432">
      <c r="B1432" s="670"/>
      <c r="C1432" s="609"/>
      <c r="D1432" s="609"/>
      <c r="E1432" s="671"/>
      <c r="F1432" s="672"/>
      <c r="K1432" s="370"/>
      <c r="L1432" s="370"/>
      <c r="P1432" s="208"/>
      <c r="Q1432" s="370"/>
      <c r="R1432" s="370"/>
    </row>
    <row r="1433">
      <c r="B1433" s="670"/>
      <c r="C1433" s="609"/>
      <c r="D1433" s="609"/>
      <c r="E1433" s="671"/>
      <c r="F1433" s="672"/>
      <c r="K1433" s="370"/>
      <c r="L1433" s="370"/>
      <c r="P1433" s="208"/>
      <c r="Q1433" s="370"/>
      <c r="R1433" s="370"/>
    </row>
    <row r="1434">
      <c r="B1434" s="670"/>
      <c r="C1434" s="609"/>
      <c r="D1434" s="609"/>
      <c r="E1434" s="671"/>
      <c r="F1434" s="672"/>
      <c r="K1434" s="370"/>
      <c r="L1434" s="370"/>
      <c r="P1434" s="208"/>
      <c r="Q1434" s="370"/>
      <c r="R1434" s="370"/>
    </row>
    <row r="1435">
      <c r="B1435" s="670"/>
      <c r="C1435" s="609"/>
      <c r="D1435" s="609"/>
      <c r="E1435" s="671"/>
      <c r="F1435" s="672"/>
      <c r="K1435" s="370"/>
      <c r="L1435" s="370"/>
      <c r="P1435" s="208"/>
      <c r="Q1435" s="370"/>
      <c r="R1435" s="370"/>
    </row>
    <row r="1436">
      <c r="B1436" s="670"/>
      <c r="C1436" s="609"/>
      <c r="D1436" s="609"/>
      <c r="E1436" s="671"/>
      <c r="F1436" s="672"/>
      <c r="K1436" s="370"/>
      <c r="L1436" s="370"/>
      <c r="P1436" s="208"/>
      <c r="Q1436" s="370"/>
      <c r="R1436" s="370"/>
    </row>
    <row r="1437">
      <c r="B1437" s="670"/>
      <c r="C1437" s="609"/>
      <c r="D1437" s="609"/>
      <c r="E1437" s="671"/>
      <c r="F1437" s="672"/>
      <c r="K1437" s="370"/>
      <c r="L1437" s="370"/>
      <c r="P1437" s="208"/>
      <c r="Q1437" s="370"/>
      <c r="R1437" s="370"/>
    </row>
    <row r="1438">
      <c r="B1438" s="670"/>
      <c r="C1438" s="609"/>
      <c r="D1438" s="609"/>
      <c r="E1438" s="671"/>
      <c r="F1438" s="672"/>
      <c r="K1438" s="370"/>
      <c r="L1438" s="370"/>
      <c r="P1438" s="208"/>
      <c r="Q1438" s="370"/>
      <c r="R1438" s="370"/>
    </row>
    <row r="1439">
      <c r="B1439" s="670"/>
      <c r="C1439" s="609"/>
      <c r="D1439" s="609"/>
      <c r="E1439" s="671"/>
      <c r="F1439" s="672"/>
      <c r="K1439" s="370"/>
      <c r="L1439" s="370"/>
      <c r="P1439" s="208"/>
      <c r="Q1439" s="370"/>
      <c r="R1439" s="370"/>
    </row>
    <row r="1440">
      <c r="B1440" s="670"/>
      <c r="C1440" s="609"/>
      <c r="D1440" s="609"/>
      <c r="E1440" s="671"/>
      <c r="F1440" s="672"/>
      <c r="K1440" s="370"/>
      <c r="L1440" s="370"/>
      <c r="P1440" s="208"/>
      <c r="Q1440" s="370"/>
      <c r="R1440" s="370"/>
    </row>
    <row r="1441">
      <c r="B1441" s="670"/>
      <c r="C1441" s="609"/>
      <c r="D1441" s="609"/>
      <c r="E1441" s="671"/>
      <c r="F1441" s="672"/>
      <c r="K1441" s="370"/>
      <c r="L1441" s="370"/>
      <c r="P1441" s="208"/>
      <c r="Q1441" s="370"/>
      <c r="R1441" s="370"/>
    </row>
    <row r="1442">
      <c r="B1442" s="670"/>
      <c r="C1442" s="609"/>
      <c r="D1442" s="609"/>
      <c r="E1442" s="671"/>
      <c r="F1442" s="672"/>
      <c r="K1442" s="370"/>
      <c r="L1442" s="370"/>
      <c r="P1442" s="208"/>
      <c r="Q1442" s="370"/>
      <c r="R1442" s="370"/>
    </row>
    <row r="1443">
      <c r="B1443" s="670"/>
      <c r="C1443" s="609"/>
      <c r="D1443" s="609"/>
      <c r="E1443" s="671"/>
      <c r="F1443" s="672"/>
      <c r="K1443" s="370"/>
      <c r="L1443" s="370"/>
      <c r="P1443" s="208"/>
      <c r="Q1443" s="370"/>
      <c r="R1443" s="370"/>
    </row>
    <row r="1444">
      <c r="B1444" s="670"/>
      <c r="C1444" s="609"/>
      <c r="D1444" s="609"/>
      <c r="E1444" s="671"/>
      <c r="F1444" s="672"/>
      <c r="K1444" s="370"/>
      <c r="L1444" s="370"/>
      <c r="P1444" s="208"/>
      <c r="Q1444" s="370"/>
      <c r="R1444" s="370"/>
    </row>
    <row r="1445">
      <c r="B1445" s="670"/>
      <c r="C1445" s="609"/>
      <c r="D1445" s="609"/>
      <c r="E1445" s="671"/>
      <c r="F1445" s="672"/>
      <c r="K1445" s="370"/>
      <c r="L1445" s="370"/>
      <c r="P1445" s="208"/>
      <c r="Q1445" s="370"/>
      <c r="R1445" s="370"/>
    </row>
    <row r="1446">
      <c r="B1446" s="670"/>
      <c r="C1446" s="609"/>
      <c r="D1446" s="609"/>
      <c r="E1446" s="671"/>
      <c r="F1446" s="672"/>
      <c r="K1446" s="370"/>
      <c r="L1446" s="370"/>
      <c r="P1446" s="208"/>
      <c r="Q1446" s="370"/>
      <c r="R1446" s="370"/>
    </row>
    <row r="1447">
      <c r="B1447" s="670"/>
      <c r="C1447" s="609"/>
      <c r="D1447" s="609"/>
      <c r="E1447" s="671"/>
      <c r="F1447" s="672"/>
      <c r="K1447" s="370"/>
      <c r="L1447" s="370"/>
      <c r="P1447" s="208"/>
      <c r="Q1447" s="370"/>
      <c r="R1447" s="370"/>
    </row>
    <row r="1448">
      <c r="B1448" s="670"/>
      <c r="C1448" s="609"/>
      <c r="D1448" s="609"/>
      <c r="E1448" s="671"/>
      <c r="F1448" s="672"/>
      <c r="K1448" s="370"/>
      <c r="L1448" s="370"/>
      <c r="P1448" s="208"/>
      <c r="Q1448" s="370"/>
      <c r="R1448" s="370"/>
    </row>
    <row r="1449">
      <c r="B1449" s="670"/>
      <c r="C1449" s="609"/>
      <c r="D1449" s="609"/>
      <c r="E1449" s="671"/>
      <c r="F1449" s="672"/>
      <c r="K1449" s="370"/>
      <c r="L1449" s="370"/>
      <c r="P1449" s="208"/>
      <c r="Q1449" s="370"/>
      <c r="R1449" s="370"/>
    </row>
    <row r="1450">
      <c r="B1450" s="670"/>
      <c r="C1450" s="609"/>
      <c r="D1450" s="609"/>
      <c r="E1450" s="671"/>
      <c r="F1450" s="672"/>
      <c r="K1450" s="370"/>
      <c r="L1450" s="370"/>
      <c r="P1450" s="208"/>
      <c r="Q1450" s="370"/>
      <c r="R1450" s="370"/>
    </row>
    <row r="1451">
      <c r="B1451" s="670"/>
      <c r="C1451" s="609"/>
      <c r="D1451" s="609"/>
      <c r="E1451" s="671"/>
      <c r="F1451" s="672"/>
      <c r="K1451" s="370"/>
      <c r="L1451" s="370"/>
      <c r="P1451" s="208"/>
      <c r="Q1451" s="370"/>
      <c r="R1451" s="370"/>
    </row>
    <row r="1452">
      <c r="B1452" s="670"/>
      <c r="C1452" s="609"/>
      <c r="D1452" s="609"/>
      <c r="E1452" s="671"/>
      <c r="F1452" s="672"/>
      <c r="K1452" s="370"/>
      <c r="L1452" s="370"/>
      <c r="P1452" s="208"/>
      <c r="Q1452" s="370"/>
      <c r="R1452" s="370"/>
    </row>
    <row r="1453">
      <c r="B1453" s="670"/>
      <c r="C1453" s="609"/>
      <c r="D1453" s="609"/>
      <c r="E1453" s="671"/>
      <c r="F1453" s="672"/>
      <c r="K1453" s="370"/>
      <c r="L1453" s="370"/>
      <c r="P1453" s="208"/>
      <c r="Q1453" s="370"/>
      <c r="R1453" s="370"/>
    </row>
    <row r="1454">
      <c r="B1454" s="670"/>
      <c r="C1454" s="609"/>
      <c r="D1454" s="609"/>
      <c r="E1454" s="671"/>
      <c r="F1454" s="672"/>
      <c r="K1454" s="370"/>
      <c r="L1454" s="370"/>
      <c r="P1454" s="208"/>
      <c r="Q1454" s="370"/>
      <c r="R1454" s="370"/>
    </row>
    <row r="1455">
      <c r="B1455" s="670"/>
      <c r="C1455" s="609"/>
      <c r="D1455" s="609"/>
      <c r="E1455" s="671"/>
      <c r="F1455" s="672"/>
      <c r="K1455" s="370"/>
      <c r="L1455" s="370"/>
      <c r="P1455" s="208"/>
      <c r="Q1455" s="370"/>
      <c r="R1455" s="370"/>
    </row>
    <row r="1456">
      <c r="B1456" s="670"/>
      <c r="C1456" s="609"/>
      <c r="D1456" s="609"/>
      <c r="E1456" s="671"/>
      <c r="F1456" s="672"/>
      <c r="K1456" s="370"/>
      <c r="L1456" s="370"/>
      <c r="P1456" s="208"/>
      <c r="Q1456" s="370"/>
      <c r="R1456" s="370"/>
    </row>
    <row r="1457">
      <c r="B1457" s="670"/>
      <c r="C1457" s="609"/>
      <c r="D1457" s="609"/>
      <c r="E1457" s="671"/>
      <c r="F1457" s="672"/>
      <c r="K1457" s="370"/>
      <c r="L1457" s="370"/>
      <c r="P1457" s="208"/>
      <c r="Q1457" s="370"/>
      <c r="R1457" s="370"/>
    </row>
    <row r="1458">
      <c r="B1458" s="670"/>
      <c r="C1458" s="609"/>
      <c r="D1458" s="609"/>
      <c r="E1458" s="671"/>
      <c r="F1458" s="672"/>
      <c r="K1458" s="370"/>
      <c r="L1458" s="370"/>
      <c r="P1458" s="208"/>
      <c r="Q1458" s="370"/>
      <c r="R1458" s="370"/>
    </row>
    <row r="1459">
      <c r="B1459" s="670"/>
      <c r="C1459" s="609"/>
      <c r="D1459" s="609"/>
      <c r="E1459" s="671"/>
      <c r="F1459" s="672"/>
      <c r="K1459" s="370"/>
      <c r="L1459" s="370"/>
      <c r="P1459" s="208"/>
      <c r="Q1459" s="370"/>
      <c r="R1459" s="370"/>
    </row>
    <row r="1460">
      <c r="B1460" s="670"/>
      <c r="C1460" s="609"/>
      <c r="D1460" s="609"/>
      <c r="E1460" s="671"/>
      <c r="F1460" s="672"/>
      <c r="K1460" s="370"/>
      <c r="L1460" s="370"/>
      <c r="P1460" s="208"/>
      <c r="Q1460" s="370"/>
      <c r="R1460" s="370"/>
    </row>
    <row r="1461">
      <c r="B1461" s="670"/>
      <c r="C1461" s="609"/>
      <c r="D1461" s="609"/>
      <c r="E1461" s="671"/>
      <c r="F1461" s="672"/>
      <c r="K1461" s="370"/>
      <c r="L1461" s="370"/>
      <c r="P1461" s="208"/>
      <c r="Q1461" s="370"/>
      <c r="R1461" s="370"/>
    </row>
    <row r="1462">
      <c r="B1462" s="670"/>
      <c r="C1462" s="609"/>
      <c r="D1462" s="609"/>
      <c r="E1462" s="671"/>
      <c r="F1462" s="672"/>
      <c r="K1462" s="370"/>
      <c r="L1462" s="370"/>
      <c r="P1462" s="208"/>
      <c r="Q1462" s="370"/>
      <c r="R1462" s="370"/>
    </row>
    <row r="1463">
      <c r="B1463" s="670"/>
      <c r="C1463" s="609"/>
      <c r="D1463" s="609"/>
      <c r="E1463" s="671"/>
      <c r="F1463" s="672"/>
      <c r="K1463" s="370"/>
      <c r="L1463" s="370"/>
      <c r="P1463" s="208"/>
      <c r="Q1463" s="370"/>
      <c r="R1463" s="370"/>
    </row>
    <row r="1464">
      <c r="B1464" s="670"/>
      <c r="C1464" s="609"/>
      <c r="D1464" s="609"/>
      <c r="E1464" s="671"/>
      <c r="F1464" s="672"/>
      <c r="K1464" s="370"/>
      <c r="L1464" s="370"/>
      <c r="P1464" s="208"/>
      <c r="Q1464" s="370"/>
      <c r="R1464" s="370"/>
    </row>
    <row r="1465">
      <c r="B1465" s="670"/>
      <c r="C1465" s="609"/>
      <c r="D1465" s="609"/>
      <c r="E1465" s="671"/>
      <c r="F1465" s="672"/>
      <c r="K1465" s="370"/>
      <c r="L1465" s="370"/>
      <c r="P1465" s="208"/>
      <c r="Q1465" s="370"/>
      <c r="R1465" s="370"/>
    </row>
    <row r="1466">
      <c r="B1466" s="670"/>
      <c r="C1466" s="609"/>
      <c r="D1466" s="609"/>
      <c r="E1466" s="671"/>
      <c r="F1466" s="672"/>
      <c r="K1466" s="370"/>
      <c r="L1466" s="370"/>
      <c r="P1466" s="208"/>
      <c r="Q1466" s="370"/>
      <c r="R1466" s="370"/>
    </row>
    <row r="1467">
      <c r="B1467" s="670"/>
      <c r="C1467" s="609"/>
      <c r="D1467" s="609"/>
      <c r="E1467" s="671"/>
      <c r="F1467" s="672"/>
      <c r="K1467" s="370"/>
      <c r="L1467" s="370"/>
      <c r="P1467" s="208"/>
      <c r="Q1467" s="370"/>
      <c r="R1467" s="370"/>
    </row>
    <row r="1468">
      <c r="B1468" s="670"/>
      <c r="C1468" s="609"/>
      <c r="D1468" s="609"/>
      <c r="E1468" s="671"/>
      <c r="F1468" s="672"/>
      <c r="K1468" s="370"/>
      <c r="L1468" s="370"/>
      <c r="P1468" s="208"/>
      <c r="Q1468" s="370"/>
      <c r="R1468" s="370"/>
    </row>
    <row r="1469">
      <c r="B1469" s="670"/>
      <c r="C1469" s="609"/>
      <c r="D1469" s="609"/>
      <c r="E1469" s="671"/>
      <c r="F1469" s="672"/>
      <c r="K1469" s="370"/>
      <c r="L1469" s="370"/>
      <c r="P1469" s="208"/>
      <c r="Q1469" s="370"/>
      <c r="R1469" s="370"/>
    </row>
    <row r="1470">
      <c r="B1470" s="670"/>
      <c r="C1470" s="609"/>
      <c r="D1470" s="609"/>
      <c r="E1470" s="671"/>
      <c r="F1470" s="672"/>
      <c r="K1470" s="370"/>
      <c r="L1470" s="370"/>
      <c r="P1470" s="208"/>
      <c r="Q1470" s="370"/>
      <c r="R1470" s="370"/>
    </row>
    <row r="1471">
      <c r="B1471" s="670"/>
      <c r="C1471" s="609"/>
      <c r="D1471" s="609"/>
      <c r="E1471" s="671"/>
      <c r="F1471" s="672"/>
      <c r="K1471" s="370"/>
      <c r="L1471" s="370"/>
      <c r="P1471" s="208"/>
      <c r="Q1471" s="370"/>
      <c r="R1471" s="370"/>
    </row>
    <row r="1472">
      <c r="B1472" s="670"/>
      <c r="C1472" s="609"/>
      <c r="D1472" s="609"/>
      <c r="E1472" s="671"/>
      <c r="F1472" s="672"/>
      <c r="K1472" s="370"/>
      <c r="L1472" s="370"/>
      <c r="P1472" s="208"/>
      <c r="Q1472" s="370"/>
      <c r="R1472" s="370"/>
    </row>
    <row r="1473">
      <c r="B1473" s="670"/>
      <c r="C1473" s="609"/>
      <c r="D1473" s="609"/>
      <c r="E1473" s="671"/>
      <c r="F1473" s="672"/>
      <c r="K1473" s="370"/>
      <c r="L1473" s="370"/>
      <c r="P1473" s="208"/>
      <c r="Q1473" s="370"/>
      <c r="R1473" s="370"/>
    </row>
    <row r="1474">
      <c r="B1474" s="670"/>
      <c r="C1474" s="609"/>
      <c r="D1474" s="609"/>
      <c r="E1474" s="671"/>
      <c r="F1474" s="672"/>
      <c r="K1474" s="370"/>
      <c r="L1474" s="370"/>
      <c r="P1474" s="208"/>
      <c r="Q1474" s="370"/>
      <c r="R1474" s="370"/>
    </row>
    <row r="1475">
      <c r="B1475" s="670"/>
      <c r="C1475" s="609"/>
      <c r="D1475" s="609"/>
      <c r="E1475" s="671"/>
      <c r="F1475" s="672"/>
      <c r="K1475" s="370"/>
      <c r="L1475" s="370"/>
      <c r="P1475" s="208"/>
      <c r="Q1475" s="370"/>
      <c r="R1475" s="370"/>
    </row>
    <row r="1476">
      <c r="B1476" s="670"/>
      <c r="C1476" s="609"/>
      <c r="D1476" s="609"/>
      <c r="E1476" s="671"/>
      <c r="F1476" s="672"/>
      <c r="K1476" s="370"/>
      <c r="L1476" s="370"/>
      <c r="P1476" s="208"/>
      <c r="Q1476" s="370"/>
      <c r="R1476" s="370"/>
    </row>
    <row r="1477">
      <c r="B1477" s="670"/>
      <c r="C1477" s="609"/>
      <c r="D1477" s="609"/>
      <c r="E1477" s="671"/>
      <c r="F1477" s="672"/>
      <c r="K1477" s="370"/>
      <c r="L1477" s="370"/>
      <c r="P1477" s="208"/>
      <c r="Q1477" s="370"/>
      <c r="R1477" s="370"/>
    </row>
    <row r="1478">
      <c r="B1478" s="670"/>
      <c r="C1478" s="609"/>
      <c r="D1478" s="609"/>
      <c r="E1478" s="671"/>
      <c r="F1478" s="672"/>
      <c r="K1478" s="370"/>
      <c r="L1478" s="370"/>
      <c r="P1478" s="208"/>
      <c r="Q1478" s="370"/>
      <c r="R1478" s="370"/>
    </row>
    <row r="1479">
      <c r="B1479" s="670"/>
      <c r="C1479" s="609"/>
      <c r="D1479" s="609"/>
      <c r="E1479" s="671"/>
      <c r="F1479" s="672"/>
      <c r="K1479" s="370"/>
      <c r="L1479" s="370"/>
      <c r="P1479" s="208"/>
      <c r="Q1479" s="370"/>
      <c r="R1479" s="370"/>
    </row>
    <row r="1480">
      <c r="B1480" s="670"/>
      <c r="C1480" s="609"/>
      <c r="D1480" s="609"/>
      <c r="E1480" s="671"/>
      <c r="F1480" s="672"/>
      <c r="K1480" s="370"/>
      <c r="L1480" s="370"/>
      <c r="P1480" s="208"/>
      <c r="Q1480" s="370"/>
      <c r="R1480" s="370"/>
    </row>
    <row r="1481">
      <c r="B1481" s="670"/>
      <c r="C1481" s="609"/>
      <c r="D1481" s="609"/>
      <c r="E1481" s="671"/>
      <c r="F1481" s="672"/>
      <c r="K1481" s="370"/>
      <c r="L1481" s="370"/>
      <c r="P1481" s="208"/>
      <c r="Q1481" s="370"/>
      <c r="R1481" s="370"/>
    </row>
    <row r="1482">
      <c r="B1482" s="670"/>
      <c r="C1482" s="609"/>
      <c r="D1482" s="609"/>
      <c r="E1482" s="671"/>
      <c r="F1482" s="672"/>
      <c r="K1482" s="370"/>
      <c r="L1482" s="370"/>
      <c r="P1482" s="208"/>
      <c r="Q1482" s="370"/>
      <c r="R1482" s="370"/>
    </row>
    <row r="1483">
      <c r="B1483" s="670"/>
      <c r="C1483" s="609"/>
      <c r="D1483" s="609"/>
      <c r="E1483" s="671"/>
      <c r="F1483" s="672"/>
      <c r="K1483" s="370"/>
      <c r="L1483" s="370"/>
      <c r="P1483" s="208"/>
      <c r="Q1483" s="370"/>
      <c r="R1483" s="370"/>
    </row>
    <row r="1484">
      <c r="B1484" s="670"/>
      <c r="C1484" s="609"/>
      <c r="D1484" s="609"/>
      <c r="E1484" s="671"/>
      <c r="F1484" s="672"/>
      <c r="K1484" s="370"/>
      <c r="L1484" s="370"/>
      <c r="P1484" s="208"/>
      <c r="Q1484" s="370"/>
      <c r="R1484" s="370"/>
    </row>
    <row r="1485">
      <c r="B1485" s="670"/>
      <c r="C1485" s="609"/>
      <c r="D1485" s="609"/>
      <c r="E1485" s="671"/>
      <c r="F1485" s="672"/>
      <c r="K1485" s="370"/>
      <c r="L1485" s="370"/>
      <c r="P1485" s="208"/>
      <c r="Q1485" s="370"/>
      <c r="R1485" s="370"/>
    </row>
    <row r="1486">
      <c r="B1486" s="670"/>
      <c r="C1486" s="609"/>
      <c r="D1486" s="609"/>
      <c r="E1486" s="671"/>
      <c r="F1486" s="672"/>
      <c r="K1486" s="370"/>
      <c r="L1486" s="370"/>
      <c r="P1486" s="208"/>
      <c r="Q1486" s="370"/>
      <c r="R1486" s="370"/>
    </row>
    <row r="1487">
      <c r="B1487" s="670"/>
      <c r="C1487" s="609"/>
      <c r="D1487" s="609"/>
      <c r="E1487" s="671"/>
      <c r="F1487" s="672"/>
      <c r="K1487" s="370"/>
      <c r="L1487" s="370"/>
      <c r="P1487" s="208"/>
      <c r="Q1487" s="370"/>
      <c r="R1487" s="370"/>
    </row>
    <row r="1488">
      <c r="B1488" s="670"/>
      <c r="C1488" s="609"/>
      <c r="D1488" s="609"/>
      <c r="E1488" s="671"/>
      <c r="F1488" s="672"/>
      <c r="K1488" s="370"/>
      <c r="L1488" s="370"/>
      <c r="P1488" s="208"/>
      <c r="Q1488" s="370"/>
      <c r="R1488" s="370"/>
    </row>
    <row r="1489">
      <c r="B1489" s="670"/>
      <c r="C1489" s="609"/>
      <c r="D1489" s="609"/>
      <c r="E1489" s="671"/>
      <c r="F1489" s="672"/>
      <c r="K1489" s="370"/>
      <c r="L1489" s="370"/>
      <c r="P1489" s="208"/>
      <c r="Q1489" s="370"/>
      <c r="R1489" s="370"/>
    </row>
    <row r="1490">
      <c r="B1490" s="670"/>
      <c r="C1490" s="609"/>
      <c r="D1490" s="609"/>
      <c r="E1490" s="671"/>
      <c r="F1490" s="672"/>
      <c r="K1490" s="370"/>
      <c r="L1490" s="370"/>
      <c r="P1490" s="208"/>
      <c r="Q1490" s="370"/>
      <c r="R1490" s="370"/>
    </row>
    <row r="1491">
      <c r="B1491" s="670"/>
      <c r="C1491" s="609"/>
      <c r="D1491" s="609"/>
      <c r="E1491" s="671"/>
      <c r="F1491" s="672"/>
      <c r="K1491" s="370"/>
      <c r="L1491" s="370"/>
      <c r="P1491" s="208"/>
      <c r="Q1491" s="370"/>
      <c r="R1491" s="370"/>
    </row>
    <row r="1492">
      <c r="B1492" s="670"/>
      <c r="C1492" s="609"/>
      <c r="D1492" s="609"/>
      <c r="E1492" s="671"/>
      <c r="F1492" s="672"/>
      <c r="K1492" s="370"/>
      <c r="L1492" s="370"/>
      <c r="P1492" s="208"/>
      <c r="Q1492" s="370"/>
      <c r="R1492" s="370"/>
    </row>
    <row r="1493">
      <c r="B1493" s="670"/>
      <c r="C1493" s="609"/>
      <c r="D1493" s="609"/>
      <c r="E1493" s="671"/>
      <c r="F1493" s="672"/>
      <c r="K1493" s="370"/>
      <c r="L1493" s="370"/>
      <c r="P1493" s="208"/>
      <c r="Q1493" s="370"/>
      <c r="R1493" s="370"/>
    </row>
    <row r="1494">
      <c r="B1494" s="670"/>
      <c r="C1494" s="609"/>
      <c r="D1494" s="609"/>
      <c r="E1494" s="671"/>
      <c r="F1494" s="672"/>
      <c r="K1494" s="370"/>
      <c r="L1494" s="370"/>
      <c r="P1494" s="208"/>
      <c r="Q1494" s="370"/>
      <c r="R1494" s="370"/>
    </row>
    <row r="1495">
      <c r="B1495" s="670"/>
      <c r="C1495" s="609"/>
      <c r="D1495" s="609"/>
      <c r="E1495" s="671"/>
      <c r="F1495" s="672"/>
      <c r="K1495" s="370"/>
      <c r="L1495" s="370"/>
      <c r="P1495" s="208"/>
      <c r="Q1495" s="370"/>
      <c r="R1495" s="370"/>
    </row>
    <row r="1496">
      <c r="B1496" s="670"/>
      <c r="C1496" s="609"/>
      <c r="D1496" s="609"/>
      <c r="E1496" s="671"/>
      <c r="F1496" s="672"/>
      <c r="K1496" s="370"/>
      <c r="L1496" s="370"/>
      <c r="P1496" s="208"/>
      <c r="Q1496" s="370"/>
      <c r="R1496" s="370"/>
    </row>
    <row r="1497">
      <c r="B1497" s="670"/>
      <c r="C1497" s="609"/>
      <c r="D1497" s="609"/>
      <c r="E1497" s="671"/>
      <c r="F1497" s="672"/>
      <c r="K1497" s="370"/>
      <c r="L1497" s="370"/>
      <c r="P1497" s="208"/>
      <c r="Q1497" s="370"/>
      <c r="R1497" s="370"/>
    </row>
    <row r="1498">
      <c r="B1498" s="670"/>
      <c r="C1498" s="609"/>
      <c r="D1498" s="609"/>
      <c r="E1498" s="671"/>
      <c r="F1498" s="672"/>
      <c r="K1498" s="370"/>
      <c r="L1498" s="370"/>
      <c r="P1498" s="208"/>
      <c r="Q1498" s="370"/>
      <c r="R1498" s="370"/>
    </row>
    <row r="1499">
      <c r="B1499" s="670"/>
      <c r="C1499" s="609"/>
      <c r="D1499" s="609"/>
      <c r="E1499" s="671"/>
      <c r="F1499" s="672"/>
      <c r="K1499" s="370"/>
      <c r="L1499" s="370"/>
      <c r="P1499" s="208"/>
      <c r="Q1499" s="370"/>
      <c r="R1499" s="370"/>
    </row>
    <row r="1500">
      <c r="B1500" s="670"/>
      <c r="C1500" s="609"/>
      <c r="D1500" s="609"/>
      <c r="E1500" s="671"/>
      <c r="F1500" s="672"/>
      <c r="K1500" s="370"/>
      <c r="L1500" s="370"/>
      <c r="P1500" s="208"/>
      <c r="Q1500" s="370"/>
      <c r="R1500" s="370"/>
    </row>
    <row r="1501">
      <c r="B1501" s="670"/>
      <c r="C1501" s="609"/>
      <c r="D1501" s="609"/>
      <c r="E1501" s="671"/>
      <c r="F1501" s="672"/>
      <c r="K1501" s="370"/>
      <c r="L1501" s="370"/>
      <c r="P1501" s="208"/>
      <c r="Q1501" s="370"/>
      <c r="R1501" s="370"/>
    </row>
    <row r="1502">
      <c r="B1502" s="670"/>
      <c r="C1502" s="609"/>
      <c r="D1502" s="609"/>
      <c r="E1502" s="671"/>
      <c r="F1502" s="672"/>
      <c r="K1502" s="370"/>
      <c r="L1502" s="370"/>
      <c r="P1502" s="208"/>
      <c r="Q1502" s="370"/>
      <c r="R1502" s="370"/>
    </row>
    <row r="1503">
      <c r="B1503" s="670"/>
      <c r="C1503" s="609"/>
      <c r="D1503" s="609"/>
      <c r="E1503" s="671"/>
      <c r="F1503" s="672"/>
      <c r="K1503" s="370"/>
      <c r="L1503" s="370"/>
      <c r="P1503" s="208"/>
      <c r="Q1503" s="370"/>
      <c r="R1503" s="370"/>
    </row>
    <row r="1504">
      <c r="B1504" s="670"/>
      <c r="C1504" s="609"/>
      <c r="D1504" s="609"/>
      <c r="E1504" s="671"/>
      <c r="F1504" s="672"/>
      <c r="K1504" s="370"/>
      <c r="L1504" s="370"/>
      <c r="P1504" s="208"/>
      <c r="Q1504" s="370"/>
      <c r="R1504" s="370"/>
    </row>
    <row r="1505">
      <c r="B1505" s="670"/>
      <c r="C1505" s="609"/>
      <c r="D1505" s="609"/>
      <c r="E1505" s="671"/>
      <c r="F1505" s="672"/>
      <c r="K1505" s="370"/>
      <c r="L1505" s="370"/>
      <c r="P1505" s="208"/>
      <c r="Q1505" s="370"/>
      <c r="R1505" s="370"/>
    </row>
    <row r="1506">
      <c r="B1506" s="670"/>
      <c r="C1506" s="609"/>
      <c r="D1506" s="609"/>
      <c r="E1506" s="671"/>
      <c r="F1506" s="672"/>
      <c r="K1506" s="370"/>
      <c r="L1506" s="370"/>
      <c r="P1506" s="208"/>
      <c r="Q1506" s="370"/>
      <c r="R1506" s="370"/>
    </row>
    <row r="1507">
      <c r="B1507" s="670"/>
      <c r="C1507" s="609"/>
      <c r="D1507" s="609"/>
      <c r="E1507" s="671"/>
      <c r="F1507" s="672"/>
      <c r="K1507" s="370"/>
      <c r="L1507" s="370"/>
      <c r="P1507" s="208"/>
      <c r="Q1507" s="370"/>
      <c r="R1507" s="370"/>
    </row>
    <row r="1508">
      <c r="B1508" s="670"/>
      <c r="C1508" s="609"/>
      <c r="D1508" s="609"/>
      <c r="E1508" s="671"/>
      <c r="F1508" s="672"/>
      <c r="K1508" s="370"/>
      <c r="L1508" s="370"/>
      <c r="P1508" s="208"/>
      <c r="Q1508" s="370"/>
      <c r="R1508" s="370"/>
    </row>
    <row r="1509">
      <c r="B1509" s="670"/>
      <c r="C1509" s="609"/>
      <c r="D1509" s="609"/>
      <c r="E1509" s="671"/>
      <c r="F1509" s="672"/>
      <c r="K1509" s="370"/>
      <c r="L1509" s="370"/>
      <c r="P1509" s="208"/>
      <c r="Q1509" s="370"/>
      <c r="R1509" s="370"/>
    </row>
    <row r="1510">
      <c r="B1510" s="670"/>
      <c r="C1510" s="609"/>
      <c r="D1510" s="609"/>
      <c r="E1510" s="671"/>
      <c r="F1510" s="672"/>
      <c r="K1510" s="370"/>
      <c r="L1510" s="370"/>
      <c r="P1510" s="208"/>
      <c r="Q1510" s="370"/>
      <c r="R1510" s="370"/>
    </row>
    <row r="1511">
      <c r="B1511" s="670"/>
      <c r="C1511" s="609"/>
      <c r="D1511" s="609"/>
      <c r="E1511" s="671"/>
      <c r="F1511" s="672"/>
      <c r="K1511" s="370"/>
      <c r="L1511" s="370"/>
      <c r="P1511" s="208"/>
      <c r="Q1511" s="370"/>
      <c r="R1511" s="370"/>
    </row>
    <row r="1512">
      <c r="B1512" s="670"/>
      <c r="C1512" s="609"/>
      <c r="D1512" s="609"/>
      <c r="E1512" s="671"/>
      <c r="F1512" s="672"/>
      <c r="K1512" s="370"/>
      <c r="L1512" s="370"/>
      <c r="P1512" s="208"/>
      <c r="Q1512" s="370"/>
      <c r="R1512" s="370"/>
    </row>
    <row r="1513">
      <c r="B1513" s="670"/>
      <c r="C1513" s="609"/>
      <c r="D1513" s="609"/>
      <c r="E1513" s="671"/>
      <c r="F1513" s="672"/>
      <c r="K1513" s="370"/>
      <c r="L1513" s="370"/>
      <c r="P1513" s="208"/>
      <c r="Q1513" s="370"/>
      <c r="R1513" s="370"/>
    </row>
    <row r="1514">
      <c r="B1514" s="670"/>
      <c r="C1514" s="609"/>
      <c r="D1514" s="609"/>
      <c r="E1514" s="671"/>
      <c r="F1514" s="672"/>
      <c r="K1514" s="370"/>
      <c r="L1514" s="370"/>
      <c r="P1514" s="208"/>
      <c r="Q1514" s="370"/>
      <c r="R1514" s="370"/>
    </row>
    <row r="1515">
      <c r="B1515" s="670"/>
      <c r="C1515" s="609"/>
      <c r="D1515" s="609"/>
      <c r="E1515" s="671"/>
      <c r="F1515" s="672"/>
      <c r="K1515" s="370"/>
      <c r="L1515" s="370"/>
      <c r="P1515" s="208"/>
      <c r="Q1515" s="370"/>
      <c r="R1515" s="370"/>
    </row>
    <row r="1516">
      <c r="B1516" s="670"/>
      <c r="C1516" s="609"/>
      <c r="D1516" s="609"/>
      <c r="E1516" s="671"/>
      <c r="F1516" s="672"/>
      <c r="K1516" s="370"/>
      <c r="L1516" s="370"/>
      <c r="P1516" s="208"/>
      <c r="Q1516" s="370"/>
      <c r="R1516" s="370"/>
    </row>
    <row r="1517">
      <c r="B1517" s="670"/>
      <c r="C1517" s="609"/>
      <c r="D1517" s="609"/>
      <c r="E1517" s="671"/>
      <c r="F1517" s="672"/>
      <c r="K1517" s="370"/>
      <c r="L1517" s="370"/>
      <c r="P1517" s="208"/>
      <c r="Q1517" s="370"/>
      <c r="R1517" s="370"/>
    </row>
    <row r="1518">
      <c r="B1518" s="670"/>
      <c r="C1518" s="609"/>
      <c r="D1518" s="609"/>
      <c r="E1518" s="671"/>
      <c r="F1518" s="672"/>
      <c r="K1518" s="370"/>
      <c r="L1518" s="370"/>
      <c r="P1518" s="208"/>
      <c r="Q1518" s="370"/>
      <c r="R1518" s="370"/>
    </row>
    <row r="1519">
      <c r="B1519" s="670"/>
      <c r="C1519" s="609"/>
      <c r="D1519" s="609"/>
      <c r="E1519" s="671"/>
      <c r="F1519" s="672"/>
      <c r="K1519" s="370"/>
      <c r="L1519" s="370"/>
      <c r="P1519" s="208"/>
      <c r="Q1519" s="370"/>
      <c r="R1519" s="370"/>
    </row>
    <row r="1520">
      <c r="B1520" s="670"/>
      <c r="C1520" s="609"/>
      <c r="D1520" s="609"/>
      <c r="E1520" s="671"/>
      <c r="F1520" s="672"/>
      <c r="K1520" s="370"/>
      <c r="L1520" s="370"/>
      <c r="P1520" s="208"/>
      <c r="Q1520" s="370"/>
      <c r="R1520" s="370"/>
    </row>
    <row r="1521">
      <c r="B1521" s="670"/>
      <c r="C1521" s="609"/>
      <c r="D1521" s="609"/>
      <c r="E1521" s="671"/>
      <c r="F1521" s="672"/>
      <c r="K1521" s="370"/>
      <c r="L1521" s="370"/>
      <c r="P1521" s="208"/>
      <c r="Q1521" s="370"/>
      <c r="R1521" s="370"/>
    </row>
    <row r="1522">
      <c r="B1522" s="670"/>
      <c r="C1522" s="609"/>
      <c r="D1522" s="609"/>
      <c r="E1522" s="671"/>
      <c r="F1522" s="672"/>
      <c r="K1522" s="370"/>
      <c r="L1522" s="370"/>
      <c r="P1522" s="208"/>
      <c r="Q1522" s="370"/>
      <c r="R1522" s="370"/>
    </row>
    <row r="1523">
      <c r="B1523" s="670"/>
      <c r="C1523" s="609"/>
      <c r="D1523" s="609"/>
      <c r="E1523" s="671"/>
      <c r="F1523" s="672"/>
      <c r="K1523" s="370"/>
      <c r="L1523" s="370"/>
      <c r="P1523" s="208"/>
      <c r="Q1523" s="370"/>
      <c r="R1523" s="370"/>
    </row>
    <row r="1524">
      <c r="B1524" s="670"/>
      <c r="C1524" s="609"/>
      <c r="D1524" s="609"/>
      <c r="E1524" s="671"/>
      <c r="F1524" s="672"/>
      <c r="K1524" s="370"/>
      <c r="L1524" s="370"/>
      <c r="P1524" s="208"/>
      <c r="Q1524" s="370"/>
      <c r="R1524" s="370"/>
    </row>
    <row r="1525">
      <c r="B1525" s="670"/>
      <c r="C1525" s="609"/>
      <c r="D1525" s="609"/>
      <c r="E1525" s="671"/>
      <c r="F1525" s="672"/>
      <c r="K1525" s="370"/>
      <c r="L1525" s="370"/>
      <c r="P1525" s="208"/>
      <c r="Q1525" s="370"/>
      <c r="R1525" s="370"/>
    </row>
    <row r="1526">
      <c r="B1526" s="670"/>
      <c r="C1526" s="609"/>
      <c r="D1526" s="609"/>
      <c r="E1526" s="671"/>
      <c r="F1526" s="672"/>
      <c r="K1526" s="370"/>
      <c r="L1526" s="370"/>
      <c r="P1526" s="208"/>
      <c r="Q1526" s="370"/>
      <c r="R1526" s="370"/>
    </row>
    <row r="1527">
      <c r="B1527" s="670"/>
      <c r="C1527" s="609"/>
      <c r="D1527" s="609"/>
      <c r="E1527" s="671"/>
      <c r="F1527" s="672"/>
      <c r="K1527" s="370"/>
      <c r="L1527" s="370"/>
      <c r="P1527" s="208"/>
      <c r="Q1527" s="370"/>
      <c r="R1527" s="370"/>
    </row>
    <row r="1528">
      <c r="B1528" s="670"/>
      <c r="C1528" s="609"/>
      <c r="D1528" s="609"/>
      <c r="E1528" s="671"/>
      <c r="F1528" s="672"/>
      <c r="K1528" s="370"/>
      <c r="L1528" s="370"/>
      <c r="P1528" s="208"/>
      <c r="Q1528" s="370"/>
      <c r="R1528" s="370"/>
    </row>
    <row r="1529">
      <c r="B1529" s="670"/>
      <c r="C1529" s="609"/>
      <c r="D1529" s="609"/>
      <c r="E1529" s="671"/>
      <c r="F1529" s="672"/>
      <c r="K1529" s="370"/>
      <c r="L1529" s="370"/>
      <c r="P1529" s="208"/>
      <c r="Q1529" s="370"/>
      <c r="R1529" s="370"/>
    </row>
    <row r="1530">
      <c r="B1530" s="670"/>
      <c r="C1530" s="609"/>
      <c r="D1530" s="609"/>
      <c r="E1530" s="671"/>
      <c r="F1530" s="672"/>
      <c r="K1530" s="370"/>
      <c r="L1530" s="370"/>
      <c r="P1530" s="208"/>
      <c r="Q1530" s="370"/>
      <c r="R1530" s="370"/>
    </row>
    <row r="1531">
      <c r="B1531" s="670"/>
      <c r="C1531" s="609"/>
      <c r="D1531" s="609"/>
      <c r="E1531" s="671"/>
      <c r="F1531" s="672"/>
      <c r="K1531" s="370"/>
      <c r="L1531" s="370"/>
      <c r="P1531" s="208"/>
      <c r="Q1531" s="370"/>
      <c r="R1531" s="370"/>
    </row>
    <row r="1532">
      <c r="B1532" s="670"/>
      <c r="C1532" s="609"/>
      <c r="D1532" s="609"/>
      <c r="E1532" s="671"/>
      <c r="F1532" s="672"/>
      <c r="K1532" s="370"/>
      <c r="L1532" s="370"/>
      <c r="P1532" s="208"/>
      <c r="Q1532" s="370"/>
      <c r="R1532" s="370"/>
    </row>
    <row r="1533">
      <c r="B1533" s="670"/>
      <c r="C1533" s="609"/>
      <c r="D1533" s="609"/>
      <c r="E1533" s="671"/>
      <c r="F1533" s="672"/>
      <c r="K1533" s="370"/>
      <c r="L1533" s="370"/>
      <c r="P1533" s="208"/>
      <c r="Q1533" s="370"/>
      <c r="R1533" s="370"/>
    </row>
    <row r="1534">
      <c r="B1534" s="670"/>
      <c r="C1534" s="609"/>
      <c r="D1534" s="609"/>
      <c r="E1534" s="671"/>
      <c r="F1534" s="672"/>
      <c r="K1534" s="370"/>
      <c r="L1534" s="370"/>
      <c r="P1534" s="208"/>
      <c r="Q1534" s="370"/>
      <c r="R1534" s="370"/>
    </row>
    <row r="1535">
      <c r="B1535" s="670"/>
      <c r="C1535" s="609"/>
      <c r="D1535" s="609"/>
      <c r="E1535" s="671"/>
      <c r="F1535" s="672"/>
      <c r="K1535" s="370"/>
      <c r="L1535" s="370"/>
      <c r="P1535" s="208"/>
      <c r="Q1535" s="370"/>
      <c r="R1535" s="370"/>
    </row>
    <row r="1536">
      <c r="B1536" s="670"/>
      <c r="C1536" s="609"/>
      <c r="D1536" s="609"/>
      <c r="E1536" s="671"/>
      <c r="F1536" s="672"/>
      <c r="K1536" s="370"/>
      <c r="L1536" s="370"/>
      <c r="P1536" s="208"/>
      <c r="Q1536" s="370"/>
      <c r="R1536" s="370"/>
    </row>
    <row r="1537">
      <c r="B1537" s="670"/>
      <c r="C1537" s="609"/>
      <c r="D1537" s="609"/>
      <c r="E1537" s="671"/>
      <c r="F1537" s="672"/>
      <c r="K1537" s="370"/>
      <c r="L1537" s="370"/>
      <c r="P1537" s="208"/>
      <c r="Q1537" s="370"/>
      <c r="R1537" s="370"/>
    </row>
    <row r="1538">
      <c r="B1538" s="670"/>
      <c r="C1538" s="609"/>
      <c r="D1538" s="609"/>
      <c r="E1538" s="671"/>
      <c r="F1538" s="672"/>
      <c r="K1538" s="370"/>
      <c r="L1538" s="370"/>
      <c r="P1538" s="208"/>
      <c r="Q1538" s="370"/>
      <c r="R1538" s="370"/>
    </row>
    <row r="1539">
      <c r="B1539" s="670"/>
      <c r="C1539" s="609"/>
      <c r="D1539" s="609"/>
      <c r="E1539" s="671"/>
      <c r="F1539" s="672"/>
      <c r="K1539" s="370"/>
      <c r="L1539" s="370"/>
      <c r="P1539" s="208"/>
      <c r="Q1539" s="370"/>
      <c r="R1539" s="370"/>
    </row>
    <row r="1540">
      <c r="B1540" s="670"/>
      <c r="C1540" s="609"/>
      <c r="D1540" s="609"/>
      <c r="E1540" s="671"/>
      <c r="F1540" s="672"/>
      <c r="K1540" s="370"/>
      <c r="L1540" s="370"/>
      <c r="P1540" s="208"/>
      <c r="Q1540" s="370"/>
      <c r="R1540" s="370"/>
    </row>
    <row r="1541">
      <c r="B1541" s="670"/>
      <c r="C1541" s="609"/>
      <c r="D1541" s="609"/>
      <c r="E1541" s="671"/>
      <c r="F1541" s="672"/>
      <c r="K1541" s="370"/>
      <c r="L1541" s="370"/>
      <c r="P1541" s="208"/>
      <c r="Q1541" s="370"/>
      <c r="R1541" s="370"/>
    </row>
    <row r="1542">
      <c r="B1542" s="670"/>
      <c r="C1542" s="609"/>
      <c r="D1542" s="609"/>
      <c r="E1542" s="671"/>
      <c r="F1542" s="672"/>
      <c r="K1542" s="370"/>
      <c r="L1542" s="370"/>
      <c r="P1542" s="208"/>
      <c r="Q1542" s="370"/>
      <c r="R1542" s="370"/>
    </row>
    <row r="1543">
      <c r="B1543" s="670"/>
      <c r="C1543" s="609"/>
      <c r="D1543" s="609"/>
      <c r="E1543" s="671"/>
      <c r="F1543" s="672"/>
      <c r="K1543" s="370"/>
      <c r="L1543" s="370"/>
      <c r="P1543" s="208"/>
      <c r="Q1543" s="370"/>
      <c r="R1543" s="370"/>
    </row>
    <row r="1544">
      <c r="B1544" s="670"/>
      <c r="C1544" s="609"/>
      <c r="D1544" s="609"/>
      <c r="E1544" s="671"/>
      <c r="F1544" s="672"/>
      <c r="K1544" s="370"/>
      <c r="L1544" s="370"/>
      <c r="P1544" s="208"/>
      <c r="Q1544" s="370"/>
      <c r="R1544" s="370"/>
    </row>
    <row r="1545">
      <c r="B1545" s="670"/>
      <c r="C1545" s="609"/>
      <c r="D1545" s="609"/>
      <c r="E1545" s="671"/>
      <c r="F1545" s="672"/>
      <c r="K1545" s="370"/>
      <c r="L1545" s="370"/>
      <c r="P1545" s="208"/>
      <c r="Q1545" s="370"/>
      <c r="R1545" s="370"/>
    </row>
    <row r="1546">
      <c r="B1546" s="670"/>
      <c r="C1546" s="609"/>
      <c r="D1546" s="609"/>
      <c r="E1546" s="671"/>
      <c r="F1546" s="672"/>
      <c r="K1546" s="370"/>
      <c r="L1546" s="370"/>
      <c r="P1546" s="208"/>
      <c r="Q1546" s="370"/>
      <c r="R1546" s="370"/>
    </row>
    <row r="1547">
      <c r="B1547" s="670"/>
      <c r="C1547" s="609"/>
      <c r="D1547" s="609"/>
      <c r="E1547" s="671"/>
      <c r="F1547" s="672"/>
      <c r="K1547" s="370"/>
      <c r="L1547" s="370"/>
      <c r="P1547" s="208"/>
      <c r="Q1547" s="370"/>
      <c r="R1547" s="370"/>
    </row>
    <row r="1548">
      <c r="B1548" s="670"/>
      <c r="C1548" s="609"/>
      <c r="D1548" s="609"/>
      <c r="E1548" s="671"/>
      <c r="F1548" s="672"/>
      <c r="K1548" s="370"/>
      <c r="L1548" s="370"/>
      <c r="P1548" s="208"/>
      <c r="Q1548" s="370"/>
      <c r="R1548" s="370"/>
    </row>
    <row r="1549">
      <c r="B1549" s="670"/>
      <c r="C1549" s="609"/>
      <c r="D1549" s="609"/>
      <c r="E1549" s="671"/>
      <c r="F1549" s="672"/>
      <c r="K1549" s="370"/>
      <c r="L1549" s="370"/>
      <c r="P1549" s="208"/>
      <c r="Q1549" s="370"/>
      <c r="R1549" s="370"/>
    </row>
    <row r="1550">
      <c r="B1550" s="670"/>
      <c r="C1550" s="609"/>
      <c r="D1550" s="609"/>
      <c r="E1550" s="671"/>
      <c r="F1550" s="672"/>
      <c r="K1550" s="370"/>
      <c r="L1550" s="370"/>
      <c r="P1550" s="208"/>
      <c r="Q1550" s="370"/>
      <c r="R1550" s="370"/>
    </row>
    <row r="1551">
      <c r="B1551" s="670"/>
      <c r="C1551" s="609"/>
      <c r="D1551" s="609"/>
      <c r="E1551" s="671"/>
      <c r="F1551" s="672"/>
      <c r="K1551" s="370"/>
      <c r="L1551" s="370"/>
      <c r="P1551" s="208"/>
      <c r="Q1551" s="370"/>
      <c r="R1551" s="370"/>
    </row>
    <row r="1552">
      <c r="B1552" s="670"/>
      <c r="C1552" s="609"/>
      <c r="D1552" s="609"/>
      <c r="E1552" s="671"/>
      <c r="F1552" s="672"/>
      <c r="K1552" s="370"/>
      <c r="L1552" s="370"/>
      <c r="P1552" s="208"/>
      <c r="Q1552" s="370"/>
      <c r="R1552" s="370"/>
    </row>
    <row r="1553">
      <c r="B1553" s="670"/>
      <c r="C1553" s="609"/>
      <c r="D1553" s="609"/>
      <c r="E1553" s="671"/>
      <c r="F1553" s="672"/>
      <c r="K1553" s="370"/>
      <c r="L1553" s="370"/>
      <c r="P1553" s="208"/>
      <c r="Q1553" s="370"/>
      <c r="R1553" s="370"/>
    </row>
    <row r="1554">
      <c r="B1554" s="670"/>
      <c r="C1554" s="609"/>
      <c r="D1554" s="609"/>
      <c r="E1554" s="671"/>
      <c r="F1554" s="672"/>
      <c r="K1554" s="370"/>
      <c r="L1554" s="370"/>
      <c r="P1554" s="208"/>
      <c r="Q1554" s="370"/>
      <c r="R1554" s="370"/>
    </row>
    <row r="1555">
      <c r="B1555" s="670"/>
      <c r="C1555" s="609"/>
      <c r="D1555" s="609"/>
      <c r="E1555" s="671"/>
      <c r="F1555" s="672"/>
      <c r="K1555" s="370"/>
      <c r="L1555" s="370"/>
      <c r="P1555" s="208"/>
      <c r="Q1555" s="370"/>
      <c r="R1555" s="370"/>
    </row>
    <row r="1556">
      <c r="B1556" s="670"/>
      <c r="C1556" s="609"/>
      <c r="D1556" s="609"/>
      <c r="E1556" s="671"/>
      <c r="F1556" s="672"/>
      <c r="K1556" s="370"/>
      <c r="L1556" s="370"/>
      <c r="P1556" s="208"/>
      <c r="Q1556" s="370"/>
      <c r="R1556" s="370"/>
    </row>
    <row r="1557">
      <c r="B1557" s="670"/>
      <c r="C1557" s="609"/>
      <c r="D1557" s="609"/>
      <c r="E1557" s="671"/>
      <c r="F1557" s="672"/>
      <c r="K1557" s="370"/>
      <c r="L1557" s="370"/>
      <c r="P1557" s="208"/>
      <c r="Q1557" s="370"/>
      <c r="R1557" s="370"/>
    </row>
    <row r="1558">
      <c r="B1558" s="670"/>
      <c r="C1558" s="609"/>
      <c r="D1558" s="609"/>
      <c r="E1558" s="671"/>
      <c r="F1558" s="672"/>
      <c r="K1558" s="370"/>
      <c r="L1558" s="370"/>
      <c r="P1558" s="208"/>
      <c r="Q1558" s="370"/>
      <c r="R1558" s="370"/>
    </row>
    <row r="1559">
      <c r="B1559" s="670"/>
      <c r="C1559" s="609"/>
      <c r="D1559" s="609"/>
      <c r="E1559" s="671"/>
      <c r="F1559" s="672"/>
      <c r="K1559" s="370"/>
      <c r="L1559" s="370"/>
      <c r="P1559" s="208"/>
      <c r="Q1559" s="370"/>
      <c r="R1559" s="370"/>
    </row>
    <row r="1560">
      <c r="B1560" s="670"/>
      <c r="C1560" s="609"/>
      <c r="D1560" s="609"/>
      <c r="E1560" s="671"/>
      <c r="F1560" s="672"/>
      <c r="K1560" s="370"/>
      <c r="L1560" s="370"/>
      <c r="P1560" s="208"/>
      <c r="Q1560" s="370"/>
      <c r="R1560" s="370"/>
    </row>
    <row r="1561">
      <c r="B1561" s="670"/>
      <c r="C1561" s="609"/>
      <c r="D1561" s="609"/>
      <c r="E1561" s="671"/>
      <c r="F1561" s="672"/>
      <c r="K1561" s="370"/>
      <c r="L1561" s="370"/>
      <c r="P1561" s="208"/>
      <c r="Q1561" s="370"/>
      <c r="R1561" s="370"/>
    </row>
    <row r="1562">
      <c r="B1562" s="670"/>
      <c r="C1562" s="609"/>
      <c r="D1562" s="609"/>
      <c r="E1562" s="671"/>
      <c r="F1562" s="672"/>
      <c r="K1562" s="370"/>
      <c r="L1562" s="370"/>
      <c r="P1562" s="208"/>
      <c r="Q1562" s="370"/>
      <c r="R1562" s="370"/>
    </row>
    <row r="1563">
      <c r="B1563" s="670"/>
      <c r="C1563" s="609"/>
      <c r="D1563" s="609"/>
      <c r="E1563" s="671"/>
      <c r="F1563" s="672"/>
      <c r="K1563" s="370"/>
      <c r="L1563" s="370"/>
      <c r="P1563" s="208"/>
      <c r="Q1563" s="370"/>
      <c r="R1563" s="370"/>
    </row>
    <row r="1564">
      <c r="B1564" s="670"/>
      <c r="C1564" s="609"/>
      <c r="D1564" s="609"/>
      <c r="E1564" s="671"/>
      <c r="F1564" s="672"/>
      <c r="K1564" s="370"/>
      <c r="L1564" s="370"/>
      <c r="P1564" s="208"/>
      <c r="Q1564" s="370"/>
      <c r="R1564" s="370"/>
    </row>
    <row r="1565">
      <c r="B1565" s="670"/>
      <c r="C1565" s="609"/>
      <c r="D1565" s="609"/>
      <c r="E1565" s="671"/>
      <c r="F1565" s="672"/>
      <c r="K1565" s="370"/>
      <c r="L1565" s="370"/>
      <c r="P1565" s="208"/>
      <c r="Q1565" s="370"/>
      <c r="R1565" s="370"/>
    </row>
    <row r="1566">
      <c r="B1566" s="670"/>
      <c r="C1566" s="609"/>
      <c r="D1566" s="609"/>
      <c r="E1566" s="671"/>
      <c r="F1566" s="672"/>
      <c r="K1566" s="370"/>
      <c r="L1566" s="370"/>
      <c r="P1566" s="208"/>
      <c r="Q1566" s="370"/>
      <c r="R1566" s="370"/>
    </row>
    <row r="1567">
      <c r="B1567" s="670"/>
      <c r="C1567" s="609"/>
      <c r="D1567" s="609"/>
      <c r="E1567" s="671"/>
      <c r="F1567" s="672"/>
      <c r="K1567" s="370"/>
      <c r="L1567" s="370"/>
      <c r="P1567" s="208"/>
      <c r="Q1567" s="370"/>
      <c r="R1567" s="370"/>
    </row>
    <row r="1568">
      <c r="B1568" s="670"/>
      <c r="C1568" s="609"/>
      <c r="D1568" s="609"/>
      <c r="E1568" s="671"/>
      <c r="F1568" s="672"/>
      <c r="K1568" s="370"/>
      <c r="L1568" s="370"/>
      <c r="P1568" s="208"/>
      <c r="Q1568" s="370"/>
      <c r="R1568" s="370"/>
    </row>
    <row r="1569">
      <c r="B1569" s="670"/>
      <c r="C1569" s="609"/>
      <c r="D1569" s="609"/>
      <c r="E1569" s="671"/>
      <c r="F1569" s="672"/>
      <c r="K1569" s="370"/>
      <c r="L1569" s="370"/>
      <c r="P1569" s="208"/>
      <c r="Q1569" s="370"/>
      <c r="R1569" s="370"/>
    </row>
    <row r="1570">
      <c r="B1570" s="670"/>
      <c r="C1570" s="609"/>
      <c r="D1570" s="609"/>
      <c r="E1570" s="671"/>
      <c r="F1570" s="672"/>
      <c r="K1570" s="370"/>
      <c r="L1570" s="370"/>
      <c r="P1570" s="208"/>
      <c r="Q1570" s="370"/>
      <c r="R1570" s="370"/>
    </row>
    <row r="1571">
      <c r="B1571" s="670"/>
      <c r="C1571" s="609"/>
      <c r="D1571" s="609"/>
      <c r="E1571" s="671"/>
      <c r="F1571" s="672"/>
      <c r="K1571" s="370"/>
      <c r="L1571" s="370"/>
      <c r="P1571" s="208"/>
      <c r="Q1571" s="370"/>
      <c r="R1571" s="370"/>
    </row>
    <row r="1572">
      <c r="B1572" s="670"/>
      <c r="C1572" s="609"/>
      <c r="D1572" s="609"/>
      <c r="E1572" s="671"/>
      <c r="F1572" s="672"/>
      <c r="K1572" s="370"/>
      <c r="L1572" s="370"/>
      <c r="P1572" s="208"/>
      <c r="Q1572" s="370"/>
      <c r="R1572" s="370"/>
    </row>
    <row r="1573">
      <c r="B1573" s="670"/>
      <c r="C1573" s="609"/>
      <c r="D1573" s="609"/>
      <c r="E1573" s="671"/>
      <c r="F1573" s="672"/>
      <c r="K1573" s="370"/>
      <c r="L1573" s="370"/>
      <c r="P1573" s="208"/>
      <c r="Q1573" s="370"/>
      <c r="R1573" s="370"/>
    </row>
    <row r="1574">
      <c r="B1574" s="670"/>
      <c r="C1574" s="609"/>
      <c r="D1574" s="609"/>
      <c r="E1574" s="671"/>
      <c r="F1574" s="672"/>
      <c r="K1574" s="370"/>
      <c r="L1574" s="370"/>
      <c r="P1574" s="208"/>
      <c r="Q1574" s="370"/>
      <c r="R1574" s="370"/>
    </row>
    <row r="1575">
      <c r="B1575" s="670"/>
      <c r="C1575" s="609"/>
      <c r="D1575" s="609"/>
      <c r="E1575" s="671"/>
      <c r="F1575" s="672"/>
      <c r="K1575" s="370"/>
      <c r="L1575" s="370"/>
      <c r="P1575" s="208"/>
      <c r="Q1575" s="370"/>
      <c r="R1575" s="370"/>
    </row>
    <row r="1576">
      <c r="B1576" s="670"/>
      <c r="C1576" s="609"/>
      <c r="D1576" s="609"/>
      <c r="E1576" s="671"/>
      <c r="F1576" s="672"/>
      <c r="K1576" s="370"/>
      <c r="L1576" s="370"/>
      <c r="P1576" s="208"/>
      <c r="Q1576" s="370"/>
      <c r="R1576" s="370"/>
    </row>
    <row r="1577">
      <c r="B1577" s="670"/>
      <c r="C1577" s="609"/>
      <c r="D1577" s="609"/>
      <c r="E1577" s="671"/>
      <c r="F1577" s="672"/>
      <c r="K1577" s="370"/>
      <c r="L1577" s="370"/>
      <c r="P1577" s="208"/>
      <c r="Q1577" s="370"/>
      <c r="R1577" s="370"/>
    </row>
    <row r="1578">
      <c r="B1578" s="670"/>
      <c r="C1578" s="609"/>
      <c r="D1578" s="609"/>
      <c r="E1578" s="671"/>
      <c r="F1578" s="672"/>
      <c r="K1578" s="370"/>
      <c r="L1578" s="370"/>
      <c r="P1578" s="208"/>
      <c r="Q1578" s="370"/>
      <c r="R1578" s="370"/>
    </row>
    <row r="1579">
      <c r="B1579" s="670"/>
      <c r="C1579" s="609"/>
      <c r="D1579" s="609"/>
      <c r="E1579" s="671"/>
      <c r="F1579" s="672"/>
      <c r="K1579" s="370"/>
      <c r="L1579" s="370"/>
      <c r="P1579" s="208"/>
      <c r="Q1579" s="370"/>
      <c r="R1579" s="370"/>
    </row>
    <row r="1580">
      <c r="B1580" s="670"/>
      <c r="C1580" s="609"/>
      <c r="D1580" s="609"/>
      <c r="E1580" s="671"/>
      <c r="F1580" s="672"/>
      <c r="K1580" s="370"/>
      <c r="L1580" s="370"/>
      <c r="P1580" s="208"/>
      <c r="Q1580" s="370"/>
      <c r="R1580" s="370"/>
    </row>
    <row r="1581">
      <c r="B1581" s="670"/>
      <c r="C1581" s="609"/>
      <c r="D1581" s="609"/>
      <c r="E1581" s="671"/>
      <c r="F1581" s="672"/>
      <c r="K1581" s="370"/>
      <c r="L1581" s="370"/>
      <c r="P1581" s="208"/>
      <c r="Q1581" s="370"/>
      <c r="R1581" s="370"/>
    </row>
    <row r="1582">
      <c r="B1582" s="670"/>
      <c r="C1582" s="609"/>
      <c r="D1582" s="609"/>
      <c r="E1582" s="671"/>
      <c r="F1582" s="672"/>
      <c r="K1582" s="370"/>
      <c r="L1582" s="370"/>
      <c r="P1582" s="208"/>
      <c r="Q1582" s="370"/>
      <c r="R1582" s="370"/>
    </row>
    <row r="1583">
      <c r="B1583" s="670"/>
      <c r="C1583" s="609"/>
      <c r="D1583" s="609"/>
      <c r="E1583" s="671"/>
      <c r="F1583" s="672"/>
      <c r="K1583" s="370"/>
      <c r="L1583" s="370"/>
      <c r="P1583" s="208"/>
      <c r="Q1583" s="370"/>
      <c r="R1583" s="370"/>
    </row>
    <row r="1584">
      <c r="B1584" s="670"/>
      <c r="C1584" s="609"/>
      <c r="D1584" s="609"/>
      <c r="E1584" s="671"/>
      <c r="F1584" s="672"/>
      <c r="K1584" s="370"/>
      <c r="L1584" s="370"/>
      <c r="P1584" s="208"/>
      <c r="Q1584" s="370"/>
      <c r="R1584" s="370"/>
    </row>
    <row r="1585">
      <c r="B1585" s="670"/>
      <c r="C1585" s="609"/>
      <c r="D1585" s="609"/>
      <c r="E1585" s="671"/>
      <c r="F1585" s="672"/>
      <c r="K1585" s="370"/>
      <c r="L1585" s="370"/>
      <c r="P1585" s="208"/>
      <c r="Q1585" s="370"/>
      <c r="R1585" s="370"/>
    </row>
    <row r="1586">
      <c r="B1586" s="670"/>
      <c r="C1586" s="609"/>
      <c r="D1586" s="609"/>
      <c r="E1586" s="671"/>
      <c r="F1586" s="672"/>
      <c r="K1586" s="370"/>
      <c r="L1586" s="370"/>
      <c r="P1586" s="208"/>
      <c r="Q1586" s="370"/>
      <c r="R1586" s="370"/>
    </row>
    <row r="1587">
      <c r="B1587" s="670"/>
      <c r="C1587" s="609"/>
      <c r="D1587" s="609"/>
      <c r="E1587" s="671"/>
      <c r="F1587" s="672"/>
      <c r="K1587" s="370"/>
      <c r="L1587" s="370"/>
      <c r="P1587" s="208"/>
      <c r="Q1587" s="370"/>
      <c r="R1587" s="370"/>
    </row>
    <row r="1588">
      <c r="B1588" s="670"/>
      <c r="C1588" s="609"/>
      <c r="D1588" s="609"/>
      <c r="E1588" s="671"/>
      <c r="F1588" s="672"/>
      <c r="K1588" s="370"/>
      <c r="L1588" s="370"/>
      <c r="P1588" s="208"/>
      <c r="Q1588" s="370"/>
      <c r="R1588" s="370"/>
    </row>
    <row r="1589">
      <c r="B1589" s="670"/>
      <c r="C1589" s="609"/>
      <c r="D1589" s="609"/>
      <c r="E1589" s="671"/>
      <c r="F1589" s="672"/>
      <c r="K1589" s="370"/>
      <c r="L1589" s="370"/>
      <c r="P1589" s="208"/>
      <c r="Q1589" s="370"/>
      <c r="R1589" s="370"/>
    </row>
    <row r="1590">
      <c r="B1590" s="670"/>
      <c r="C1590" s="609"/>
      <c r="D1590" s="609"/>
      <c r="E1590" s="671"/>
      <c r="F1590" s="672"/>
      <c r="K1590" s="370"/>
      <c r="L1590" s="370"/>
      <c r="P1590" s="208"/>
      <c r="Q1590" s="370"/>
      <c r="R1590" s="370"/>
    </row>
    <row r="1591">
      <c r="B1591" s="670"/>
      <c r="C1591" s="609"/>
      <c r="D1591" s="609"/>
      <c r="E1591" s="671"/>
      <c r="F1591" s="672"/>
      <c r="K1591" s="370"/>
      <c r="L1591" s="370"/>
      <c r="P1591" s="208"/>
      <c r="Q1591" s="370"/>
      <c r="R1591" s="370"/>
    </row>
    <row r="1592">
      <c r="B1592" s="670"/>
      <c r="C1592" s="609"/>
      <c r="D1592" s="609"/>
      <c r="E1592" s="671"/>
      <c r="F1592" s="672"/>
      <c r="K1592" s="370"/>
      <c r="L1592" s="370"/>
      <c r="P1592" s="208"/>
      <c r="Q1592" s="370"/>
      <c r="R1592" s="370"/>
    </row>
    <row r="1593">
      <c r="B1593" s="670"/>
      <c r="C1593" s="609"/>
      <c r="D1593" s="609"/>
      <c r="E1593" s="671"/>
      <c r="F1593" s="672"/>
      <c r="K1593" s="370"/>
      <c r="L1593" s="370"/>
      <c r="P1593" s="208"/>
      <c r="Q1593" s="370"/>
      <c r="R1593" s="370"/>
    </row>
    <row r="1594">
      <c r="B1594" s="670"/>
      <c r="C1594" s="609"/>
      <c r="D1594" s="609"/>
      <c r="E1594" s="671"/>
      <c r="F1594" s="672"/>
      <c r="K1594" s="370"/>
      <c r="L1594" s="370"/>
      <c r="P1594" s="208"/>
      <c r="Q1594" s="370"/>
      <c r="R1594" s="370"/>
    </row>
    <row r="1595">
      <c r="B1595" s="670"/>
      <c r="C1595" s="609"/>
      <c r="D1595" s="609"/>
      <c r="E1595" s="671"/>
      <c r="F1595" s="672"/>
      <c r="K1595" s="370"/>
      <c r="L1595" s="370"/>
      <c r="P1595" s="208"/>
      <c r="Q1595" s="370"/>
      <c r="R1595" s="370"/>
    </row>
    <row r="1596">
      <c r="B1596" s="670"/>
      <c r="C1596" s="609"/>
      <c r="D1596" s="609"/>
      <c r="E1596" s="671"/>
      <c r="F1596" s="672"/>
      <c r="K1596" s="370"/>
      <c r="L1596" s="370"/>
      <c r="P1596" s="208"/>
      <c r="Q1596" s="370"/>
      <c r="R1596" s="370"/>
    </row>
    <row r="1597">
      <c r="B1597" s="670"/>
      <c r="C1597" s="609"/>
      <c r="D1597" s="609"/>
      <c r="E1597" s="671"/>
      <c r="F1597" s="672"/>
      <c r="K1597" s="370"/>
      <c r="L1597" s="370"/>
      <c r="P1597" s="208"/>
      <c r="Q1597" s="370"/>
      <c r="R1597" s="370"/>
    </row>
    <row r="1598">
      <c r="B1598" s="670"/>
      <c r="C1598" s="609"/>
      <c r="D1598" s="609"/>
      <c r="E1598" s="671"/>
      <c r="F1598" s="672"/>
      <c r="K1598" s="370"/>
      <c r="L1598" s="370"/>
      <c r="P1598" s="208"/>
      <c r="Q1598" s="370"/>
      <c r="R1598" s="370"/>
    </row>
    <row r="1599">
      <c r="B1599" s="670"/>
      <c r="C1599" s="609"/>
      <c r="D1599" s="609"/>
      <c r="E1599" s="671"/>
      <c r="F1599" s="672"/>
      <c r="K1599" s="370"/>
      <c r="L1599" s="370"/>
      <c r="P1599" s="208"/>
      <c r="Q1599" s="370"/>
      <c r="R1599" s="370"/>
    </row>
    <row r="1600">
      <c r="B1600" s="670"/>
      <c r="C1600" s="609"/>
      <c r="D1600" s="609"/>
      <c r="E1600" s="671"/>
      <c r="F1600" s="672"/>
      <c r="K1600" s="370"/>
      <c r="L1600" s="370"/>
      <c r="P1600" s="208"/>
      <c r="Q1600" s="370"/>
      <c r="R1600" s="370"/>
    </row>
    <row r="1601">
      <c r="B1601" s="670"/>
      <c r="C1601" s="609"/>
      <c r="D1601" s="609"/>
      <c r="E1601" s="671"/>
      <c r="F1601" s="672"/>
      <c r="K1601" s="370"/>
      <c r="L1601" s="370"/>
      <c r="P1601" s="208"/>
      <c r="Q1601" s="370"/>
      <c r="R1601" s="370"/>
    </row>
    <row r="1602">
      <c r="B1602" s="670"/>
      <c r="C1602" s="609"/>
      <c r="D1602" s="609"/>
      <c r="E1602" s="671"/>
      <c r="F1602" s="672"/>
      <c r="K1602" s="370"/>
      <c r="L1602" s="370"/>
      <c r="P1602" s="208"/>
      <c r="Q1602" s="370"/>
      <c r="R1602" s="370"/>
    </row>
    <row r="1603">
      <c r="B1603" s="670"/>
      <c r="C1603" s="609"/>
      <c r="D1603" s="609"/>
      <c r="E1603" s="671"/>
      <c r="F1603" s="672"/>
      <c r="K1603" s="370"/>
      <c r="L1603" s="370"/>
      <c r="P1603" s="208"/>
      <c r="Q1603" s="370"/>
      <c r="R1603" s="370"/>
    </row>
    <row r="1604">
      <c r="B1604" s="670"/>
      <c r="C1604" s="609"/>
      <c r="D1604" s="609"/>
      <c r="E1604" s="671"/>
      <c r="F1604" s="672"/>
      <c r="K1604" s="370"/>
      <c r="L1604" s="370"/>
      <c r="P1604" s="208"/>
      <c r="Q1604" s="370"/>
      <c r="R1604" s="370"/>
    </row>
    <row r="1605">
      <c r="B1605" s="670"/>
      <c r="C1605" s="609"/>
      <c r="D1605" s="609"/>
      <c r="E1605" s="671"/>
      <c r="F1605" s="672"/>
      <c r="K1605" s="370"/>
      <c r="L1605" s="370"/>
      <c r="P1605" s="208"/>
      <c r="Q1605" s="370"/>
      <c r="R1605" s="370"/>
    </row>
    <row r="1606">
      <c r="B1606" s="670"/>
      <c r="C1606" s="609"/>
      <c r="D1606" s="609"/>
      <c r="E1606" s="671"/>
      <c r="F1606" s="672"/>
      <c r="K1606" s="370"/>
      <c r="L1606" s="370"/>
      <c r="P1606" s="208"/>
      <c r="Q1606" s="370"/>
      <c r="R1606" s="370"/>
    </row>
    <row r="1607">
      <c r="B1607" s="670"/>
      <c r="C1607" s="609"/>
      <c r="D1607" s="609"/>
      <c r="E1607" s="671"/>
      <c r="F1607" s="672"/>
      <c r="K1607" s="370"/>
      <c r="L1607" s="370"/>
      <c r="P1607" s="208"/>
      <c r="Q1607" s="370"/>
      <c r="R1607" s="370"/>
    </row>
    <row r="1608">
      <c r="B1608" s="670"/>
      <c r="C1608" s="609"/>
      <c r="D1608" s="609"/>
      <c r="E1608" s="671"/>
      <c r="F1608" s="672"/>
      <c r="K1608" s="370"/>
      <c r="L1608" s="370"/>
      <c r="P1608" s="208"/>
      <c r="Q1608" s="370"/>
      <c r="R1608" s="370"/>
    </row>
    <row r="1609">
      <c r="B1609" s="670"/>
      <c r="C1609" s="609"/>
      <c r="D1609" s="609"/>
      <c r="E1609" s="671"/>
      <c r="F1609" s="672"/>
      <c r="K1609" s="370"/>
      <c r="L1609" s="370"/>
      <c r="P1609" s="208"/>
      <c r="Q1609" s="370"/>
      <c r="R1609" s="370"/>
    </row>
    <row r="1610">
      <c r="B1610" s="670"/>
      <c r="C1610" s="609"/>
      <c r="D1610" s="609"/>
      <c r="E1610" s="671"/>
      <c r="F1610" s="672"/>
      <c r="K1610" s="370"/>
      <c r="L1610" s="370"/>
      <c r="P1610" s="208"/>
      <c r="Q1610" s="370"/>
      <c r="R1610" s="370"/>
    </row>
    <row r="1611">
      <c r="B1611" s="670"/>
      <c r="C1611" s="609"/>
      <c r="D1611" s="609"/>
      <c r="E1611" s="671"/>
      <c r="F1611" s="672"/>
      <c r="K1611" s="370"/>
      <c r="L1611" s="370"/>
      <c r="P1611" s="208"/>
      <c r="Q1611" s="370"/>
      <c r="R1611" s="370"/>
    </row>
    <row r="1612">
      <c r="B1612" s="670"/>
      <c r="C1612" s="609"/>
      <c r="D1612" s="609"/>
      <c r="E1612" s="671"/>
      <c r="F1612" s="672"/>
      <c r="K1612" s="370"/>
      <c r="L1612" s="370"/>
      <c r="P1612" s="208"/>
      <c r="Q1612" s="370"/>
      <c r="R1612" s="370"/>
    </row>
    <row r="1613">
      <c r="B1613" s="670"/>
      <c r="C1613" s="609"/>
      <c r="D1613" s="609"/>
      <c r="E1613" s="671"/>
      <c r="F1613" s="672"/>
      <c r="K1613" s="370"/>
      <c r="L1613" s="370"/>
      <c r="P1613" s="208"/>
      <c r="Q1613" s="370"/>
      <c r="R1613" s="370"/>
    </row>
    <row r="1614">
      <c r="B1614" s="670"/>
      <c r="C1614" s="609"/>
      <c r="D1614" s="609"/>
      <c r="E1614" s="671"/>
      <c r="F1614" s="672"/>
      <c r="K1614" s="370"/>
      <c r="L1614" s="370"/>
      <c r="P1614" s="208"/>
      <c r="Q1614" s="370"/>
      <c r="R1614" s="370"/>
    </row>
    <row r="1615">
      <c r="B1615" s="670"/>
      <c r="C1615" s="609"/>
      <c r="D1615" s="609"/>
      <c r="E1615" s="671"/>
      <c r="F1615" s="672"/>
      <c r="K1615" s="370"/>
      <c r="L1615" s="370"/>
      <c r="P1615" s="208"/>
      <c r="Q1615" s="370"/>
      <c r="R1615" s="370"/>
    </row>
    <row r="1616">
      <c r="B1616" s="670"/>
      <c r="C1616" s="609"/>
      <c r="D1616" s="609"/>
      <c r="E1616" s="671"/>
      <c r="F1616" s="672"/>
      <c r="K1616" s="370"/>
      <c r="L1616" s="370"/>
      <c r="P1616" s="208"/>
      <c r="Q1616" s="370"/>
      <c r="R1616" s="370"/>
    </row>
    <row r="1617">
      <c r="B1617" s="670"/>
      <c r="C1617" s="609"/>
      <c r="D1617" s="609"/>
      <c r="E1617" s="671"/>
      <c r="F1617" s="672"/>
      <c r="K1617" s="370"/>
      <c r="L1617" s="370"/>
      <c r="P1617" s="208"/>
      <c r="Q1617" s="370"/>
      <c r="R1617" s="370"/>
    </row>
    <row r="1618">
      <c r="B1618" s="670"/>
      <c r="C1618" s="609"/>
      <c r="D1618" s="609"/>
      <c r="E1618" s="671"/>
      <c r="F1618" s="672"/>
      <c r="K1618" s="370"/>
      <c r="L1618" s="370"/>
      <c r="P1618" s="208"/>
      <c r="Q1618" s="370"/>
      <c r="R1618" s="370"/>
    </row>
    <row r="1619">
      <c r="B1619" s="670"/>
      <c r="C1619" s="609"/>
      <c r="D1619" s="609"/>
      <c r="E1619" s="671"/>
      <c r="F1619" s="672"/>
      <c r="K1619" s="370"/>
      <c r="L1619" s="370"/>
      <c r="P1619" s="208"/>
      <c r="Q1619" s="370"/>
      <c r="R1619" s="370"/>
    </row>
    <row r="1620">
      <c r="B1620" s="670"/>
      <c r="C1620" s="609"/>
      <c r="D1620" s="609"/>
      <c r="E1620" s="671"/>
      <c r="F1620" s="672"/>
      <c r="K1620" s="370"/>
      <c r="L1620" s="370"/>
      <c r="P1620" s="208"/>
      <c r="Q1620" s="370"/>
      <c r="R1620" s="370"/>
    </row>
    <row r="1621">
      <c r="B1621" s="670"/>
      <c r="C1621" s="609"/>
      <c r="D1621" s="609"/>
      <c r="E1621" s="671"/>
      <c r="F1621" s="672"/>
      <c r="K1621" s="370"/>
      <c r="L1621" s="370"/>
      <c r="P1621" s="208"/>
      <c r="Q1621" s="370"/>
      <c r="R1621" s="370"/>
    </row>
    <row r="1622">
      <c r="B1622" s="670"/>
      <c r="C1622" s="609"/>
      <c r="D1622" s="609"/>
      <c r="E1622" s="671"/>
      <c r="F1622" s="672"/>
      <c r="K1622" s="370"/>
      <c r="L1622" s="370"/>
      <c r="P1622" s="208"/>
      <c r="Q1622" s="370"/>
      <c r="R1622" s="370"/>
    </row>
    <row r="1623">
      <c r="B1623" s="670"/>
      <c r="C1623" s="609"/>
      <c r="D1623" s="609"/>
      <c r="E1623" s="671"/>
      <c r="F1623" s="672"/>
      <c r="K1623" s="370"/>
      <c r="L1623" s="370"/>
      <c r="P1623" s="208"/>
      <c r="Q1623" s="370"/>
      <c r="R1623" s="370"/>
    </row>
    <row r="1624">
      <c r="B1624" s="670"/>
      <c r="C1624" s="609"/>
      <c r="D1624" s="609"/>
      <c r="E1624" s="671"/>
      <c r="F1624" s="672"/>
      <c r="K1624" s="370"/>
      <c r="L1624" s="370"/>
      <c r="P1624" s="208"/>
      <c r="Q1624" s="370"/>
      <c r="R1624" s="370"/>
    </row>
    <row r="1625">
      <c r="B1625" s="670"/>
      <c r="C1625" s="609"/>
      <c r="D1625" s="609"/>
      <c r="E1625" s="671"/>
      <c r="F1625" s="672"/>
      <c r="K1625" s="370"/>
      <c r="L1625" s="370"/>
      <c r="P1625" s="208"/>
      <c r="Q1625" s="370"/>
      <c r="R1625" s="370"/>
    </row>
    <row r="1626">
      <c r="B1626" s="670"/>
      <c r="C1626" s="609"/>
      <c r="D1626" s="609"/>
      <c r="E1626" s="671"/>
      <c r="F1626" s="672"/>
      <c r="K1626" s="370"/>
      <c r="L1626" s="370"/>
      <c r="P1626" s="208"/>
      <c r="Q1626" s="370"/>
      <c r="R1626" s="370"/>
    </row>
    <row r="1627">
      <c r="B1627" s="670"/>
      <c r="C1627" s="609"/>
      <c r="D1627" s="609"/>
      <c r="E1627" s="671"/>
      <c r="F1627" s="672"/>
      <c r="K1627" s="370"/>
      <c r="L1627" s="370"/>
      <c r="P1627" s="208"/>
      <c r="Q1627" s="370"/>
      <c r="R1627" s="370"/>
    </row>
    <row r="1628">
      <c r="B1628" s="670"/>
      <c r="C1628" s="609"/>
      <c r="D1628" s="609"/>
      <c r="E1628" s="671"/>
      <c r="F1628" s="672"/>
      <c r="K1628" s="370"/>
      <c r="L1628" s="370"/>
      <c r="P1628" s="208"/>
      <c r="Q1628" s="370"/>
      <c r="R1628" s="370"/>
    </row>
    <row r="1629">
      <c r="B1629" s="670"/>
      <c r="C1629" s="609"/>
      <c r="D1629" s="609"/>
      <c r="E1629" s="671"/>
      <c r="F1629" s="672"/>
      <c r="K1629" s="370"/>
      <c r="L1629" s="370"/>
      <c r="P1629" s="208"/>
      <c r="Q1629" s="370"/>
      <c r="R1629" s="370"/>
    </row>
    <row r="1630">
      <c r="B1630" s="670"/>
      <c r="C1630" s="609"/>
      <c r="D1630" s="609"/>
      <c r="E1630" s="671"/>
      <c r="F1630" s="672"/>
      <c r="K1630" s="370"/>
      <c r="L1630" s="370"/>
      <c r="P1630" s="208"/>
      <c r="Q1630" s="370"/>
      <c r="R1630" s="370"/>
    </row>
    <row r="1631">
      <c r="B1631" s="670"/>
      <c r="C1631" s="609"/>
      <c r="D1631" s="609"/>
      <c r="E1631" s="671"/>
      <c r="F1631" s="672"/>
      <c r="K1631" s="370"/>
      <c r="L1631" s="370"/>
      <c r="P1631" s="208"/>
      <c r="Q1631" s="370"/>
      <c r="R1631" s="370"/>
    </row>
    <row r="1632">
      <c r="B1632" s="670"/>
      <c r="C1632" s="609"/>
      <c r="D1632" s="609"/>
      <c r="E1632" s="671"/>
      <c r="F1632" s="672"/>
      <c r="K1632" s="370"/>
      <c r="L1632" s="370"/>
      <c r="P1632" s="208"/>
      <c r="Q1632" s="370"/>
      <c r="R1632" s="370"/>
    </row>
    <row r="1633">
      <c r="B1633" s="670"/>
      <c r="C1633" s="609"/>
      <c r="D1633" s="609"/>
      <c r="E1633" s="671"/>
      <c r="F1633" s="672"/>
      <c r="K1633" s="370"/>
      <c r="L1633" s="370"/>
      <c r="P1633" s="208"/>
      <c r="Q1633" s="370"/>
      <c r="R1633" s="370"/>
    </row>
    <row r="1634">
      <c r="B1634" s="670"/>
      <c r="C1634" s="609"/>
      <c r="D1634" s="609"/>
      <c r="E1634" s="671"/>
      <c r="F1634" s="672"/>
      <c r="K1634" s="370"/>
      <c r="L1634" s="370"/>
      <c r="P1634" s="208"/>
      <c r="Q1634" s="370"/>
      <c r="R1634" s="370"/>
    </row>
    <row r="1635">
      <c r="B1635" s="670"/>
      <c r="C1635" s="609"/>
      <c r="D1635" s="609"/>
      <c r="E1635" s="671"/>
      <c r="F1635" s="672"/>
      <c r="K1635" s="370"/>
      <c r="L1635" s="370"/>
      <c r="P1635" s="208"/>
      <c r="Q1635" s="370"/>
      <c r="R1635" s="370"/>
    </row>
    <row r="1636">
      <c r="B1636" s="670"/>
      <c r="C1636" s="609"/>
      <c r="D1636" s="609"/>
      <c r="E1636" s="671"/>
      <c r="F1636" s="672"/>
      <c r="K1636" s="370"/>
      <c r="L1636" s="370"/>
      <c r="P1636" s="208"/>
      <c r="Q1636" s="370"/>
      <c r="R1636" s="370"/>
    </row>
    <row r="1637">
      <c r="B1637" s="670"/>
      <c r="C1637" s="609"/>
      <c r="D1637" s="609"/>
      <c r="E1637" s="671"/>
      <c r="F1637" s="672"/>
      <c r="K1637" s="370"/>
      <c r="L1637" s="370"/>
      <c r="P1637" s="208"/>
      <c r="Q1637" s="370"/>
      <c r="R1637" s="370"/>
    </row>
    <row r="1638">
      <c r="B1638" s="670"/>
      <c r="C1638" s="609"/>
      <c r="D1638" s="609"/>
      <c r="E1638" s="671"/>
      <c r="F1638" s="672"/>
      <c r="K1638" s="370"/>
      <c r="L1638" s="370"/>
      <c r="P1638" s="208"/>
      <c r="Q1638" s="370"/>
      <c r="R1638" s="370"/>
    </row>
    <row r="1639">
      <c r="B1639" s="670"/>
      <c r="C1639" s="609"/>
      <c r="D1639" s="609"/>
      <c r="E1639" s="671"/>
      <c r="F1639" s="672"/>
      <c r="K1639" s="370"/>
      <c r="L1639" s="370"/>
      <c r="P1639" s="208"/>
      <c r="Q1639" s="370"/>
      <c r="R1639" s="370"/>
    </row>
    <row r="1640">
      <c r="B1640" s="670"/>
      <c r="C1640" s="609"/>
      <c r="D1640" s="609"/>
      <c r="E1640" s="671"/>
      <c r="F1640" s="672"/>
      <c r="K1640" s="370"/>
      <c r="L1640" s="370"/>
      <c r="P1640" s="208"/>
      <c r="Q1640" s="370"/>
      <c r="R1640" s="370"/>
    </row>
    <row r="1641">
      <c r="B1641" s="670"/>
      <c r="C1641" s="609"/>
      <c r="D1641" s="609"/>
      <c r="E1641" s="671"/>
      <c r="F1641" s="672"/>
      <c r="K1641" s="370"/>
      <c r="L1641" s="370"/>
      <c r="P1641" s="208"/>
      <c r="Q1641" s="370"/>
      <c r="R1641" s="370"/>
    </row>
    <row r="1642">
      <c r="B1642" s="670"/>
      <c r="C1642" s="609"/>
      <c r="D1642" s="609"/>
      <c r="E1642" s="671"/>
      <c r="F1642" s="672"/>
      <c r="K1642" s="370"/>
      <c r="L1642" s="370"/>
      <c r="P1642" s="208"/>
      <c r="Q1642" s="370"/>
      <c r="R1642" s="370"/>
    </row>
    <row r="1643">
      <c r="B1643" s="670"/>
      <c r="C1643" s="609"/>
      <c r="D1643" s="609"/>
      <c r="E1643" s="671"/>
      <c r="F1643" s="672"/>
      <c r="K1643" s="370"/>
      <c r="L1643" s="370"/>
      <c r="P1643" s="208"/>
      <c r="Q1643" s="370"/>
      <c r="R1643" s="370"/>
    </row>
    <row r="1644">
      <c r="B1644" s="670"/>
      <c r="C1644" s="609"/>
      <c r="D1644" s="609"/>
      <c r="E1644" s="671"/>
      <c r="F1644" s="672"/>
      <c r="K1644" s="370"/>
      <c r="L1644" s="370"/>
      <c r="P1644" s="208"/>
      <c r="Q1644" s="370"/>
      <c r="R1644" s="370"/>
    </row>
  </sheetData>
  <mergeCells count="22">
    <mergeCell ref="B2:C2"/>
    <mergeCell ref="E2:F2"/>
    <mergeCell ref="J2:L2"/>
    <mergeCell ref="N2:O2"/>
    <mergeCell ref="P2:R2"/>
    <mergeCell ref="N11:O11"/>
    <mergeCell ref="P11:R11"/>
    <mergeCell ref="H25:I25"/>
    <mergeCell ref="J25:L25"/>
    <mergeCell ref="H30:I30"/>
    <mergeCell ref="J30:L30"/>
    <mergeCell ref="H43:I43"/>
    <mergeCell ref="J43:L43"/>
    <mergeCell ref="H51:I51"/>
    <mergeCell ref="J51:L51"/>
    <mergeCell ref="H2:I2"/>
    <mergeCell ref="H17:I17"/>
    <mergeCell ref="J17:L17"/>
    <mergeCell ref="N17:O17"/>
    <mergeCell ref="P17:R17"/>
    <mergeCell ref="N21:O21"/>
    <mergeCell ref="P21:R21"/>
  </mergeCell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outlinePr summaryBelow="0" summaryRight="0"/>
  </sheetPr>
  <sheetViews>
    <sheetView workbookViewId="0"/>
  </sheetViews>
  <sheetFormatPr customHeight="1" defaultColWidth="12.63" defaultRowHeight="15.75"/>
  <cols>
    <col customWidth="1" min="2" max="2" width="12.5"/>
    <col customWidth="1" min="3" max="3" width="12.25"/>
    <col customWidth="1" min="4" max="4" width="2.75"/>
    <col customWidth="1" min="5" max="5" width="24.0"/>
    <col customWidth="1" min="6" max="6" width="145.63"/>
    <col customWidth="1" min="7" max="9" width="22.63"/>
  </cols>
  <sheetData>
    <row r="1">
      <c r="A1" s="700" t="s">
        <v>7552</v>
      </c>
      <c r="C1" s="701" t="str">
        <f t="array" ref="C1:F205">{LIST_GROUP(A2);LIST_GROUP(A3);LIST_GROUP(A4);LIST_GROUP(A5);LIST_GROUP(A6);LIST_GROUP(A7);LIST_GROUP(A8);LIST_GROUP(A9);LIST_GROUP(A10);LIST_GROUP(A11);LIST_GROUP(A12);LIST_GROUP(A13);LIST_GROUP(A14);LIST_GROUP(A15);LIST_GROUP(A16);LIST_GROUP(A17);LIST_GROUP(A18);LIST_GROUP(A19);LIST_GROUP(A20);LIST_GROUP(A21);LIST_GROUP(A22);LIST_GROUP(A23);LIST_GROUP(A24);LIST_GROUP(A25);LIST_GROUP(A26);LIST_GROUP(A27);LIST_GROUP(A28);LIST_GROUP(A29);LIST_GROUP(A30);LIST_GROUP(A31);LIST_GROUP(A32);LIST_GROUP(A33);LIST_GROUP(A34);LIST_GROUP(A35);LIST_GROUP(A36);LIST_GROUP(A37);LIST_GROUP(A38);LIST_GROUP(A39);LIST_GROUP(A40);LIST_GROUP(A41);LIST_GROUP(A42);LIST_GROUP(A43);LIST_GROUP(A44);LIST_GROUP(A45);LIST_GROUP(A46);LIST_GROUP(A47);LIST_GROUP(A48);LIST_GROUP(A49);LIST_GROUP(A50);LIST_GROUP(A51);LIST_GROUP(A52);LIST_GROUP(A53);LIST_GROUP(A54);LIST_GROUP(A55);LIST_GROUP(A56);LIST_GROUP(A57);LIST_GROUP(A58);LIST_GROUP(A59);LIST_GROUP(A60);LIST_GROUP(A61);LIST_GROUP(A62);LIST_GROUP(A63);LIST_GROUP(A64);LIST_GROUP(A65);LIST_GROUP(A66);LIST_GROUP(A67);LIST_GROUP(A68);LIST_GROUP(A69);LIST_GROUP(A70);LIST_GROUP(A71);LIST_GROUP(A72);LIST_GROUP(A73);LIST_GROUP(A74);LIST_GROUP(A75);LIST_GROUP(A76);LIST_GROUP(A77);LIST_GROUP(A78);LIST_GROUP(A79);LIST_GROUP(A80);LIST_GROUP(A81);LIST_GROUP(A82);LIST_GROUP(A83);LIST_GROUP(A84);LIST_GROUP(A85);LIST_GROUP(A86);LIST_GROUP(A87);LIST_GROUP(A88);LIST_GROUP(A89);LIST_GROUP(A90);LIST_GROUP(A91);LIST_GROUP(A92);LIST_GROUP(A93);LIST_GROUP(A94);LIST_GROUP(A95);LIST_GROUP(A96);LIST_GROUP(A97);LIST_GROUP(A98);LIST_GROUP(A99)}</f>
        <v>Mob Misc.</v>
      </c>
      <c r="D1" s="51" t="s">
        <v>194</v>
      </c>
      <c r="E1" s="222" t="s">
        <v>7553</v>
      </c>
      <c r="F1" s="702" t="s">
        <v>182</v>
      </c>
      <c r="I1" s="208"/>
    </row>
    <row r="2">
      <c r="A2" s="369" t="str">
        <f>IFERROR(__xludf.DUMMYFUNCTION("FILTER(Planning!D3:D2989, Planning!E3:E2989=A1)"),"Mob Misc.")</f>
        <v>Mob Misc.</v>
      </c>
      <c r="C2" s="703" t="b">
        <v>0</v>
      </c>
      <c r="D2" s="51"/>
      <c r="E2" s="222" t="s">
        <v>1943</v>
      </c>
      <c r="F2" s="222" t="s">
        <v>7554</v>
      </c>
    </row>
    <row r="3">
      <c r="A3" s="51" t="str">
        <f>IFERROR(__xludf.DUMMYFUNCTION("""COMPUTED_VALUE"""),"Misc")</f>
        <v>Misc</v>
      </c>
      <c r="C3" s="703" t="b">
        <v>0</v>
      </c>
      <c r="D3" s="51"/>
      <c r="E3" s="222" t="s">
        <v>1966</v>
      </c>
      <c r="F3" s="702" t="s">
        <v>7555</v>
      </c>
    </row>
    <row r="4">
      <c r="A4" s="51" t="str">
        <f>IFERROR(__xludf.DUMMYFUNCTION("""COMPUTED_VALUE"""),"Name Tag")</f>
        <v>Name Tag</v>
      </c>
      <c r="C4" s="703" t="b">
        <v>0</v>
      </c>
      <c r="D4" s="51"/>
      <c r="E4" s="51" t="s">
        <v>2070</v>
      </c>
      <c r="F4" s="702" t="s">
        <v>7556</v>
      </c>
    </row>
    <row r="5">
      <c r="A5" s="51" t="str">
        <f>IFERROR(__xludf.DUMMYFUNCTION("""COMPUTED_VALUE"""),"Music")</f>
        <v>Music</v>
      </c>
      <c r="C5" s="704" t="b">
        <v>0</v>
      </c>
      <c r="D5" s="51"/>
      <c r="E5" s="222" t="s">
        <v>2075</v>
      </c>
      <c r="F5" s="702" t="s">
        <v>7557</v>
      </c>
    </row>
    <row r="6">
      <c r="A6" s="51" t="str">
        <f>IFERROR(__xludf.DUMMYFUNCTION("""COMPUTED_VALUE"""),"1 million")</f>
        <v>1 million</v>
      </c>
      <c r="C6" s="704" t="b">
        <v>0</v>
      </c>
      <c r="D6" s="51"/>
      <c r="E6" s="222" t="s">
        <v>2267</v>
      </c>
      <c r="F6" s="702" t="s">
        <v>7558</v>
      </c>
    </row>
    <row r="7">
      <c r="A7" s="51" t="str">
        <f>IFERROR(__xludf.DUMMYFUNCTION("""COMPUTED_VALUE"""),"Nether Mobs")</f>
        <v>Nether Mobs</v>
      </c>
      <c r="C7" s="703" t="b">
        <v>0</v>
      </c>
      <c r="D7" s="51"/>
      <c r="E7" s="222" t="s">
        <v>2271</v>
      </c>
      <c r="F7" s="702" t="s">
        <v>7559</v>
      </c>
    </row>
    <row r="8">
      <c r="A8" s="51" t="str">
        <f>IFERROR(__xludf.DUMMYFUNCTION("""COMPUTED_VALUE"""),"Allay")</f>
        <v>Allay</v>
      </c>
      <c r="C8" s="703" t="b">
        <v>0</v>
      </c>
      <c r="D8" s="51"/>
      <c r="E8" s="222" t="s">
        <v>2285</v>
      </c>
      <c r="F8" s="702" t="s">
        <v>2287</v>
      </c>
    </row>
    <row r="9">
      <c r="A9" s="51" t="str">
        <f>IFERROR(__xludf.DUMMYFUNCTION("""COMPUTED_VALUE"""),"Netherite")</f>
        <v>Netherite</v>
      </c>
      <c r="C9" s="703" t="b">
        <v>0</v>
      </c>
      <c r="D9" s="51"/>
      <c r="E9" s="222" t="s">
        <v>2289</v>
      </c>
      <c r="F9" s="702" t="s">
        <v>2290</v>
      </c>
    </row>
    <row r="10">
      <c r="A10" s="51" t="str">
        <f>IFERROR(__xludf.DUMMYFUNCTION("""COMPUTED_VALUE"""),"Riddle")</f>
        <v>Riddle</v>
      </c>
      <c r="C10" s="703" t="b">
        <v>0</v>
      </c>
      <c r="D10" s="51"/>
      <c r="E10" s="222" t="s">
        <v>2365</v>
      </c>
      <c r="F10" s="702" t="s">
        <v>7560</v>
      </c>
    </row>
    <row r="11">
      <c r="C11" s="703" t="b">
        <v>0</v>
      </c>
      <c r="D11" s="51"/>
      <c r="E11" s="222" t="s">
        <v>2397</v>
      </c>
      <c r="F11" s="702" t="s">
        <v>7561</v>
      </c>
    </row>
    <row r="12">
      <c r="C12" s="703" t="b">
        <v>0</v>
      </c>
      <c r="D12" s="51"/>
      <c r="E12" s="51" t="s">
        <v>2440</v>
      </c>
      <c r="F12" s="702" t="s">
        <v>7562</v>
      </c>
    </row>
    <row r="13">
      <c r="C13" s="703" t="b">
        <v>0</v>
      </c>
      <c r="D13" s="51"/>
      <c r="E13" s="222" t="s">
        <v>2605</v>
      </c>
      <c r="F13" s="702" t="s">
        <v>7563</v>
      </c>
    </row>
    <row r="14">
      <c r="C14" s="703" t="b">
        <v>0</v>
      </c>
      <c r="D14" s="51"/>
      <c r="E14" s="222" t="s">
        <v>2609</v>
      </c>
      <c r="F14" s="702" t="s">
        <v>7564</v>
      </c>
    </row>
    <row r="15">
      <c r="C15" s="703" t="b">
        <v>0</v>
      </c>
      <c r="D15" s="51"/>
      <c r="E15" s="222" t="s">
        <v>2613</v>
      </c>
      <c r="F15" s="702" t="s">
        <v>7565</v>
      </c>
    </row>
    <row r="16">
      <c r="C16" s="703" t="b">
        <v>0</v>
      </c>
      <c r="D16" s="51"/>
      <c r="E16" s="222" t="s">
        <v>2696</v>
      </c>
      <c r="F16" s="702" t="s">
        <v>7566</v>
      </c>
    </row>
    <row r="17">
      <c r="C17" s="703" t="b">
        <v>0</v>
      </c>
      <c r="D17" s="51"/>
      <c r="E17" s="222" t="s">
        <v>2704</v>
      </c>
      <c r="F17" s="702" t="s">
        <v>2705</v>
      </c>
    </row>
    <row r="18">
      <c r="C18" s="221" t="b">
        <v>0</v>
      </c>
      <c r="D18" s="51"/>
      <c r="E18" s="222" t="s">
        <v>2760</v>
      </c>
      <c r="F18" s="702" t="s">
        <v>7567</v>
      </c>
    </row>
    <row r="19">
      <c r="C19" s="703" t="b">
        <v>0</v>
      </c>
      <c r="D19" s="51"/>
      <c r="E19" s="222" t="s">
        <v>2766</v>
      </c>
      <c r="F19" s="702" t="s">
        <v>2768</v>
      </c>
    </row>
    <row r="20">
      <c r="C20" s="703" t="b">
        <v>0</v>
      </c>
      <c r="D20" s="51"/>
      <c r="E20" s="222" t="s">
        <v>2775</v>
      </c>
      <c r="F20" s="702" t="s">
        <v>7568</v>
      </c>
    </row>
    <row r="21">
      <c r="C21" s="703" t="b">
        <v>0</v>
      </c>
      <c r="D21" s="51"/>
      <c r="E21" s="222" t="s">
        <v>2793</v>
      </c>
      <c r="F21" s="702" t="s">
        <v>7569</v>
      </c>
    </row>
    <row r="22">
      <c r="C22" s="703" t="b">
        <v>0</v>
      </c>
      <c r="D22" s="51"/>
      <c r="E22" s="222" t="s">
        <v>3485</v>
      </c>
      <c r="F22" s="702" t="s">
        <v>7570</v>
      </c>
    </row>
    <row r="23">
      <c r="C23" s="703" t="b">
        <v>0</v>
      </c>
      <c r="D23" s="51"/>
      <c r="E23" s="222" t="s">
        <v>4179</v>
      </c>
      <c r="F23" s="702" t="s">
        <v>7571</v>
      </c>
    </row>
    <row r="24">
      <c r="C24" s="703" t="b">
        <v>0</v>
      </c>
      <c r="D24" s="51"/>
      <c r="E24" s="222" t="s">
        <v>4781</v>
      </c>
      <c r="F24" s="702" t="s">
        <v>4783</v>
      </c>
    </row>
    <row r="25">
      <c r="C25" s="703" t="b">
        <v>0</v>
      </c>
      <c r="D25" s="51"/>
      <c r="E25" s="222" t="s">
        <v>4822</v>
      </c>
      <c r="F25" s="702" t="s">
        <v>4823</v>
      </c>
    </row>
    <row r="26">
      <c r="C26" s="703" t="s">
        <v>194</v>
      </c>
      <c r="D26" s="51" t="s">
        <v>194</v>
      </c>
      <c r="E26" s="222" t="s">
        <v>194</v>
      </c>
      <c r="F26" s="702" t="s">
        <v>194</v>
      </c>
    </row>
    <row r="27">
      <c r="C27" s="703" t="s">
        <v>262</v>
      </c>
      <c r="D27" s="51" t="s">
        <v>194</v>
      </c>
      <c r="E27" s="222" t="s">
        <v>7553</v>
      </c>
      <c r="F27" s="702" t="s">
        <v>182</v>
      </c>
    </row>
    <row r="28">
      <c r="C28" s="703" t="b">
        <v>0</v>
      </c>
      <c r="D28" s="51"/>
      <c r="E28" s="222" t="s">
        <v>258</v>
      </c>
      <c r="F28" s="702" t="s">
        <v>259</v>
      </c>
    </row>
    <row r="29">
      <c r="C29" s="703" t="b">
        <v>0</v>
      </c>
      <c r="D29" s="51"/>
      <c r="E29" s="222" t="s">
        <v>329</v>
      </c>
      <c r="F29" s="702" t="s">
        <v>7572</v>
      </c>
    </row>
    <row r="30">
      <c r="C30" s="703" t="b">
        <v>0</v>
      </c>
      <c r="D30" s="51"/>
      <c r="E30" s="222" t="s">
        <v>335</v>
      </c>
      <c r="F30" s="702" t="s">
        <v>7573</v>
      </c>
    </row>
    <row r="31">
      <c r="C31" s="703" t="b">
        <v>0</v>
      </c>
      <c r="D31" s="51"/>
      <c r="E31" s="222" t="s">
        <v>913</v>
      </c>
      <c r="F31" s="702" t="s">
        <v>7574</v>
      </c>
    </row>
    <row r="32">
      <c r="C32" s="703" t="b">
        <v>0</v>
      </c>
      <c r="D32" s="51"/>
      <c r="E32" s="222" t="s">
        <v>918</v>
      </c>
      <c r="F32" s="702" t="s">
        <v>7575</v>
      </c>
    </row>
    <row r="33">
      <c r="C33" s="703" t="b">
        <v>0</v>
      </c>
      <c r="D33" s="51"/>
      <c r="E33" s="222" t="s">
        <v>1386</v>
      </c>
      <c r="F33" s="702" t="s">
        <v>7576</v>
      </c>
    </row>
    <row r="34">
      <c r="C34" s="703" t="b">
        <v>0</v>
      </c>
      <c r="D34" s="51"/>
      <c r="E34" s="222" t="s">
        <v>2207</v>
      </c>
      <c r="F34" s="702" t="s">
        <v>7577</v>
      </c>
    </row>
    <row r="35">
      <c r="C35" s="703" t="b">
        <v>0</v>
      </c>
      <c r="D35" s="51"/>
      <c r="E35" s="222" t="s">
        <v>2484</v>
      </c>
      <c r="F35" s="702" t="s">
        <v>7578</v>
      </c>
    </row>
    <row r="36">
      <c r="C36" s="703" t="b">
        <v>0</v>
      </c>
      <c r="D36" s="51"/>
      <c r="E36" s="222" t="s">
        <v>2496</v>
      </c>
      <c r="F36" s="702" t="s">
        <v>7579</v>
      </c>
    </row>
    <row r="37">
      <c r="C37" s="703" t="b">
        <v>0</v>
      </c>
      <c r="D37" s="51"/>
      <c r="E37" s="222" t="s">
        <v>2641</v>
      </c>
      <c r="F37" s="702" t="s">
        <v>2643</v>
      </c>
    </row>
    <row r="38">
      <c r="C38" s="703" t="b">
        <v>0</v>
      </c>
      <c r="D38" s="51"/>
      <c r="E38" s="222" t="s">
        <v>2650</v>
      </c>
      <c r="F38" s="702" t="s">
        <v>7580</v>
      </c>
    </row>
    <row r="39">
      <c r="C39" s="703" t="b">
        <v>0</v>
      </c>
      <c r="D39" s="51"/>
      <c r="E39" s="222" t="s">
        <v>2693</v>
      </c>
      <c r="F39" s="702" t="s">
        <v>2694</v>
      </c>
    </row>
    <row r="40">
      <c r="C40" s="703" t="b">
        <v>0</v>
      </c>
      <c r="D40" s="51"/>
      <c r="E40" s="222" t="s">
        <v>2746</v>
      </c>
      <c r="F40" s="702" t="s">
        <v>7581</v>
      </c>
    </row>
    <row r="41">
      <c r="C41" s="703" t="b">
        <v>0</v>
      </c>
      <c r="D41" s="51"/>
      <c r="E41" s="222" t="s">
        <v>2750</v>
      </c>
      <c r="F41" s="702" t="s">
        <v>7582</v>
      </c>
    </row>
    <row r="42">
      <c r="C42" s="703" t="b">
        <v>0</v>
      </c>
      <c r="D42" s="51"/>
      <c r="E42" s="222" t="s">
        <v>2805</v>
      </c>
      <c r="F42" s="702" t="s">
        <v>2806</v>
      </c>
    </row>
    <row r="43">
      <c r="C43" s="703" t="b">
        <v>0</v>
      </c>
      <c r="D43" s="51"/>
      <c r="E43" s="222" t="s">
        <v>2968</v>
      </c>
      <c r="F43" s="702" t="s">
        <v>2969</v>
      </c>
    </row>
    <row r="44">
      <c r="C44" s="703" t="b">
        <v>0</v>
      </c>
      <c r="D44" s="51"/>
      <c r="E44" s="222" t="s">
        <v>2972</v>
      </c>
      <c r="F44" s="702" t="s">
        <v>7583</v>
      </c>
    </row>
    <row r="45">
      <c r="C45" s="703" t="b">
        <v>0</v>
      </c>
      <c r="D45" s="51"/>
      <c r="E45" s="222" t="s">
        <v>3242</v>
      </c>
      <c r="F45" s="702" t="s">
        <v>3243</v>
      </c>
    </row>
    <row r="46">
      <c r="C46" s="703" t="b">
        <v>0</v>
      </c>
      <c r="D46" s="51"/>
      <c r="E46" s="222" t="s">
        <v>3306</v>
      </c>
      <c r="F46" s="702" t="s">
        <v>3307</v>
      </c>
    </row>
    <row r="47">
      <c r="C47" s="703" t="b">
        <v>0</v>
      </c>
      <c r="D47" s="51"/>
      <c r="E47" s="222" t="s">
        <v>3335</v>
      </c>
      <c r="F47" s="702" t="s">
        <v>7584</v>
      </c>
    </row>
    <row r="48">
      <c r="C48" s="703" t="b">
        <v>0</v>
      </c>
      <c r="D48" s="51"/>
      <c r="E48" s="222" t="s">
        <v>3482</v>
      </c>
      <c r="F48" s="702" t="s">
        <v>7585</v>
      </c>
    </row>
    <row r="49">
      <c r="C49" s="703" t="b">
        <v>0</v>
      </c>
      <c r="D49" s="51"/>
      <c r="E49" s="222" t="s">
        <v>3581</v>
      </c>
      <c r="F49" s="702" t="s">
        <v>3583</v>
      </c>
    </row>
    <row r="50">
      <c r="C50" s="703" t="b">
        <v>0</v>
      </c>
      <c r="D50" s="51"/>
      <c r="E50" s="222" t="s">
        <v>4223</v>
      </c>
      <c r="F50" s="702" t="s">
        <v>7586</v>
      </c>
    </row>
    <row r="51">
      <c r="C51" s="703" t="b">
        <v>0</v>
      </c>
      <c r="D51" s="51"/>
      <c r="E51" s="222" t="s">
        <v>4368</v>
      </c>
      <c r="F51" s="702" t="s">
        <v>7587</v>
      </c>
    </row>
    <row r="52">
      <c r="C52" s="703" t="b">
        <v>0</v>
      </c>
      <c r="D52" s="51"/>
      <c r="E52" s="222" t="s">
        <v>4373</v>
      </c>
      <c r="F52" s="702" t="s">
        <v>4374</v>
      </c>
    </row>
    <row r="53">
      <c r="C53" s="703" t="b">
        <v>0</v>
      </c>
      <c r="D53" s="51"/>
      <c r="E53" s="222" t="s">
        <v>4399</v>
      </c>
      <c r="F53" s="702" t="s">
        <v>7588</v>
      </c>
    </row>
    <row r="54">
      <c r="C54" s="703" t="b">
        <v>0</v>
      </c>
      <c r="D54" s="51"/>
      <c r="E54" s="222" t="s">
        <v>4460</v>
      </c>
      <c r="F54" s="702" t="s">
        <v>7589</v>
      </c>
    </row>
    <row r="55">
      <c r="C55" s="703" t="b">
        <v>0</v>
      </c>
      <c r="D55" s="51"/>
      <c r="E55" s="222" t="s">
        <v>4718</v>
      </c>
      <c r="F55" s="702" t="s">
        <v>7590</v>
      </c>
    </row>
    <row r="56">
      <c r="C56" s="703" t="b">
        <v>0</v>
      </c>
      <c r="D56" s="51"/>
      <c r="E56" s="222" t="s">
        <v>4736</v>
      </c>
      <c r="F56" s="702" t="s">
        <v>7591</v>
      </c>
    </row>
    <row r="57">
      <c r="C57" s="703" t="b">
        <v>0</v>
      </c>
      <c r="D57" s="51"/>
      <c r="E57" s="222" t="s">
        <v>4808</v>
      </c>
      <c r="F57" s="702" t="s">
        <v>7592</v>
      </c>
    </row>
    <row r="58">
      <c r="C58" s="703" t="b">
        <v>0</v>
      </c>
      <c r="D58" s="51"/>
      <c r="E58" s="222" t="s">
        <v>4943</v>
      </c>
      <c r="F58" s="702" t="s">
        <v>4944</v>
      </c>
    </row>
    <row r="59">
      <c r="C59" s="703" t="s">
        <v>194</v>
      </c>
      <c r="D59" s="51" t="s">
        <v>194</v>
      </c>
      <c r="E59" s="222" t="s">
        <v>194</v>
      </c>
      <c r="F59" s="702" t="s">
        <v>194</v>
      </c>
    </row>
    <row r="60">
      <c r="C60" s="703" t="s">
        <v>2822</v>
      </c>
      <c r="D60" s="51" t="s">
        <v>194</v>
      </c>
      <c r="E60" s="222" t="s">
        <v>7553</v>
      </c>
      <c r="F60" s="702" t="s">
        <v>182</v>
      </c>
    </row>
    <row r="61">
      <c r="C61" s="703" t="b">
        <v>0</v>
      </c>
      <c r="D61" s="51"/>
      <c r="E61" s="222" t="s">
        <v>2818</v>
      </c>
      <c r="F61" s="702" t="s">
        <v>2820</v>
      </c>
    </row>
    <row r="62">
      <c r="C62" s="703" t="b">
        <v>0</v>
      </c>
      <c r="D62" s="51"/>
      <c r="E62" s="222" t="s">
        <v>2823</v>
      </c>
      <c r="F62" s="702" t="s">
        <v>7593</v>
      </c>
    </row>
    <row r="63">
      <c r="C63" s="703" t="b">
        <v>0</v>
      </c>
      <c r="D63" s="51"/>
      <c r="E63" s="222" t="s">
        <v>2828</v>
      </c>
      <c r="F63" s="702" t="s">
        <v>7594</v>
      </c>
    </row>
    <row r="64">
      <c r="C64" s="703" t="b">
        <v>0</v>
      </c>
      <c r="D64" s="51"/>
      <c r="E64" s="222" t="s">
        <v>2833</v>
      </c>
      <c r="F64" s="702" t="s">
        <v>7595</v>
      </c>
    </row>
    <row r="65">
      <c r="C65" s="703" t="b">
        <v>0</v>
      </c>
      <c r="D65" s="51"/>
      <c r="E65" s="222" t="s">
        <v>2838</v>
      </c>
      <c r="F65" s="702" t="s">
        <v>7596</v>
      </c>
    </row>
    <row r="66">
      <c r="C66" s="703" t="b">
        <v>0</v>
      </c>
      <c r="D66" s="51"/>
      <c r="E66" s="222" t="s">
        <v>2844</v>
      </c>
      <c r="F66" s="702" t="s">
        <v>2845</v>
      </c>
    </row>
    <row r="67">
      <c r="C67" s="703" t="s">
        <v>194</v>
      </c>
      <c r="D67" s="51" t="s">
        <v>194</v>
      </c>
      <c r="E67" s="222" t="s">
        <v>194</v>
      </c>
      <c r="F67" s="702" t="s">
        <v>194</v>
      </c>
    </row>
    <row r="68">
      <c r="C68" s="703" t="s">
        <v>2861</v>
      </c>
      <c r="D68" s="51" t="s">
        <v>194</v>
      </c>
      <c r="E68" s="222" t="s">
        <v>7553</v>
      </c>
      <c r="F68" s="702" t="s">
        <v>182</v>
      </c>
    </row>
    <row r="69">
      <c r="C69" s="703" t="b">
        <v>0</v>
      </c>
      <c r="D69" s="51"/>
      <c r="E69" s="222" t="s">
        <v>2856</v>
      </c>
      <c r="F69" s="702" t="s">
        <v>7597</v>
      </c>
    </row>
    <row r="70">
      <c r="C70" s="703" t="b">
        <v>0</v>
      </c>
      <c r="D70" s="51"/>
      <c r="E70" s="222" t="s">
        <v>2862</v>
      </c>
      <c r="F70" s="702" t="s">
        <v>7598</v>
      </c>
    </row>
    <row r="71">
      <c r="C71" s="703" t="b">
        <v>0</v>
      </c>
      <c r="D71" s="51"/>
      <c r="E71" s="222" t="s">
        <v>3527</v>
      </c>
      <c r="F71" s="702" t="s">
        <v>3529</v>
      </c>
    </row>
    <row r="72">
      <c r="C72" s="703" t="b">
        <v>0</v>
      </c>
      <c r="D72" s="51"/>
      <c r="E72" s="222" t="s">
        <v>3531</v>
      </c>
      <c r="F72" s="702" t="s">
        <v>7599</v>
      </c>
    </row>
    <row r="73">
      <c r="C73" s="703" t="b">
        <v>0</v>
      </c>
      <c r="D73" s="51"/>
      <c r="E73" s="222" t="s">
        <v>3538</v>
      </c>
      <c r="F73" s="702" t="s">
        <v>7600</v>
      </c>
    </row>
    <row r="74">
      <c r="C74" s="703" t="b">
        <v>0</v>
      </c>
      <c r="D74" s="51"/>
      <c r="E74" s="222" t="s">
        <v>6370</v>
      </c>
      <c r="F74" s="702">
        <v>1.0</v>
      </c>
    </row>
    <row r="75">
      <c r="C75" s="703" t="b">
        <v>0</v>
      </c>
      <c r="D75" s="51"/>
      <c r="E75" s="222" t="s">
        <v>6372</v>
      </c>
      <c r="F75" s="702">
        <v>1.0</v>
      </c>
    </row>
    <row r="76">
      <c r="C76" s="703" t="b">
        <v>0</v>
      </c>
      <c r="D76" s="51"/>
      <c r="E76" s="222" t="s">
        <v>6374</v>
      </c>
      <c r="F76" s="702">
        <v>1.0</v>
      </c>
    </row>
    <row r="77">
      <c r="C77" s="703" t="b">
        <v>0</v>
      </c>
      <c r="D77" s="51"/>
      <c r="E77" s="222" t="s">
        <v>6375</v>
      </c>
      <c r="F77" s="51">
        <v>1.0</v>
      </c>
    </row>
    <row r="78">
      <c r="C78" s="703" t="b">
        <v>0</v>
      </c>
      <c r="D78" s="51"/>
      <c r="E78" s="222" t="s">
        <v>6377</v>
      </c>
      <c r="F78" s="702">
        <v>1.0</v>
      </c>
    </row>
    <row r="79">
      <c r="C79" s="703" t="b">
        <v>0</v>
      </c>
      <c r="D79" s="51"/>
      <c r="E79" s="222" t="s">
        <v>6378</v>
      </c>
      <c r="F79" s="702">
        <v>1.0</v>
      </c>
    </row>
    <row r="80">
      <c r="C80" s="703" t="b">
        <v>0</v>
      </c>
      <c r="D80" s="51"/>
      <c r="E80" s="222" t="s">
        <v>6382</v>
      </c>
      <c r="F80" s="702">
        <v>1.0</v>
      </c>
    </row>
    <row r="81">
      <c r="C81" s="703" t="b">
        <v>0</v>
      </c>
      <c r="D81" s="51"/>
      <c r="E81" s="222" t="s">
        <v>6384</v>
      </c>
      <c r="F81" s="702">
        <v>1.0</v>
      </c>
    </row>
    <row r="82">
      <c r="C82" s="703" t="b">
        <v>0</v>
      </c>
      <c r="D82" s="51"/>
      <c r="E82" s="222" t="s">
        <v>6386</v>
      </c>
      <c r="F82" s="702">
        <v>1.0</v>
      </c>
    </row>
    <row r="83">
      <c r="C83" s="703" t="b">
        <v>0</v>
      </c>
      <c r="D83" s="51"/>
      <c r="E83" s="222" t="s">
        <v>6394</v>
      </c>
      <c r="F83" s="702">
        <v>1.0</v>
      </c>
    </row>
    <row r="84">
      <c r="C84" s="703" t="b">
        <v>0</v>
      </c>
      <c r="D84" s="51"/>
      <c r="E84" s="222" t="s">
        <v>6396</v>
      </c>
      <c r="F84" s="702">
        <v>1.0</v>
      </c>
    </row>
    <row r="85">
      <c r="C85" s="703" t="b">
        <v>0</v>
      </c>
      <c r="D85" s="51"/>
      <c r="E85" s="222" t="s">
        <v>6398</v>
      </c>
      <c r="F85" s="702">
        <v>1.0</v>
      </c>
    </row>
    <row r="86">
      <c r="C86" s="703" t="b">
        <v>0</v>
      </c>
      <c r="D86" s="51"/>
      <c r="E86" s="222" t="s">
        <v>6400</v>
      </c>
      <c r="F86" s="702">
        <v>1.0</v>
      </c>
    </row>
    <row r="87">
      <c r="C87" s="703" t="s">
        <v>194</v>
      </c>
      <c r="D87" s="51" t="s">
        <v>194</v>
      </c>
      <c r="E87" s="222" t="s">
        <v>194</v>
      </c>
      <c r="F87" s="702" t="s">
        <v>194</v>
      </c>
    </row>
    <row r="88">
      <c r="C88" s="703" t="s">
        <v>4942</v>
      </c>
      <c r="D88" s="51" t="s">
        <v>194</v>
      </c>
      <c r="E88" s="222" t="s">
        <v>7553</v>
      </c>
      <c r="F88" s="702" t="s">
        <v>182</v>
      </c>
    </row>
    <row r="89">
      <c r="C89" s="703" t="b">
        <v>0</v>
      </c>
      <c r="D89" s="51"/>
      <c r="E89" s="222" t="s">
        <v>4937</v>
      </c>
      <c r="F89" s="702" t="s">
        <v>7601</v>
      </c>
    </row>
    <row r="90">
      <c r="C90" s="703" t="b">
        <v>0</v>
      </c>
      <c r="D90" s="51"/>
      <c r="E90" s="222" t="s">
        <v>4949</v>
      </c>
      <c r="F90" s="702" t="s">
        <v>4950</v>
      </c>
    </row>
    <row r="91">
      <c r="C91" s="703" t="s">
        <v>194</v>
      </c>
      <c r="D91" s="51" t="s">
        <v>194</v>
      </c>
      <c r="E91" s="222" t="s">
        <v>194</v>
      </c>
      <c r="F91" s="702" t="s">
        <v>194</v>
      </c>
    </row>
    <row r="92">
      <c r="C92" s="703" t="s">
        <v>4104</v>
      </c>
      <c r="D92" s="51" t="s">
        <v>194</v>
      </c>
      <c r="E92" s="222" t="s">
        <v>7553</v>
      </c>
      <c r="F92" s="702" t="s">
        <v>182</v>
      </c>
    </row>
    <row r="93">
      <c r="C93" s="703" t="b">
        <v>0</v>
      </c>
      <c r="D93" s="51"/>
      <c r="E93" s="222" t="s">
        <v>4100</v>
      </c>
      <c r="F93" s="702" t="s">
        <v>4101</v>
      </c>
    </row>
    <row r="94">
      <c r="C94" s="703" t="b">
        <v>0</v>
      </c>
      <c r="D94" s="51"/>
      <c r="E94" s="222" t="s">
        <v>4122</v>
      </c>
      <c r="F94" s="702" t="s">
        <v>4124</v>
      </c>
    </row>
    <row r="95">
      <c r="C95" s="703" t="b">
        <v>0</v>
      </c>
      <c r="D95" s="51"/>
      <c r="E95" s="222" t="s">
        <v>4195</v>
      </c>
      <c r="F95" s="702" t="s">
        <v>7602</v>
      </c>
    </row>
    <row r="96">
      <c r="C96" s="703" t="b">
        <v>0</v>
      </c>
      <c r="D96" s="51"/>
      <c r="E96" s="222" t="s">
        <v>4200</v>
      </c>
      <c r="F96" s="702" t="s">
        <v>4202</v>
      </c>
    </row>
    <row r="97">
      <c r="C97" s="703" t="b">
        <v>0</v>
      </c>
      <c r="D97" s="51"/>
      <c r="E97" s="222" t="s">
        <v>4237</v>
      </c>
      <c r="F97" s="702" t="s">
        <v>7603</v>
      </c>
    </row>
    <row r="98">
      <c r="C98" s="703" t="s">
        <v>194</v>
      </c>
      <c r="D98" s="51" t="s">
        <v>194</v>
      </c>
      <c r="E98" s="222" t="s">
        <v>194</v>
      </c>
      <c r="F98" s="702" t="s">
        <v>194</v>
      </c>
    </row>
    <row r="99">
      <c r="C99" s="703" t="s">
        <v>3086</v>
      </c>
      <c r="D99" s="51" t="s">
        <v>194</v>
      </c>
      <c r="E99" s="222" t="s">
        <v>7553</v>
      </c>
      <c r="F99" s="702" t="s">
        <v>182</v>
      </c>
    </row>
    <row r="100">
      <c r="C100" s="703" t="b">
        <v>0</v>
      </c>
      <c r="D100" s="51"/>
      <c r="E100" s="222" t="s">
        <v>3081</v>
      </c>
      <c r="F100" s="702" t="s">
        <v>7604</v>
      </c>
    </row>
    <row r="101">
      <c r="C101" s="703" t="b">
        <v>0</v>
      </c>
      <c r="D101" s="51"/>
      <c r="E101" s="222" t="s">
        <v>3087</v>
      </c>
      <c r="F101" s="702" t="s">
        <v>7605</v>
      </c>
    </row>
    <row r="102">
      <c r="C102" s="703" t="b">
        <v>0</v>
      </c>
      <c r="D102" s="51"/>
      <c r="E102" s="222" t="s">
        <v>3091</v>
      </c>
      <c r="F102" s="702" t="s">
        <v>7606</v>
      </c>
    </row>
    <row r="103">
      <c r="C103" s="703" t="b">
        <v>0</v>
      </c>
      <c r="D103" s="51"/>
      <c r="E103" s="222" t="s">
        <v>3095</v>
      </c>
      <c r="F103" s="702" t="s">
        <v>7607</v>
      </c>
    </row>
    <row r="104">
      <c r="C104" s="703" t="b">
        <v>0</v>
      </c>
      <c r="D104" s="51"/>
      <c r="E104" s="222" t="s">
        <v>3100</v>
      </c>
      <c r="F104" s="702" t="s">
        <v>3101</v>
      </c>
    </row>
    <row r="105">
      <c r="C105" s="703" t="s">
        <v>194</v>
      </c>
      <c r="D105" s="51" t="s">
        <v>194</v>
      </c>
      <c r="E105" s="222" t="s">
        <v>194</v>
      </c>
      <c r="F105" s="702" t="s">
        <v>194</v>
      </c>
    </row>
    <row r="106">
      <c r="C106" s="703" t="s">
        <v>5341</v>
      </c>
      <c r="D106" s="51" t="s">
        <v>194</v>
      </c>
      <c r="E106" s="222" t="s">
        <v>7553</v>
      </c>
      <c r="F106" s="702" t="s">
        <v>182</v>
      </c>
    </row>
    <row r="107">
      <c r="C107" s="703" t="s">
        <v>194</v>
      </c>
      <c r="D107" s="51" t="s">
        <v>194</v>
      </c>
      <c r="E107" s="222" t="s">
        <v>194</v>
      </c>
      <c r="F107" s="702" t="s">
        <v>194</v>
      </c>
    </row>
    <row r="108">
      <c r="C108" s="703" t="b">
        <v>0</v>
      </c>
      <c r="D108" s="51"/>
      <c r="E108" s="222" t="s">
        <v>5342</v>
      </c>
      <c r="F108" s="702">
        <v>64.0</v>
      </c>
    </row>
    <row r="109">
      <c r="C109" s="703" t="b">
        <v>0</v>
      </c>
      <c r="D109" s="51"/>
      <c r="E109" s="222" t="s">
        <v>6269</v>
      </c>
      <c r="F109" s="702">
        <v>64.0</v>
      </c>
    </row>
    <row r="110">
      <c r="C110" s="703" t="b">
        <v>0</v>
      </c>
      <c r="D110" s="51"/>
      <c r="E110" s="222" t="s">
        <v>6427</v>
      </c>
      <c r="F110" s="702">
        <v>1.0</v>
      </c>
    </row>
    <row r="111">
      <c r="C111" s="703" t="b">
        <v>0</v>
      </c>
      <c r="D111" s="51"/>
      <c r="E111" s="222" t="s">
        <v>6433</v>
      </c>
      <c r="F111" s="702">
        <v>64.0</v>
      </c>
    </row>
    <row r="112">
      <c r="C112" s="703" t="b">
        <v>0</v>
      </c>
      <c r="D112" s="51"/>
      <c r="E112" s="222" t="s">
        <v>6437</v>
      </c>
      <c r="F112" s="702">
        <v>64.0</v>
      </c>
    </row>
    <row r="113">
      <c r="C113" s="703" t="s">
        <v>194</v>
      </c>
      <c r="D113" s="51" t="s">
        <v>194</v>
      </c>
      <c r="E113" s="222" t="s">
        <v>194</v>
      </c>
      <c r="F113" s="702" t="s">
        <v>194</v>
      </c>
    </row>
    <row r="114">
      <c r="C114" s="703" t="s">
        <v>4907</v>
      </c>
      <c r="D114" s="51" t="s">
        <v>194</v>
      </c>
      <c r="E114" s="222" t="s">
        <v>7553</v>
      </c>
      <c r="F114" s="702" t="s">
        <v>182</v>
      </c>
    </row>
    <row r="115">
      <c r="C115" s="703" t="b">
        <v>0</v>
      </c>
      <c r="D115" s="51"/>
      <c r="E115" s="222" t="s">
        <v>4904</v>
      </c>
      <c r="F115" s="702" t="s">
        <v>4905</v>
      </c>
    </row>
    <row r="116">
      <c r="C116" s="703" t="s">
        <v>194</v>
      </c>
      <c r="D116" s="51" t="s">
        <v>194</v>
      </c>
      <c r="E116" s="222" t="s">
        <v>194</v>
      </c>
      <c r="F116" s="702" t="s">
        <v>194</v>
      </c>
    </row>
    <row r="117">
      <c r="C117" s="703" t="s">
        <v>194</v>
      </c>
      <c r="D117" s="51" t="s">
        <v>194</v>
      </c>
      <c r="E117" s="222" t="s">
        <v>194</v>
      </c>
      <c r="F117" s="702" t="s">
        <v>194</v>
      </c>
    </row>
    <row r="118">
      <c r="C118" s="703" t="s">
        <v>194</v>
      </c>
      <c r="D118" s="51" t="s">
        <v>194</v>
      </c>
      <c r="E118" s="222" t="s">
        <v>194</v>
      </c>
      <c r="F118" s="702" t="s">
        <v>194</v>
      </c>
    </row>
    <row r="119">
      <c r="C119" s="703" t="s">
        <v>194</v>
      </c>
      <c r="D119" s="51" t="s">
        <v>194</v>
      </c>
      <c r="E119" s="222" t="s">
        <v>194</v>
      </c>
      <c r="F119" s="702" t="s">
        <v>194</v>
      </c>
    </row>
    <row r="120">
      <c r="C120" s="703" t="s">
        <v>194</v>
      </c>
      <c r="D120" s="51" t="s">
        <v>194</v>
      </c>
      <c r="E120" s="222" t="s">
        <v>194</v>
      </c>
      <c r="F120" s="702" t="s">
        <v>194</v>
      </c>
    </row>
    <row r="121">
      <c r="C121" s="703" t="s">
        <v>194</v>
      </c>
      <c r="D121" s="51" t="s">
        <v>194</v>
      </c>
      <c r="E121" s="222" t="s">
        <v>194</v>
      </c>
      <c r="F121" s="702" t="s">
        <v>194</v>
      </c>
    </row>
    <row r="122">
      <c r="C122" s="703" t="s">
        <v>194</v>
      </c>
      <c r="D122" s="51" t="s">
        <v>194</v>
      </c>
      <c r="E122" s="222" t="s">
        <v>194</v>
      </c>
      <c r="F122" s="702" t="s">
        <v>194</v>
      </c>
    </row>
    <row r="123">
      <c r="C123" s="703" t="s">
        <v>194</v>
      </c>
      <c r="D123" s="51" t="s">
        <v>194</v>
      </c>
      <c r="E123" s="222" t="s">
        <v>194</v>
      </c>
      <c r="F123" s="702" t="s">
        <v>194</v>
      </c>
    </row>
    <row r="124">
      <c r="C124" s="703" t="s">
        <v>194</v>
      </c>
      <c r="D124" s="51" t="s">
        <v>194</v>
      </c>
      <c r="E124" s="222" t="s">
        <v>194</v>
      </c>
      <c r="F124" s="702" t="s">
        <v>194</v>
      </c>
    </row>
    <row r="125">
      <c r="C125" s="703" t="s">
        <v>194</v>
      </c>
      <c r="D125" s="51" t="s">
        <v>194</v>
      </c>
      <c r="E125" s="222" t="s">
        <v>194</v>
      </c>
      <c r="F125" s="702" t="s">
        <v>194</v>
      </c>
    </row>
    <row r="126">
      <c r="C126" s="703" t="s">
        <v>194</v>
      </c>
      <c r="D126" s="51" t="s">
        <v>194</v>
      </c>
      <c r="E126" s="222" t="s">
        <v>194</v>
      </c>
      <c r="F126" s="702" t="s">
        <v>194</v>
      </c>
    </row>
    <row r="127">
      <c r="C127" s="703" t="s">
        <v>194</v>
      </c>
      <c r="D127" s="51" t="s">
        <v>194</v>
      </c>
      <c r="E127" s="222" t="s">
        <v>194</v>
      </c>
      <c r="F127" s="702" t="s">
        <v>194</v>
      </c>
    </row>
    <row r="128">
      <c r="C128" s="703" t="s">
        <v>194</v>
      </c>
      <c r="D128" s="51" t="s">
        <v>194</v>
      </c>
      <c r="E128" s="222" t="s">
        <v>194</v>
      </c>
      <c r="F128" s="702" t="s">
        <v>194</v>
      </c>
    </row>
    <row r="129">
      <c r="C129" s="703" t="s">
        <v>194</v>
      </c>
      <c r="D129" s="51" t="s">
        <v>194</v>
      </c>
      <c r="E129" s="222" t="s">
        <v>194</v>
      </c>
      <c r="F129" s="702" t="s">
        <v>194</v>
      </c>
    </row>
    <row r="130">
      <c r="C130" s="703" t="s">
        <v>194</v>
      </c>
      <c r="D130" s="51" t="s">
        <v>194</v>
      </c>
      <c r="E130" s="222" t="s">
        <v>194</v>
      </c>
      <c r="F130" s="702" t="s">
        <v>194</v>
      </c>
    </row>
    <row r="131">
      <c r="C131" s="703" t="s">
        <v>194</v>
      </c>
      <c r="D131" s="51" t="s">
        <v>194</v>
      </c>
      <c r="E131" s="222" t="s">
        <v>194</v>
      </c>
      <c r="F131" s="702" t="s">
        <v>194</v>
      </c>
    </row>
    <row r="132">
      <c r="C132" s="703" t="s">
        <v>194</v>
      </c>
      <c r="D132" s="51" t="s">
        <v>194</v>
      </c>
      <c r="E132" s="222" t="s">
        <v>194</v>
      </c>
      <c r="F132" s="702" t="s">
        <v>194</v>
      </c>
    </row>
    <row r="133">
      <c r="C133" s="703" t="s">
        <v>194</v>
      </c>
      <c r="D133" s="51" t="s">
        <v>194</v>
      </c>
      <c r="E133" s="222" t="s">
        <v>194</v>
      </c>
      <c r="F133" s="702" t="s">
        <v>194</v>
      </c>
    </row>
    <row r="134">
      <c r="C134" s="703" t="s">
        <v>194</v>
      </c>
      <c r="D134" s="51" t="s">
        <v>194</v>
      </c>
      <c r="E134" s="222" t="s">
        <v>194</v>
      </c>
      <c r="F134" s="702" t="s">
        <v>194</v>
      </c>
    </row>
    <row r="135">
      <c r="C135" s="703" t="s">
        <v>194</v>
      </c>
      <c r="D135" s="51" t="s">
        <v>194</v>
      </c>
      <c r="E135" s="222" t="s">
        <v>194</v>
      </c>
      <c r="F135" s="702" t="s">
        <v>194</v>
      </c>
    </row>
    <row r="136">
      <c r="C136" s="703" t="s">
        <v>194</v>
      </c>
      <c r="D136" s="51" t="s">
        <v>194</v>
      </c>
      <c r="E136" s="222" t="s">
        <v>194</v>
      </c>
      <c r="F136" s="702" t="s">
        <v>194</v>
      </c>
    </row>
    <row r="137">
      <c r="C137" s="703" t="s">
        <v>194</v>
      </c>
      <c r="D137" s="51" t="s">
        <v>194</v>
      </c>
      <c r="E137" s="222" t="s">
        <v>194</v>
      </c>
      <c r="F137" s="702" t="s">
        <v>194</v>
      </c>
    </row>
    <row r="138">
      <c r="C138" s="703" t="s">
        <v>194</v>
      </c>
      <c r="D138" s="51" t="s">
        <v>194</v>
      </c>
      <c r="E138" s="222" t="s">
        <v>194</v>
      </c>
      <c r="F138" s="702" t="s">
        <v>194</v>
      </c>
    </row>
    <row r="139">
      <c r="C139" s="703" t="s">
        <v>194</v>
      </c>
      <c r="D139" s="51" t="s">
        <v>194</v>
      </c>
      <c r="E139" s="222" t="s">
        <v>194</v>
      </c>
      <c r="F139" s="702" t="s">
        <v>194</v>
      </c>
    </row>
    <row r="140">
      <c r="C140" s="703" t="s">
        <v>194</v>
      </c>
      <c r="D140" s="51" t="s">
        <v>194</v>
      </c>
      <c r="E140" s="222" t="s">
        <v>194</v>
      </c>
      <c r="F140" s="702" t="s">
        <v>194</v>
      </c>
    </row>
    <row r="141">
      <c r="C141" s="703" t="s">
        <v>194</v>
      </c>
      <c r="D141" s="51" t="s">
        <v>194</v>
      </c>
      <c r="E141" s="222" t="s">
        <v>194</v>
      </c>
      <c r="F141" s="702" t="s">
        <v>194</v>
      </c>
    </row>
    <row r="142">
      <c r="C142" s="703" t="s">
        <v>194</v>
      </c>
      <c r="D142" s="51" t="s">
        <v>194</v>
      </c>
      <c r="E142" s="222" t="s">
        <v>194</v>
      </c>
      <c r="F142" s="702" t="s">
        <v>194</v>
      </c>
    </row>
    <row r="143">
      <c r="C143" s="703" t="s">
        <v>194</v>
      </c>
      <c r="D143" s="51" t="s">
        <v>194</v>
      </c>
      <c r="E143" s="222" t="s">
        <v>194</v>
      </c>
      <c r="F143" s="702" t="s">
        <v>194</v>
      </c>
    </row>
    <row r="144">
      <c r="C144" s="703" t="s">
        <v>194</v>
      </c>
      <c r="D144" s="51" t="s">
        <v>194</v>
      </c>
      <c r="E144" s="222" t="s">
        <v>194</v>
      </c>
      <c r="F144" s="702" t="s">
        <v>194</v>
      </c>
    </row>
    <row r="145">
      <c r="C145" s="703" t="s">
        <v>194</v>
      </c>
      <c r="D145" s="51" t="s">
        <v>194</v>
      </c>
      <c r="E145" s="222" t="s">
        <v>194</v>
      </c>
      <c r="F145" s="702" t="s">
        <v>194</v>
      </c>
    </row>
    <row r="146">
      <c r="C146" s="703" t="s">
        <v>194</v>
      </c>
      <c r="D146" s="51" t="s">
        <v>194</v>
      </c>
      <c r="E146" s="222" t="s">
        <v>194</v>
      </c>
      <c r="F146" s="702" t="s">
        <v>194</v>
      </c>
    </row>
    <row r="147">
      <c r="C147" s="703" t="s">
        <v>194</v>
      </c>
      <c r="D147" s="51" t="s">
        <v>194</v>
      </c>
      <c r="E147" s="222" t="s">
        <v>194</v>
      </c>
      <c r="F147" s="702" t="s">
        <v>194</v>
      </c>
    </row>
    <row r="148">
      <c r="C148" s="703" t="s">
        <v>194</v>
      </c>
      <c r="D148" s="51" t="s">
        <v>194</v>
      </c>
      <c r="E148" s="222" t="s">
        <v>194</v>
      </c>
      <c r="F148" s="702" t="s">
        <v>194</v>
      </c>
    </row>
    <row r="149">
      <c r="C149" s="703" t="s">
        <v>194</v>
      </c>
      <c r="D149" s="51" t="s">
        <v>194</v>
      </c>
      <c r="E149" s="222" t="s">
        <v>194</v>
      </c>
      <c r="F149" s="702" t="s">
        <v>194</v>
      </c>
    </row>
    <row r="150">
      <c r="C150" s="703" t="s">
        <v>194</v>
      </c>
      <c r="D150" s="51" t="s">
        <v>194</v>
      </c>
      <c r="E150" s="222" t="s">
        <v>194</v>
      </c>
      <c r="F150" s="702" t="s">
        <v>194</v>
      </c>
    </row>
    <row r="151">
      <c r="C151" s="703" t="s">
        <v>194</v>
      </c>
      <c r="D151" s="51" t="s">
        <v>194</v>
      </c>
      <c r="E151" s="222" t="s">
        <v>194</v>
      </c>
      <c r="F151" s="702" t="s">
        <v>194</v>
      </c>
    </row>
    <row r="152">
      <c r="C152" s="703" t="s">
        <v>194</v>
      </c>
      <c r="D152" s="51" t="s">
        <v>194</v>
      </c>
      <c r="E152" s="222" t="s">
        <v>194</v>
      </c>
      <c r="F152" s="702" t="s">
        <v>194</v>
      </c>
    </row>
    <row r="153">
      <c r="C153" s="703" t="s">
        <v>194</v>
      </c>
      <c r="D153" s="51" t="s">
        <v>194</v>
      </c>
      <c r="E153" s="222" t="s">
        <v>194</v>
      </c>
      <c r="F153" s="702" t="s">
        <v>194</v>
      </c>
    </row>
    <row r="154">
      <c r="C154" s="703" t="s">
        <v>194</v>
      </c>
      <c r="D154" s="51" t="s">
        <v>194</v>
      </c>
      <c r="E154" s="222" t="s">
        <v>194</v>
      </c>
      <c r="F154" s="702" t="s">
        <v>194</v>
      </c>
    </row>
    <row r="155">
      <c r="C155" s="703" t="s">
        <v>194</v>
      </c>
      <c r="D155" s="51" t="s">
        <v>194</v>
      </c>
      <c r="E155" s="222" t="s">
        <v>194</v>
      </c>
      <c r="F155" s="702" t="s">
        <v>194</v>
      </c>
    </row>
    <row r="156">
      <c r="C156" s="703" t="s">
        <v>194</v>
      </c>
      <c r="D156" s="51" t="s">
        <v>194</v>
      </c>
      <c r="E156" s="222" t="s">
        <v>194</v>
      </c>
      <c r="F156" s="702" t="s">
        <v>194</v>
      </c>
    </row>
    <row r="157">
      <c r="C157" s="703" t="s">
        <v>194</v>
      </c>
      <c r="D157" s="51" t="s">
        <v>194</v>
      </c>
      <c r="E157" s="222" t="s">
        <v>194</v>
      </c>
      <c r="F157" s="702" t="s">
        <v>194</v>
      </c>
    </row>
    <row r="158">
      <c r="C158" s="703" t="s">
        <v>194</v>
      </c>
      <c r="D158" s="51" t="s">
        <v>194</v>
      </c>
      <c r="E158" s="222" t="s">
        <v>194</v>
      </c>
      <c r="F158" s="702" t="s">
        <v>194</v>
      </c>
    </row>
    <row r="159">
      <c r="C159" s="703" t="s">
        <v>194</v>
      </c>
      <c r="D159" s="51" t="s">
        <v>194</v>
      </c>
      <c r="E159" s="222" t="s">
        <v>194</v>
      </c>
      <c r="F159" s="702" t="s">
        <v>194</v>
      </c>
    </row>
    <row r="160">
      <c r="C160" s="703" t="s">
        <v>194</v>
      </c>
      <c r="D160" s="51" t="s">
        <v>194</v>
      </c>
      <c r="E160" s="222" t="s">
        <v>194</v>
      </c>
      <c r="F160" s="702" t="s">
        <v>194</v>
      </c>
    </row>
    <row r="161">
      <c r="C161" s="703" t="s">
        <v>194</v>
      </c>
      <c r="D161" s="51" t="s">
        <v>194</v>
      </c>
      <c r="E161" s="222" t="s">
        <v>194</v>
      </c>
      <c r="F161" s="702" t="s">
        <v>194</v>
      </c>
    </row>
    <row r="162">
      <c r="C162" s="703" t="s">
        <v>194</v>
      </c>
      <c r="D162" s="51" t="s">
        <v>194</v>
      </c>
      <c r="E162" s="222" t="s">
        <v>194</v>
      </c>
      <c r="F162" s="702" t="s">
        <v>194</v>
      </c>
    </row>
    <row r="163">
      <c r="C163" s="703" t="s">
        <v>194</v>
      </c>
      <c r="D163" s="51" t="s">
        <v>194</v>
      </c>
      <c r="E163" s="222" t="s">
        <v>194</v>
      </c>
      <c r="F163" s="702" t="s">
        <v>194</v>
      </c>
    </row>
    <row r="164">
      <c r="C164" s="703" t="s">
        <v>194</v>
      </c>
      <c r="D164" s="51" t="s">
        <v>194</v>
      </c>
      <c r="E164" s="222" t="s">
        <v>194</v>
      </c>
      <c r="F164" s="702" t="s">
        <v>194</v>
      </c>
    </row>
    <row r="165">
      <c r="C165" s="703" t="s">
        <v>194</v>
      </c>
      <c r="D165" s="51" t="s">
        <v>194</v>
      </c>
      <c r="E165" s="222" t="s">
        <v>194</v>
      </c>
      <c r="F165" s="702" t="s">
        <v>194</v>
      </c>
    </row>
    <row r="166">
      <c r="C166" s="703" t="s">
        <v>194</v>
      </c>
      <c r="D166" s="51" t="s">
        <v>194</v>
      </c>
      <c r="E166" s="222" t="s">
        <v>194</v>
      </c>
      <c r="F166" s="702" t="s">
        <v>194</v>
      </c>
    </row>
    <row r="167">
      <c r="C167" s="703" t="s">
        <v>194</v>
      </c>
      <c r="D167" s="51" t="s">
        <v>194</v>
      </c>
      <c r="E167" s="222" t="s">
        <v>194</v>
      </c>
      <c r="F167" s="702" t="s">
        <v>194</v>
      </c>
    </row>
    <row r="168">
      <c r="C168" s="703" t="s">
        <v>194</v>
      </c>
      <c r="D168" s="51" t="s">
        <v>194</v>
      </c>
      <c r="E168" s="222" t="s">
        <v>194</v>
      </c>
      <c r="F168" s="702" t="s">
        <v>194</v>
      </c>
    </row>
    <row r="169">
      <c r="C169" s="703" t="s">
        <v>194</v>
      </c>
      <c r="D169" s="51" t="s">
        <v>194</v>
      </c>
      <c r="E169" s="222" t="s">
        <v>194</v>
      </c>
      <c r="F169" s="702" t="s">
        <v>194</v>
      </c>
    </row>
    <row r="170">
      <c r="C170" s="703" t="s">
        <v>194</v>
      </c>
      <c r="D170" s="51" t="s">
        <v>194</v>
      </c>
      <c r="E170" s="222" t="s">
        <v>194</v>
      </c>
      <c r="F170" s="702" t="s">
        <v>194</v>
      </c>
    </row>
    <row r="171">
      <c r="C171" s="703" t="s">
        <v>194</v>
      </c>
      <c r="D171" s="51" t="s">
        <v>194</v>
      </c>
      <c r="E171" s="222" t="s">
        <v>194</v>
      </c>
      <c r="F171" s="702" t="s">
        <v>194</v>
      </c>
    </row>
    <row r="172">
      <c r="C172" s="703" t="s">
        <v>194</v>
      </c>
      <c r="D172" s="51" t="s">
        <v>194</v>
      </c>
      <c r="E172" s="222" t="s">
        <v>194</v>
      </c>
      <c r="F172" s="702" t="s">
        <v>194</v>
      </c>
    </row>
    <row r="173">
      <c r="C173" s="703" t="s">
        <v>194</v>
      </c>
      <c r="D173" s="51" t="s">
        <v>194</v>
      </c>
      <c r="E173" s="222" t="s">
        <v>194</v>
      </c>
      <c r="F173" s="702" t="s">
        <v>194</v>
      </c>
    </row>
    <row r="174">
      <c r="C174" s="703" t="s">
        <v>194</v>
      </c>
      <c r="D174" s="51" t="s">
        <v>194</v>
      </c>
      <c r="E174" s="222" t="s">
        <v>194</v>
      </c>
      <c r="F174" s="702" t="s">
        <v>194</v>
      </c>
    </row>
    <row r="175">
      <c r="C175" s="703" t="s">
        <v>194</v>
      </c>
      <c r="D175" s="51" t="s">
        <v>194</v>
      </c>
      <c r="E175" s="222" t="s">
        <v>194</v>
      </c>
      <c r="F175" s="702" t="s">
        <v>194</v>
      </c>
    </row>
    <row r="176">
      <c r="C176" s="703" t="s">
        <v>194</v>
      </c>
      <c r="D176" s="51" t="s">
        <v>194</v>
      </c>
      <c r="E176" s="222" t="s">
        <v>194</v>
      </c>
      <c r="F176" s="702" t="s">
        <v>194</v>
      </c>
    </row>
    <row r="177">
      <c r="C177" s="703" t="s">
        <v>194</v>
      </c>
      <c r="D177" s="51" t="s">
        <v>194</v>
      </c>
      <c r="E177" s="222" t="s">
        <v>194</v>
      </c>
      <c r="F177" s="702" t="s">
        <v>194</v>
      </c>
    </row>
    <row r="178">
      <c r="C178" s="703" t="s">
        <v>194</v>
      </c>
      <c r="D178" s="51" t="s">
        <v>194</v>
      </c>
      <c r="E178" s="222" t="s">
        <v>194</v>
      </c>
      <c r="F178" s="702" t="s">
        <v>194</v>
      </c>
    </row>
    <row r="179">
      <c r="C179" s="703" t="s">
        <v>194</v>
      </c>
      <c r="D179" s="51" t="s">
        <v>194</v>
      </c>
      <c r="E179" s="222" t="s">
        <v>194</v>
      </c>
      <c r="F179" s="702" t="s">
        <v>194</v>
      </c>
    </row>
    <row r="180">
      <c r="C180" s="703" t="s">
        <v>194</v>
      </c>
      <c r="D180" s="51" t="s">
        <v>194</v>
      </c>
      <c r="E180" s="222" t="s">
        <v>194</v>
      </c>
      <c r="F180" s="702" t="s">
        <v>194</v>
      </c>
    </row>
    <row r="181">
      <c r="C181" s="703" t="s">
        <v>194</v>
      </c>
      <c r="D181" s="51" t="s">
        <v>194</v>
      </c>
      <c r="E181" s="222" t="s">
        <v>194</v>
      </c>
      <c r="F181" s="702" t="s">
        <v>194</v>
      </c>
    </row>
    <row r="182">
      <c r="C182" s="703" t="s">
        <v>194</v>
      </c>
      <c r="D182" s="51" t="s">
        <v>194</v>
      </c>
      <c r="E182" s="222" t="s">
        <v>194</v>
      </c>
      <c r="F182" s="702" t="s">
        <v>194</v>
      </c>
    </row>
    <row r="183">
      <c r="C183" s="703" t="s">
        <v>194</v>
      </c>
      <c r="D183" s="51" t="s">
        <v>194</v>
      </c>
      <c r="E183" s="222" t="s">
        <v>194</v>
      </c>
      <c r="F183" s="702" t="s">
        <v>194</v>
      </c>
    </row>
    <row r="184">
      <c r="C184" s="703" t="s">
        <v>194</v>
      </c>
      <c r="D184" s="51" t="s">
        <v>194</v>
      </c>
      <c r="E184" s="222" t="s">
        <v>194</v>
      </c>
      <c r="F184" s="702" t="s">
        <v>194</v>
      </c>
    </row>
    <row r="185">
      <c r="C185" s="703" t="s">
        <v>194</v>
      </c>
      <c r="D185" s="51" t="s">
        <v>194</v>
      </c>
      <c r="E185" s="222" t="s">
        <v>194</v>
      </c>
      <c r="F185" s="702" t="s">
        <v>194</v>
      </c>
    </row>
    <row r="186">
      <c r="C186" s="703" t="s">
        <v>194</v>
      </c>
      <c r="D186" s="51" t="s">
        <v>194</v>
      </c>
      <c r="E186" s="222" t="s">
        <v>194</v>
      </c>
      <c r="F186" s="702" t="s">
        <v>194</v>
      </c>
    </row>
    <row r="187">
      <c r="C187" s="703" t="s">
        <v>194</v>
      </c>
      <c r="D187" s="51" t="s">
        <v>194</v>
      </c>
      <c r="E187" s="222" t="s">
        <v>194</v>
      </c>
      <c r="F187" s="702" t="s">
        <v>194</v>
      </c>
    </row>
    <row r="188">
      <c r="C188" s="703" t="s">
        <v>194</v>
      </c>
      <c r="D188" s="51" t="s">
        <v>194</v>
      </c>
      <c r="E188" s="222" t="s">
        <v>194</v>
      </c>
      <c r="F188" s="702" t="s">
        <v>194</v>
      </c>
    </row>
    <row r="189">
      <c r="C189" s="703" t="s">
        <v>194</v>
      </c>
      <c r="D189" s="51" t="s">
        <v>194</v>
      </c>
      <c r="E189" s="222" t="s">
        <v>194</v>
      </c>
      <c r="F189" s="702" t="s">
        <v>194</v>
      </c>
    </row>
    <row r="190">
      <c r="C190" s="703" t="s">
        <v>194</v>
      </c>
      <c r="D190" s="51" t="s">
        <v>194</v>
      </c>
      <c r="E190" s="222" t="s">
        <v>194</v>
      </c>
      <c r="F190" s="702" t="s">
        <v>194</v>
      </c>
    </row>
    <row r="191">
      <c r="C191" s="703" t="s">
        <v>194</v>
      </c>
      <c r="D191" s="51" t="s">
        <v>194</v>
      </c>
      <c r="E191" s="222" t="s">
        <v>194</v>
      </c>
      <c r="F191" s="702" t="s">
        <v>194</v>
      </c>
    </row>
    <row r="192">
      <c r="C192" s="703" t="s">
        <v>194</v>
      </c>
      <c r="D192" s="51" t="s">
        <v>194</v>
      </c>
      <c r="E192" s="222" t="s">
        <v>194</v>
      </c>
      <c r="F192" s="702" t="s">
        <v>194</v>
      </c>
    </row>
    <row r="193">
      <c r="C193" s="703" t="s">
        <v>194</v>
      </c>
      <c r="D193" s="51" t="s">
        <v>194</v>
      </c>
      <c r="E193" s="222" t="s">
        <v>194</v>
      </c>
      <c r="F193" s="702" t="s">
        <v>194</v>
      </c>
    </row>
    <row r="194">
      <c r="C194" s="703" t="s">
        <v>194</v>
      </c>
      <c r="D194" s="51" t="s">
        <v>194</v>
      </c>
      <c r="E194" s="222" t="s">
        <v>194</v>
      </c>
      <c r="F194" s="702" t="s">
        <v>194</v>
      </c>
    </row>
    <row r="195">
      <c r="C195" s="703" t="s">
        <v>194</v>
      </c>
      <c r="D195" s="51" t="s">
        <v>194</v>
      </c>
      <c r="E195" s="222" t="s">
        <v>194</v>
      </c>
      <c r="F195" s="702" t="s">
        <v>194</v>
      </c>
    </row>
    <row r="196">
      <c r="C196" s="703" t="s">
        <v>194</v>
      </c>
      <c r="D196" s="51" t="s">
        <v>194</v>
      </c>
      <c r="E196" s="222" t="s">
        <v>194</v>
      </c>
      <c r="F196" s="702" t="s">
        <v>194</v>
      </c>
    </row>
    <row r="197">
      <c r="C197" s="703" t="s">
        <v>194</v>
      </c>
      <c r="D197" s="51" t="s">
        <v>194</v>
      </c>
      <c r="E197" s="222" t="s">
        <v>194</v>
      </c>
      <c r="F197" s="702" t="s">
        <v>194</v>
      </c>
    </row>
    <row r="198">
      <c r="C198" s="703" t="s">
        <v>194</v>
      </c>
      <c r="D198" s="51" t="s">
        <v>194</v>
      </c>
      <c r="E198" s="222" t="s">
        <v>194</v>
      </c>
      <c r="F198" s="702" t="s">
        <v>194</v>
      </c>
    </row>
    <row r="199">
      <c r="C199" s="703" t="s">
        <v>194</v>
      </c>
      <c r="D199" s="51" t="s">
        <v>194</v>
      </c>
      <c r="E199" s="222" t="s">
        <v>194</v>
      </c>
      <c r="F199" s="702" t="s">
        <v>194</v>
      </c>
    </row>
    <row r="200">
      <c r="C200" s="703" t="s">
        <v>194</v>
      </c>
      <c r="D200" s="51" t="s">
        <v>194</v>
      </c>
      <c r="E200" s="222" t="s">
        <v>194</v>
      </c>
      <c r="F200" s="702" t="s">
        <v>194</v>
      </c>
    </row>
    <row r="201">
      <c r="C201" s="703" t="s">
        <v>194</v>
      </c>
      <c r="D201" s="51" t="s">
        <v>194</v>
      </c>
      <c r="E201" s="222" t="s">
        <v>194</v>
      </c>
      <c r="F201" s="702" t="s">
        <v>194</v>
      </c>
    </row>
    <row r="202">
      <c r="C202" s="703" t="s">
        <v>194</v>
      </c>
      <c r="D202" s="51" t="s">
        <v>194</v>
      </c>
      <c r="E202" s="222" t="s">
        <v>194</v>
      </c>
      <c r="F202" s="702" t="s">
        <v>194</v>
      </c>
    </row>
    <row r="203">
      <c r="C203" s="703" t="s">
        <v>194</v>
      </c>
      <c r="D203" s="51" t="s">
        <v>194</v>
      </c>
      <c r="E203" s="222" t="s">
        <v>194</v>
      </c>
      <c r="F203" s="702" t="s">
        <v>194</v>
      </c>
    </row>
    <row r="204">
      <c r="C204" s="703" t="s">
        <v>194</v>
      </c>
      <c r="D204" s="51" t="s">
        <v>194</v>
      </c>
      <c r="E204" s="222" t="s">
        <v>194</v>
      </c>
      <c r="F204" s="702" t="s">
        <v>194</v>
      </c>
    </row>
    <row r="205">
      <c r="C205" s="703" t="s">
        <v>194</v>
      </c>
      <c r="D205" s="51" t="s">
        <v>194</v>
      </c>
      <c r="E205" s="222" t="s">
        <v>194</v>
      </c>
      <c r="F205" s="702" t="s">
        <v>194</v>
      </c>
    </row>
    <row r="206">
      <c r="C206" s="703"/>
      <c r="E206" s="222"/>
      <c r="F206" s="702"/>
    </row>
    <row r="207">
      <c r="C207" s="703"/>
      <c r="E207" s="222"/>
      <c r="F207" s="702"/>
    </row>
    <row r="208">
      <c r="C208" s="703"/>
      <c r="E208" s="222"/>
      <c r="F208" s="702"/>
    </row>
    <row r="209">
      <c r="C209" s="703"/>
      <c r="E209" s="222"/>
      <c r="F209" s="702"/>
    </row>
    <row r="210">
      <c r="C210" s="703"/>
      <c r="E210" s="222"/>
      <c r="F210" s="702"/>
    </row>
    <row r="211">
      <c r="C211" s="703"/>
      <c r="E211" s="222"/>
      <c r="F211" s="702"/>
    </row>
    <row r="212">
      <c r="C212" s="703"/>
      <c r="E212" s="222"/>
      <c r="F212" s="702"/>
    </row>
    <row r="213">
      <c r="C213" s="703"/>
      <c r="E213" s="222"/>
      <c r="F213" s="702"/>
    </row>
    <row r="214">
      <c r="C214" s="703"/>
      <c r="E214" s="222"/>
      <c r="F214" s="702"/>
    </row>
    <row r="215">
      <c r="C215" s="703"/>
      <c r="E215" s="222"/>
      <c r="F215" s="702"/>
    </row>
    <row r="216">
      <c r="C216" s="703"/>
      <c r="E216" s="222"/>
      <c r="F216" s="702"/>
    </row>
    <row r="217">
      <c r="C217" s="703"/>
      <c r="E217" s="222"/>
      <c r="F217" s="702"/>
    </row>
    <row r="218">
      <c r="C218" s="703"/>
      <c r="E218" s="222"/>
      <c r="F218" s="702"/>
    </row>
    <row r="219">
      <c r="C219" s="703"/>
      <c r="E219" s="222"/>
      <c r="F219" s="702"/>
    </row>
    <row r="220">
      <c r="C220" s="703"/>
      <c r="E220" s="222"/>
      <c r="F220" s="702"/>
    </row>
    <row r="221">
      <c r="C221" s="703"/>
      <c r="E221" s="222"/>
      <c r="F221" s="702"/>
    </row>
    <row r="222">
      <c r="C222" s="703"/>
      <c r="E222" s="222"/>
      <c r="F222" s="702"/>
    </row>
    <row r="223">
      <c r="C223" s="703"/>
      <c r="E223" s="222"/>
      <c r="F223" s="702"/>
    </row>
    <row r="224">
      <c r="C224" s="703"/>
      <c r="E224" s="222"/>
      <c r="F224" s="702"/>
    </row>
    <row r="225">
      <c r="C225" s="703"/>
      <c r="E225" s="222"/>
      <c r="F225" s="702"/>
    </row>
    <row r="226">
      <c r="C226" s="703"/>
      <c r="E226" s="222"/>
      <c r="F226" s="702"/>
    </row>
    <row r="227">
      <c r="C227" s="703"/>
      <c r="E227" s="222"/>
      <c r="F227" s="702"/>
    </row>
    <row r="228">
      <c r="C228" s="703"/>
      <c r="E228" s="222"/>
      <c r="F228" s="702"/>
    </row>
    <row r="229">
      <c r="C229" s="703"/>
      <c r="E229" s="222"/>
      <c r="F229" s="702"/>
    </row>
    <row r="230">
      <c r="C230" s="703"/>
      <c r="E230" s="222"/>
      <c r="F230" s="702"/>
    </row>
    <row r="231">
      <c r="C231" s="703"/>
      <c r="E231" s="222"/>
      <c r="F231" s="702"/>
    </row>
    <row r="232">
      <c r="C232" s="703"/>
      <c r="E232" s="222"/>
      <c r="F232" s="702"/>
    </row>
    <row r="233">
      <c r="C233" s="703"/>
      <c r="E233" s="222"/>
      <c r="F233" s="702"/>
    </row>
    <row r="234">
      <c r="C234" s="703"/>
      <c r="E234" s="222"/>
      <c r="F234" s="702"/>
    </row>
    <row r="235">
      <c r="C235" s="703"/>
      <c r="E235" s="222"/>
      <c r="F235" s="702"/>
    </row>
    <row r="236">
      <c r="C236" s="703"/>
      <c r="E236" s="222"/>
      <c r="F236" s="702"/>
    </row>
    <row r="237">
      <c r="C237" s="703"/>
      <c r="E237" s="222"/>
      <c r="F237" s="702"/>
    </row>
    <row r="238">
      <c r="C238" s="703"/>
      <c r="E238" s="222"/>
      <c r="F238" s="702"/>
    </row>
    <row r="239">
      <c r="C239" s="703"/>
      <c r="E239" s="222"/>
      <c r="F239" s="702"/>
    </row>
    <row r="240">
      <c r="C240" s="703"/>
      <c r="E240" s="222"/>
      <c r="F240" s="702"/>
    </row>
    <row r="241">
      <c r="C241" s="703"/>
      <c r="E241" s="222"/>
      <c r="F241" s="702"/>
    </row>
    <row r="242">
      <c r="C242" s="703"/>
      <c r="E242" s="222"/>
      <c r="F242" s="702"/>
    </row>
    <row r="243">
      <c r="C243" s="703"/>
      <c r="E243" s="222"/>
      <c r="F243" s="702"/>
    </row>
    <row r="244">
      <c r="C244" s="703"/>
      <c r="E244" s="222"/>
      <c r="F244" s="702"/>
    </row>
    <row r="245">
      <c r="C245" s="703"/>
      <c r="E245" s="222"/>
      <c r="F245" s="702"/>
    </row>
    <row r="246">
      <c r="C246" s="703"/>
      <c r="E246" s="222"/>
      <c r="F246" s="702"/>
    </row>
    <row r="247">
      <c r="C247" s="703"/>
      <c r="E247" s="222"/>
      <c r="F247" s="702"/>
    </row>
    <row r="248">
      <c r="C248" s="703"/>
      <c r="E248" s="222"/>
      <c r="F248" s="702"/>
    </row>
    <row r="249">
      <c r="C249" s="703"/>
      <c r="E249" s="222"/>
      <c r="F249" s="702"/>
    </row>
    <row r="250">
      <c r="C250" s="703"/>
      <c r="E250" s="222"/>
      <c r="F250" s="702"/>
    </row>
    <row r="251">
      <c r="C251" s="703"/>
      <c r="E251" s="222"/>
      <c r="F251" s="702"/>
    </row>
    <row r="252">
      <c r="C252" s="703"/>
      <c r="E252" s="222"/>
      <c r="F252" s="702"/>
    </row>
    <row r="253">
      <c r="C253" s="703"/>
      <c r="E253" s="222"/>
      <c r="F253" s="702"/>
    </row>
    <row r="254">
      <c r="C254" s="703"/>
      <c r="E254" s="222"/>
      <c r="F254" s="702"/>
    </row>
    <row r="255">
      <c r="C255" s="703"/>
      <c r="E255" s="222"/>
      <c r="F255" s="702"/>
    </row>
    <row r="256">
      <c r="C256" s="703"/>
      <c r="E256" s="222"/>
      <c r="F256" s="702"/>
    </row>
    <row r="257">
      <c r="C257" s="703"/>
      <c r="E257" s="222"/>
      <c r="F257" s="702"/>
    </row>
    <row r="258">
      <c r="C258" s="703"/>
      <c r="E258" s="222"/>
      <c r="F258" s="702"/>
    </row>
    <row r="259">
      <c r="C259" s="703"/>
      <c r="E259" s="222"/>
      <c r="F259" s="702"/>
    </row>
    <row r="260">
      <c r="C260" s="703"/>
      <c r="E260" s="222"/>
      <c r="F260" s="702"/>
    </row>
    <row r="261">
      <c r="C261" s="703"/>
      <c r="E261" s="222"/>
      <c r="F261" s="702"/>
    </row>
    <row r="262">
      <c r="C262" s="703"/>
      <c r="E262" s="222"/>
      <c r="F262" s="702"/>
    </row>
    <row r="263">
      <c r="C263" s="703"/>
      <c r="E263" s="222"/>
      <c r="F263" s="702"/>
    </row>
    <row r="264">
      <c r="C264" s="703"/>
      <c r="E264" s="222"/>
      <c r="F264" s="702"/>
    </row>
    <row r="265">
      <c r="C265" s="703"/>
      <c r="E265" s="222"/>
      <c r="F265" s="702"/>
    </row>
    <row r="266">
      <c r="C266" s="703"/>
      <c r="E266" s="222"/>
      <c r="F266" s="702"/>
    </row>
    <row r="267">
      <c r="C267" s="703"/>
      <c r="E267" s="222"/>
      <c r="F267" s="702"/>
    </row>
    <row r="268">
      <c r="C268" s="703"/>
      <c r="E268" s="222"/>
      <c r="F268" s="702"/>
    </row>
    <row r="269">
      <c r="C269" s="703"/>
      <c r="E269" s="222"/>
      <c r="F269" s="702"/>
    </row>
    <row r="270">
      <c r="C270" s="703"/>
      <c r="E270" s="222"/>
      <c r="F270" s="702"/>
    </row>
    <row r="271">
      <c r="C271" s="703"/>
      <c r="E271" s="222"/>
      <c r="F271" s="702"/>
    </row>
    <row r="272">
      <c r="C272" s="703"/>
      <c r="E272" s="222"/>
      <c r="F272" s="702"/>
    </row>
    <row r="273">
      <c r="C273" s="703"/>
      <c r="E273" s="222"/>
      <c r="F273" s="702"/>
    </row>
    <row r="274">
      <c r="C274" s="703"/>
      <c r="E274" s="222"/>
      <c r="F274" s="702"/>
    </row>
    <row r="275">
      <c r="C275" s="703"/>
      <c r="E275" s="222"/>
      <c r="F275" s="702"/>
    </row>
    <row r="276">
      <c r="C276" s="703"/>
      <c r="E276" s="222"/>
      <c r="F276" s="702"/>
    </row>
    <row r="277">
      <c r="C277" s="703"/>
      <c r="E277" s="222"/>
      <c r="F277" s="702"/>
    </row>
    <row r="278">
      <c r="C278" s="703"/>
      <c r="E278" s="222"/>
      <c r="F278" s="702"/>
    </row>
    <row r="279">
      <c r="C279" s="703"/>
      <c r="E279" s="222"/>
      <c r="F279" s="702"/>
    </row>
    <row r="280">
      <c r="C280" s="703"/>
      <c r="E280" s="222"/>
      <c r="F280" s="702"/>
    </row>
    <row r="281">
      <c r="C281" s="703"/>
      <c r="E281" s="222"/>
      <c r="F281" s="702"/>
    </row>
    <row r="282">
      <c r="C282" s="703"/>
      <c r="E282" s="222"/>
      <c r="F282" s="702"/>
    </row>
    <row r="283">
      <c r="C283" s="703"/>
      <c r="E283" s="222"/>
      <c r="F283" s="702"/>
    </row>
    <row r="284">
      <c r="C284" s="703"/>
      <c r="E284" s="222"/>
      <c r="F284" s="702"/>
    </row>
    <row r="285">
      <c r="C285" s="703"/>
      <c r="E285" s="222"/>
      <c r="F285" s="702"/>
    </row>
    <row r="286">
      <c r="C286" s="703"/>
      <c r="E286" s="222"/>
      <c r="F286" s="702"/>
    </row>
    <row r="287">
      <c r="C287" s="703"/>
      <c r="E287" s="222"/>
      <c r="F287" s="702"/>
    </row>
    <row r="288">
      <c r="C288" s="703"/>
      <c r="E288" s="222"/>
      <c r="F288" s="702"/>
    </row>
    <row r="289">
      <c r="C289" s="703"/>
      <c r="E289" s="222"/>
      <c r="F289" s="702"/>
    </row>
    <row r="290">
      <c r="C290" s="703"/>
      <c r="E290" s="222"/>
      <c r="F290" s="702"/>
    </row>
    <row r="291">
      <c r="C291" s="703"/>
      <c r="E291" s="222"/>
      <c r="F291" s="702"/>
    </row>
    <row r="292">
      <c r="C292" s="703"/>
      <c r="E292" s="222"/>
      <c r="F292" s="702"/>
    </row>
    <row r="293">
      <c r="C293" s="703"/>
      <c r="E293" s="222"/>
      <c r="F293" s="702"/>
    </row>
    <row r="294">
      <c r="C294" s="703"/>
      <c r="E294" s="222"/>
      <c r="F294" s="702"/>
    </row>
    <row r="295">
      <c r="C295" s="703"/>
      <c r="E295" s="222"/>
      <c r="F295" s="702"/>
    </row>
    <row r="296">
      <c r="C296" s="703"/>
      <c r="E296" s="222"/>
      <c r="F296" s="702"/>
    </row>
    <row r="297">
      <c r="C297" s="703"/>
      <c r="E297" s="222"/>
      <c r="F297" s="702"/>
    </row>
    <row r="298">
      <c r="C298" s="703"/>
      <c r="E298" s="222"/>
      <c r="F298" s="702"/>
    </row>
    <row r="299">
      <c r="C299" s="703"/>
      <c r="E299" s="222"/>
      <c r="F299" s="702"/>
    </row>
    <row r="300">
      <c r="C300" s="703"/>
      <c r="E300" s="222"/>
      <c r="F300" s="702"/>
    </row>
    <row r="301">
      <c r="C301" s="703"/>
      <c r="E301" s="222"/>
      <c r="F301" s="702"/>
    </row>
    <row r="302">
      <c r="C302" s="703"/>
      <c r="E302" s="222"/>
      <c r="F302" s="702"/>
    </row>
    <row r="303">
      <c r="C303" s="703"/>
      <c r="E303" s="222"/>
      <c r="F303" s="702"/>
    </row>
    <row r="304">
      <c r="C304" s="703"/>
      <c r="E304" s="222"/>
      <c r="F304" s="702"/>
    </row>
    <row r="305">
      <c r="C305" s="703"/>
      <c r="E305" s="222"/>
      <c r="F305" s="702"/>
    </row>
    <row r="306">
      <c r="C306" s="703"/>
      <c r="E306" s="222"/>
      <c r="F306" s="702"/>
    </row>
    <row r="307">
      <c r="C307" s="703"/>
      <c r="E307" s="222"/>
      <c r="F307" s="702"/>
    </row>
    <row r="308">
      <c r="C308" s="703"/>
      <c r="E308" s="222"/>
      <c r="F308" s="702"/>
    </row>
    <row r="309">
      <c r="C309" s="703"/>
      <c r="E309" s="222"/>
      <c r="F309" s="702"/>
    </row>
    <row r="310">
      <c r="C310" s="703"/>
      <c r="E310" s="222"/>
      <c r="F310" s="702"/>
    </row>
    <row r="311">
      <c r="C311" s="703"/>
      <c r="E311" s="222"/>
      <c r="F311" s="702"/>
    </row>
    <row r="312">
      <c r="C312" s="703"/>
      <c r="E312" s="222"/>
      <c r="F312" s="702"/>
    </row>
    <row r="313">
      <c r="C313" s="703"/>
      <c r="E313" s="222"/>
      <c r="F313" s="702"/>
    </row>
    <row r="314">
      <c r="C314" s="703"/>
      <c r="E314" s="222"/>
      <c r="F314" s="702"/>
    </row>
    <row r="315">
      <c r="C315" s="703"/>
      <c r="E315" s="222"/>
      <c r="F315" s="702"/>
    </row>
    <row r="316">
      <c r="C316" s="703"/>
      <c r="E316" s="222"/>
      <c r="F316" s="702"/>
    </row>
    <row r="317">
      <c r="C317" s="703"/>
      <c r="E317" s="222"/>
      <c r="F317" s="702"/>
    </row>
    <row r="318">
      <c r="C318" s="703"/>
      <c r="E318" s="222"/>
      <c r="F318" s="702"/>
    </row>
    <row r="319">
      <c r="C319" s="703"/>
      <c r="E319" s="222"/>
      <c r="F319" s="702"/>
    </row>
    <row r="320">
      <c r="C320" s="703"/>
      <c r="E320" s="222"/>
      <c r="F320" s="702"/>
    </row>
    <row r="321">
      <c r="C321" s="703"/>
      <c r="E321" s="222"/>
      <c r="F321" s="702"/>
    </row>
    <row r="322">
      <c r="C322" s="703"/>
      <c r="E322" s="222"/>
      <c r="F322" s="702"/>
    </row>
    <row r="323">
      <c r="C323" s="703"/>
      <c r="E323" s="222"/>
      <c r="F323" s="702"/>
    </row>
    <row r="324">
      <c r="C324" s="703"/>
      <c r="E324" s="222"/>
      <c r="F324" s="702"/>
    </row>
    <row r="325">
      <c r="C325" s="703"/>
      <c r="E325" s="222"/>
      <c r="F325" s="702"/>
    </row>
    <row r="326">
      <c r="C326" s="703"/>
      <c r="E326" s="222"/>
      <c r="F326" s="702"/>
    </row>
    <row r="327">
      <c r="C327" s="703"/>
      <c r="E327" s="222"/>
      <c r="F327" s="702"/>
    </row>
    <row r="328">
      <c r="C328" s="703"/>
      <c r="E328" s="222"/>
      <c r="F328" s="702"/>
    </row>
    <row r="329">
      <c r="C329" s="703"/>
      <c r="E329" s="222"/>
      <c r="F329" s="702"/>
    </row>
    <row r="330">
      <c r="C330" s="703"/>
      <c r="E330" s="222"/>
      <c r="F330" s="702"/>
    </row>
    <row r="331">
      <c r="C331" s="703"/>
      <c r="E331" s="222"/>
      <c r="F331" s="702"/>
    </row>
    <row r="332">
      <c r="C332" s="703"/>
      <c r="E332" s="222"/>
      <c r="F332" s="702"/>
    </row>
    <row r="333">
      <c r="C333" s="703"/>
      <c r="E333" s="222"/>
      <c r="F333" s="702"/>
    </row>
    <row r="334">
      <c r="C334" s="703"/>
      <c r="E334" s="222"/>
      <c r="F334" s="702"/>
    </row>
    <row r="335">
      <c r="C335" s="703"/>
      <c r="E335" s="222"/>
      <c r="F335" s="702"/>
    </row>
    <row r="336">
      <c r="C336" s="703"/>
      <c r="E336" s="222"/>
      <c r="F336" s="702"/>
    </row>
    <row r="337">
      <c r="C337" s="703"/>
      <c r="E337" s="222"/>
      <c r="F337" s="702"/>
    </row>
    <row r="338">
      <c r="C338" s="703"/>
      <c r="E338" s="222"/>
      <c r="F338" s="702"/>
    </row>
    <row r="339">
      <c r="C339" s="703"/>
      <c r="E339" s="222"/>
      <c r="F339" s="702"/>
    </row>
    <row r="340">
      <c r="C340" s="703"/>
      <c r="E340" s="222"/>
      <c r="F340" s="702"/>
    </row>
    <row r="341">
      <c r="C341" s="703"/>
      <c r="E341" s="222"/>
      <c r="F341" s="702"/>
    </row>
    <row r="342">
      <c r="C342" s="703"/>
      <c r="E342" s="222"/>
      <c r="F342" s="702"/>
    </row>
    <row r="343">
      <c r="C343" s="703"/>
      <c r="E343" s="222"/>
      <c r="F343" s="702"/>
    </row>
    <row r="344">
      <c r="C344" s="703"/>
      <c r="E344" s="222"/>
      <c r="F344" s="702"/>
    </row>
    <row r="345">
      <c r="C345" s="703"/>
      <c r="E345" s="222"/>
      <c r="F345" s="702"/>
    </row>
    <row r="346">
      <c r="C346" s="703"/>
      <c r="E346" s="222"/>
      <c r="F346" s="702"/>
    </row>
    <row r="347">
      <c r="C347" s="703"/>
      <c r="E347" s="222"/>
      <c r="F347" s="702"/>
    </row>
    <row r="348">
      <c r="C348" s="703"/>
      <c r="E348" s="222"/>
      <c r="F348" s="702"/>
    </row>
    <row r="349">
      <c r="C349" s="703"/>
      <c r="E349" s="222"/>
      <c r="F349" s="702"/>
    </row>
    <row r="350">
      <c r="C350" s="703"/>
      <c r="E350" s="222"/>
      <c r="F350" s="702"/>
    </row>
    <row r="351">
      <c r="C351" s="703"/>
      <c r="E351" s="222"/>
      <c r="F351" s="702"/>
    </row>
    <row r="352">
      <c r="C352" s="703"/>
      <c r="E352" s="222"/>
      <c r="F352" s="702"/>
    </row>
    <row r="353">
      <c r="C353" s="703"/>
      <c r="E353" s="222"/>
      <c r="F353" s="702"/>
    </row>
    <row r="354">
      <c r="C354" s="703"/>
      <c r="E354" s="222"/>
      <c r="F354" s="702"/>
    </row>
    <row r="355">
      <c r="C355" s="703"/>
      <c r="E355" s="222"/>
      <c r="F355" s="702"/>
    </row>
    <row r="356">
      <c r="C356" s="703"/>
      <c r="E356" s="222"/>
      <c r="F356" s="702"/>
    </row>
    <row r="357">
      <c r="C357" s="703"/>
      <c r="E357" s="222"/>
      <c r="F357" s="702"/>
    </row>
    <row r="358">
      <c r="C358" s="703"/>
      <c r="E358" s="222"/>
      <c r="F358" s="702"/>
    </row>
    <row r="359">
      <c r="C359" s="703"/>
      <c r="E359" s="222"/>
      <c r="F359" s="702"/>
    </row>
    <row r="360">
      <c r="C360" s="703"/>
      <c r="E360" s="222"/>
      <c r="F360" s="702"/>
    </row>
    <row r="361">
      <c r="C361" s="703"/>
      <c r="E361" s="222"/>
      <c r="F361" s="702"/>
    </row>
    <row r="362">
      <c r="C362" s="703"/>
      <c r="E362" s="222"/>
      <c r="F362" s="702"/>
    </row>
    <row r="363">
      <c r="C363" s="703"/>
      <c r="E363" s="222"/>
      <c r="F363" s="702"/>
    </row>
    <row r="364">
      <c r="C364" s="703"/>
      <c r="E364" s="222"/>
      <c r="F364" s="702"/>
    </row>
    <row r="365">
      <c r="C365" s="703"/>
      <c r="E365" s="222"/>
      <c r="F365" s="702"/>
    </row>
    <row r="366">
      <c r="C366" s="703"/>
      <c r="E366" s="222"/>
      <c r="F366" s="702"/>
    </row>
    <row r="367">
      <c r="C367" s="703"/>
      <c r="E367" s="222"/>
      <c r="F367" s="702"/>
    </row>
    <row r="368">
      <c r="C368" s="703"/>
      <c r="E368" s="222"/>
      <c r="F368" s="702"/>
    </row>
    <row r="369">
      <c r="C369" s="703"/>
      <c r="E369" s="222"/>
      <c r="F369" s="702"/>
    </row>
    <row r="370">
      <c r="C370" s="703"/>
      <c r="E370" s="222"/>
      <c r="F370" s="702"/>
    </row>
    <row r="371">
      <c r="C371" s="703"/>
      <c r="E371" s="222"/>
      <c r="F371" s="702"/>
    </row>
    <row r="372">
      <c r="C372" s="703"/>
      <c r="E372" s="222"/>
      <c r="F372" s="702"/>
    </row>
    <row r="373">
      <c r="C373" s="703"/>
      <c r="E373" s="222"/>
      <c r="F373" s="702"/>
    </row>
    <row r="374">
      <c r="C374" s="703"/>
      <c r="E374" s="222"/>
      <c r="F374" s="702"/>
    </row>
    <row r="375">
      <c r="C375" s="703"/>
      <c r="E375" s="222"/>
      <c r="F375" s="702"/>
    </row>
    <row r="376">
      <c r="C376" s="703"/>
      <c r="E376" s="222"/>
      <c r="F376" s="702"/>
    </row>
    <row r="377">
      <c r="C377" s="703"/>
      <c r="E377" s="222"/>
      <c r="F377" s="702"/>
    </row>
    <row r="378">
      <c r="C378" s="703"/>
      <c r="E378" s="222"/>
      <c r="F378" s="702"/>
    </row>
    <row r="379">
      <c r="C379" s="703"/>
      <c r="E379" s="222"/>
      <c r="F379" s="702"/>
    </row>
    <row r="380">
      <c r="C380" s="703"/>
      <c r="E380" s="222"/>
      <c r="F380" s="702"/>
    </row>
    <row r="381">
      <c r="C381" s="703"/>
      <c r="E381" s="222"/>
      <c r="F381" s="702"/>
    </row>
    <row r="382">
      <c r="C382" s="703"/>
      <c r="E382" s="222"/>
      <c r="F382" s="702"/>
    </row>
    <row r="383">
      <c r="C383" s="703"/>
      <c r="E383" s="222"/>
      <c r="F383" s="702"/>
    </row>
    <row r="384">
      <c r="C384" s="703"/>
      <c r="E384" s="222"/>
      <c r="F384" s="702"/>
    </row>
    <row r="385">
      <c r="C385" s="703"/>
      <c r="E385" s="222"/>
      <c r="F385" s="702"/>
    </row>
    <row r="386">
      <c r="C386" s="703"/>
      <c r="E386" s="222"/>
      <c r="F386" s="702"/>
    </row>
    <row r="387">
      <c r="C387" s="703"/>
      <c r="E387" s="222"/>
      <c r="F387" s="702"/>
    </row>
    <row r="388">
      <c r="C388" s="703"/>
      <c r="E388" s="222"/>
      <c r="F388" s="702"/>
    </row>
    <row r="389">
      <c r="C389" s="703"/>
      <c r="E389" s="222"/>
      <c r="F389" s="702"/>
    </row>
    <row r="390">
      <c r="C390" s="703"/>
      <c r="E390" s="222"/>
      <c r="F390" s="702"/>
    </row>
    <row r="391">
      <c r="C391" s="703"/>
      <c r="E391" s="222"/>
      <c r="F391" s="702"/>
    </row>
    <row r="392">
      <c r="C392" s="703"/>
      <c r="E392" s="222"/>
      <c r="F392" s="702"/>
    </row>
    <row r="393">
      <c r="C393" s="703"/>
      <c r="E393" s="222"/>
      <c r="F393" s="702"/>
    </row>
    <row r="394">
      <c r="C394" s="703"/>
      <c r="E394" s="222"/>
      <c r="F394" s="702"/>
    </row>
    <row r="395">
      <c r="C395" s="703"/>
      <c r="E395" s="222"/>
      <c r="F395" s="702"/>
    </row>
    <row r="396">
      <c r="C396" s="703"/>
      <c r="E396" s="222"/>
      <c r="F396" s="702"/>
    </row>
    <row r="397">
      <c r="C397" s="703"/>
      <c r="E397" s="222"/>
      <c r="F397" s="702"/>
    </row>
    <row r="398">
      <c r="C398" s="703"/>
      <c r="E398" s="222"/>
      <c r="F398" s="702"/>
    </row>
    <row r="399">
      <c r="C399" s="703"/>
      <c r="E399" s="222"/>
      <c r="F399" s="702"/>
    </row>
    <row r="400">
      <c r="C400" s="703"/>
      <c r="E400" s="222"/>
      <c r="F400" s="702"/>
    </row>
    <row r="401">
      <c r="C401" s="703"/>
      <c r="E401" s="222"/>
      <c r="F401" s="702"/>
    </row>
    <row r="402">
      <c r="C402" s="703"/>
      <c r="E402" s="222"/>
      <c r="F402" s="702"/>
    </row>
    <row r="403">
      <c r="C403" s="703"/>
      <c r="E403" s="222"/>
      <c r="F403" s="702"/>
    </row>
    <row r="404">
      <c r="C404" s="703"/>
      <c r="E404" s="222"/>
      <c r="F404" s="702"/>
    </row>
    <row r="405">
      <c r="C405" s="703"/>
      <c r="E405" s="222"/>
      <c r="F405" s="702"/>
    </row>
    <row r="406">
      <c r="C406" s="703"/>
      <c r="E406" s="222"/>
      <c r="F406" s="702"/>
    </row>
    <row r="407">
      <c r="C407" s="703"/>
      <c r="E407" s="222"/>
      <c r="F407" s="702"/>
    </row>
    <row r="408">
      <c r="C408" s="703"/>
      <c r="E408" s="222"/>
      <c r="F408" s="702"/>
    </row>
    <row r="409">
      <c r="C409" s="703"/>
      <c r="E409" s="222"/>
      <c r="F409" s="702"/>
    </row>
    <row r="410">
      <c r="C410" s="703"/>
      <c r="E410" s="222"/>
      <c r="F410" s="702"/>
    </row>
    <row r="411">
      <c r="C411" s="703"/>
      <c r="E411" s="222"/>
      <c r="F411" s="702"/>
    </row>
    <row r="412">
      <c r="C412" s="703"/>
      <c r="E412" s="222"/>
      <c r="F412" s="702"/>
    </row>
    <row r="413">
      <c r="C413" s="703"/>
      <c r="E413" s="222"/>
      <c r="F413" s="702"/>
    </row>
    <row r="414">
      <c r="C414" s="703"/>
      <c r="E414" s="222"/>
      <c r="F414" s="702"/>
    </row>
    <row r="415">
      <c r="C415" s="703"/>
      <c r="E415" s="222"/>
      <c r="F415" s="702"/>
    </row>
    <row r="416">
      <c r="C416" s="703"/>
      <c r="E416" s="222"/>
      <c r="F416" s="702"/>
    </row>
    <row r="417">
      <c r="C417" s="703"/>
      <c r="E417" s="222"/>
      <c r="F417" s="702"/>
    </row>
    <row r="418">
      <c r="C418" s="703"/>
      <c r="E418" s="222"/>
      <c r="F418" s="702"/>
    </row>
    <row r="419">
      <c r="C419" s="703"/>
      <c r="E419" s="222"/>
      <c r="F419" s="702"/>
    </row>
    <row r="420">
      <c r="C420" s="703"/>
      <c r="E420" s="222"/>
      <c r="F420" s="702"/>
    </row>
    <row r="421">
      <c r="C421" s="703"/>
      <c r="E421" s="222"/>
      <c r="F421" s="702"/>
    </row>
    <row r="422">
      <c r="C422" s="703"/>
      <c r="E422" s="222"/>
      <c r="F422" s="702"/>
    </row>
    <row r="423">
      <c r="C423" s="703"/>
      <c r="E423" s="222"/>
      <c r="F423" s="702"/>
    </row>
    <row r="424">
      <c r="C424" s="703"/>
      <c r="E424" s="222"/>
      <c r="F424" s="702"/>
    </row>
    <row r="425">
      <c r="C425" s="703"/>
      <c r="E425" s="222"/>
      <c r="F425" s="702"/>
    </row>
    <row r="426">
      <c r="C426" s="703"/>
      <c r="E426" s="222"/>
      <c r="F426" s="702"/>
    </row>
    <row r="427">
      <c r="C427" s="703"/>
      <c r="E427" s="222"/>
      <c r="F427" s="702"/>
    </row>
    <row r="428">
      <c r="C428" s="703"/>
      <c r="E428" s="222"/>
      <c r="F428" s="702"/>
    </row>
    <row r="429">
      <c r="C429" s="703"/>
      <c r="E429" s="222"/>
      <c r="F429" s="702"/>
    </row>
    <row r="430">
      <c r="C430" s="703"/>
      <c r="E430" s="222"/>
      <c r="F430" s="702"/>
    </row>
    <row r="431">
      <c r="C431" s="703"/>
      <c r="E431" s="222"/>
      <c r="F431" s="702"/>
    </row>
    <row r="432">
      <c r="C432" s="703"/>
      <c r="E432" s="222"/>
      <c r="F432" s="702"/>
    </row>
    <row r="433">
      <c r="C433" s="703"/>
      <c r="E433" s="222"/>
      <c r="F433" s="702"/>
    </row>
    <row r="434">
      <c r="C434" s="703"/>
      <c r="E434" s="222"/>
      <c r="F434" s="702"/>
    </row>
    <row r="435">
      <c r="C435" s="703"/>
      <c r="E435" s="222"/>
      <c r="F435" s="702"/>
    </row>
    <row r="436">
      <c r="C436" s="703"/>
      <c r="E436" s="222"/>
      <c r="F436" s="702"/>
    </row>
    <row r="437">
      <c r="C437" s="703"/>
      <c r="E437" s="222"/>
      <c r="F437" s="702"/>
    </row>
    <row r="438">
      <c r="C438" s="703"/>
      <c r="E438" s="222"/>
      <c r="F438" s="702"/>
    </row>
    <row r="439">
      <c r="C439" s="703"/>
      <c r="E439" s="222"/>
      <c r="F439" s="702"/>
    </row>
    <row r="440">
      <c r="C440" s="703"/>
      <c r="E440" s="222"/>
      <c r="F440" s="702"/>
    </row>
    <row r="441">
      <c r="C441" s="703"/>
      <c r="E441" s="222"/>
      <c r="F441" s="702"/>
    </row>
    <row r="442">
      <c r="C442" s="703"/>
      <c r="E442" s="222"/>
      <c r="F442" s="702"/>
    </row>
    <row r="443">
      <c r="C443" s="703"/>
      <c r="E443" s="222"/>
      <c r="F443" s="702"/>
    </row>
    <row r="444">
      <c r="C444" s="703"/>
      <c r="E444" s="222"/>
      <c r="F444" s="702"/>
    </row>
    <row r="445">
      <c r="C445" s="703"/>
      <c r="E445" s="222"/>
      <c r="F445" s="702"/>
    </row>
    <row r="446">
      <c r="C446" s="703"/>
      <c r="E446" s="222"/>
      <c r="F446" s="702"/>
    </row>
    <row r="447">
      <c r="C447" s="703"/>
      <c r="E447" s="222"/>
      <c r="F447" s="702"/>
    </row>
    <row r="448">
      <c r="C448" s="703"/>
      <c r="E448" s="222"/>
      <c r="F448" s="702"/>
    </row>
    <row r="449">
      <c r="C449" s="703"/>
      <c r="E449" s="222"/>
      <c r="F449" s="702"/>
    </row>
    <row r="450">
      <c r="C450" s="703"/>
      <c r="E450" s="222"/>
      <c r="F450" s="702"/>
    </row>
    <row r="451">
      <c r="C451" s="703"/>
      <c r="E451" s="222"/>
      <c r="F451" s="702"/>
    </row>
    <row r="452">
      <c r="C452" s="703"/>
      <c r="E452" s="222"/>
      <c r="F452" s="702"/>
    </row>
    <row r="453">
      <c r="C453" s="703"/>
      <c r="E453" s="222"/>
      <c r="F453" s="702"/>
    </row>
    <row r="454">
      <c r="C454" s="703"/>
      <c r="E454" s="222"/>
      <c r="F454" s="702"/>
    </row>
    <row r="455">
      <c r="C455" s="703"/>
      <c r="E455" s="222"/>
      <c r="F455" s="702"/>
    </row>
    <row r="456">
      <c r="C456" s="703"/>
      <c r="E456" s="222"/>
      <c r="F456" s="702"/>
    </row>
    <row r="457">
      <c r="C457" s="703"/>
      <c r="E457" s="222"/>
      <c r="F457" s="702"/>
    </row>
    <row r="458">
      <c r="C458" s="703"/>
      <c r="E458" s="222"/>
      <c r="F458" s="702"/>
    </row>
    <row r="459">
      <c r="C459" s="703"/>
      <c r="E459" s="222"/>
      <c r="F459" s="702"/>
    </row>
    <row r="460">
      <c r="C460" s="703"/>
      <c r="E460" s="222"/>
      <c r="F460" s="702"/>
    </row>
    <row r="461">
      <c r="C461" s="703"/>
      <c r="E461" s="222"/>
      <c r="F461" s="702"/>
    </row>
    <row r="462">
      <c r="C462" s="703"/>
      <c r="E462" s="222"/>
      <c r="F462" s="702"/>
    </row>
    <row r="463">
      <c r="C463" s="703"/>
      <c r="E463" s="222"/>
      <c r="F463" s="702"/>
    </row>
    <row r="464">
      <c r="C464" s="703"/>
      <c r="E464" s="222"/>
      <c r="F464" s="702"/>
    </row>
    <row r="465">
      <c r="C465" s="703"/>
      <c r="E465" s="222"/>
      <c r="F465" s="702"/>
    </row>
    <row r="466">
      <c r="C466" s="703"/>
      <c r="E466" s="222"/>
      <c r="F466" s="702"/>
    </row>
    <row r="467">
      <c r="C467" s="703"/>
      <c r="E467" s="222"/>
      <c r="F467" s="702"/>
    </row>
    <row r="468">
      <c r="C468" s="703"/>
      <c r="E468" s="222"/>
      <c r="F468" s="702"/>
    </row>
    <row r="469">
      <c r="C469" s="703"/>
      <c r="E469" s="222"/>
      <c r="F469" s="702"/>
    </row>
    <row r="470">
      <c r="C470" s="703"/>
      <c r="E470" s="222"/>
      <c r="F470" s="702"/>
    </row>
    <row r="471">
      <c r="C471" s="703"/>
      <c r="E471" s="222"/>
      <c r="F471" s="702"/>
    </row>
    <row r="472">
      <c r="C472" s="703"/>
      <c r="E472" s="222"/>
      <c r="F472" s="702"/>
    </row>
    <row r="473">
      <c r="C473" s="703"/>
      <c r="E473" s="222"/>
      <c r="F473" s="702"/>
    </row>
    <row r="474">
      <c r="C474" s="703"/>
      <c r="E474" s="222"/>
      <c r="F474" s="702"/>
    </row>
    <row r="475">
      <c r="C475" s="703"/>
      <c r="E475" s="222"/>
      <c r="F475" s="702"/>
    </row>
    <row r="476">
      <c r="C476" s="703"/>
      <c r="E476" s="222"/>
      <c r="F476" s="702"/>
    </row>
    <row r="477">
      <c r="C477" s="703"/>
      <c r="E477" s="222"/>
      <c r="F477" s="702"/>
    </row>
    <row r="478">
      <c r="C478" s="703"/>
      <c r="E478" s="222"/>
      <c r="F478" s="702"/>
    </row>
    <row r="479">
      <c r="C479" s="703"/>
      <c r="E479" s="222"/>
      <c r="F479" s="702"/>
    </row>
    <row r="480">
      <c r="C480" s="703"/>
      <c r="E480" s="222"/>
      <c r="F480" s="702"/>
    </row>
    <row r="481">
      <c r="C481" s="703"/>
      <c r="E481" s="222"/>
      <c r="F481" s="702"/>
    </row>
    <row r="482">
      <c r="C482" s="703"/>
      <c r="E482" s="222"/>
      <c r="F482" s="702"/>
    </row>
    <row r="483">
      <c r="C483" s="703"/>
      <c r="E483" s="222"/>
      <c r="F483" s="702"/>
    </row>
    <row r="484">
      <c r="C484" s="703"/>
      <c r="E484" s="222"/>
      <c r="F484" s="702"/>
    </row>
    <row r="485">
      <c r="C485" s="703"/>
      <c r="E485" s="222"/>
      <c r="F485" s="702"/>
    </row>
    <row r="486">
      <c r="C486" s="703"/>
      <c r="E486" s="222"/>
      <c r="F486" s="702"/>
    </row>
    <row r="487">
      <c r="C487" s="703"/>
      <c r="E487" s="222"/>
      <c r="F487" s="702"/>
    </row>
    <row r="488">
      <c r="C488" s="703"/>
      <c r="E488" s="222"/>
      <c r="F488" s="702"/>
    </row>
    <row r="489">
      <c r="C489" s="703"/>
      <c r="E489" s="222"/>
      <c r="F489" s="702"/>
    </row>
    <row r="490">
      <c r="C490" s="703"/>
      <c r="E490" s="222"/>
      <c r="F490" s="702"/>
    </row>
    <row r="491">
      <c r="C491" s="703"/>
      <c r="E491" s="222"/>
      <c r="F491" s="702"/>
    </row>
    <row r="492">
      <c r="C492" s="703"/>
      <c r="E492" s="222"/>
      <c r="F492" s="702"/>
    </row>
    <row r="493">
      <c r="C493" s="703"/>
      <c r="E493" s="222"/>
      <c r="F493" s="702"/>
    </row>
    <row r="494">
      <c r="C494" s="703"/>
      <c r="E494" s="222"/>
      <c r="F494" s="702"/>
    </row>
    <row r="495">
      <c r="C495" s="703"/>
      <c r="E495" s="222"/>
      <c r="F495" s="702"/>
    </row>
    <row r="496">
      <c r="C496" s="703"/>
      <c r="E496" s="222"/>
      <c r="F496" s="702"/>
    </row>
    <row r="497">
      <c r="C497" s="703"/>
      <c r="E497" s="222"/>
      <c r="F497" s="702"/>
    </row>
    <row r="498">
      <c r="C498" s="703"/>
      <c r="E498" s="222"/>
      <c r="F498" s="702"/>
    </row>
    <row r="499">
      <c r="C499" s="703"/>
      <c r="E499" s="222"/>
      <c r="F499" s="702"/>
    </row>
    <row r="500">
      <c r="C500" s="703"/>
      <c r="E500" s="222"/>
      <c r="F500" s="702"/>
    </row>
    <row r="501">
      <c r="C501" s="703"/>
      <c r="E501" s="222"/>
      <c r="F501" s="702"/>
    </row>
    <row r="502">
      <c r="C502" s="703"/>
      <c r="E502" s="222"/>
      <c r="F502" s="702"/>
    </row>
    <row r="503">
      <c r="C503" s="703"/>
      <c r="E503" s="222"/>
      <c r="F503" s="702"/>
    </row>
    <row r="504">
      <c r="C504" s="703"/>
      <c r="E504" s="222"/>
      <c r="F504" s="702"/>
    </row>
    <row r="505">
      <c r="C505" s="703"/>
      <c r="E505" s="222"/>
      <c r="F505" s="702"/>
    </row>
    <row r="506">
      <c r="C506" s="703"/>
      <c r="E506" s="222"/>
      <c r="F506" s="702"/>
    </row>
    <row r="507">
      <c r="C507" s="703"/>
      <c r="E507" s="222"/>
      <c r="F507" s="702"/>
    </row>
    <row r="508">
      <c r="C508" s="703"/>
      <c r="E508" s="222"/>
      <c r="F508" s="702"/>
    </row>
    <row r="509">
      <c r="C509" s="703"/>
      <c r="E509" s="222"/>
      <c r="F509" s="702"/>
    </row>
    <row r="510">
      <c r="C510" s="703"/>
      <c r="E510" s="222"/>
      <c r="F510" s="702"/>
    </row>
    <row r="511">
      <c r="C511" s="703"/>
      <c r="E511" s="222"/>
      <c r="F511" s="702"/>
    </row>
    <row r="512">
      <c r="C512" s="703"/>
      <c r="E512" s="222"/>
      <c r="F512" s="702"/>
    </row>
    <row r="513">
      <c r="C513" s="703"/>
      <c r="E513" s="222"/>
      <c r="F513" s="702"/>
    </row>
    <row r="514">
      <c r="C514" s="703"/>
      <c r="E514" s="222"/>
      <c r="F514" s="702"/>
    </row>
    <row r="515">
      <c r="C515" s="703"/>
      <c r="E515" s="222"/>
      <c r="F515" s="702"/>
    </row>
    <row r="516">
      <c r="C516" s="703"/>
      <c r="E516" s="222"/>
      <c r="F516" s="702"/>
    </row>
    <row r="517">
      <c r="C517" s="703"/>
      <c r="E517" s="222"/>
      <c r="F517" s="702"/>
    </row>
    <row r="518">
      <c r="C518" s="703"/>
      <c r="E518" s="222"/>
      <c r="F518" s="702"/>
    </row>
    <row r="519">
      <c r="C519" s="703"/>
      <c r="E519" s="222"/>
      <c r="F519" s="702"/>
    </row>
    <row r="520">
      <c r="C520" s="703"/>
      <c r="E520" s="222"/>
      <c r="F520" s="702"/>
    </row>
    <row r="521">
      <c r="C521" s="703"/>
      <c r="E521" s="222"/>
      <c r="F521" s="702"/>
    </row>
    <row r="522">
      <c r="C522" s="703"/>
      <c r="E522" s="222"/>
      <c r="F522" s="702"/>
    </row>
    <row r="523">
      <c r="C523" s="703"/>
      <c r="E523" s="222"/>
      <c r="F523" s="702"/>
    </row>
    <row r="524">
      <c r="C524" s="703"/>
      <c r="E524" s="222"/>
      <c r="F524" s="702"/>
    </row>
    <row r="525">
      <c r="C525" s="703"/>
      <c r="E525" s="222"/>
      <c r="F525" s="702"/>
    </row>
    <row r="526">
      <c r="C526" s="703"/>
      <c r="E526" s="222"/>
      <c r="F526" s="702"/>
    </row>
    <row r="527">
      <c r="C527" s="703"/>
      <c r="E527" s="222"/>
      <c r="F527" s="702"/>
    </row>
    <row r="528">
      <c r="C528" s="703"/>
      <c r="E528" s="222"/>
      <c r="F528" s="702"/>
    </row>
    <row r="529">
      <c r="C529" s="703"/>
      <c r="E529" s="222"/>
      <c r="F529" s="702"/>
    </row>
    <row r="530">
      <c r="C530" s="703"/>
      <c r="E530" s="222"/>
      <c r="F530" s="702"/>
    </row>
    <row r="531">
      <c r="C531" s="703"/>
      <c r="E531" s="222"/>
      <c r="F531" s="702"/>
    </row>
    <row r="532">
      <c r="C532" s="703"/>
      <c r="E532" s="222"/>
      <c r="F532" s="702"/>
    </row>
    <row r="533">
      <c r="C533" s="703"/>
      <c r="E533" s="222"/>
      <c r="F533" s="702"/>
    </row>
    <row r="534">
      <c r="C534" s="703"/>
      <c r="E534" s="222"/>
      <c r="F534" s="702"/>
    </row>
    <row r="535">
      <c r="C535" s="703"/>
      <c r="E535" s="222"/>
      <c r="F535" s="702"/>
    </row>
    <row r="536">
      <c r="C536" s="703"/>
      <c r="E536" s="222"/>
      <c r="F536" s="702"/>
    </row>
    <row r="537">
      <c r="C537" s="703"/>
      <c r="E537" s="222"/>
      <c r="F537" s="702"/>
    </row>
    <row r="538">
      <c r="C538" s="703"/>
      <c r="E538" s="222"/>
      <c r="F538" s="702"/>
    </row>
    <row r="539">
      <c r="C539" s="703"/>
      <c r="E539" s="222"/>
      <c r="F539" s="702"/>
    </row>
    <row r="540">
      <c r="C540" s="703"/>
      <c r="E540" s="222"/>
      <c r="F540" s="702"/>
    </row>
    <row r="541">
      <c r="C541" s="703"/>
      <c r="E541" s="222"/>
      <c r="F541" s="702"/>
    </row>
    <row r="542">
      <c r="C542" s="703"/>
      <c r="E542" s="222"/>
      <c r="F542" s="702"/>
    </row>
    <row r="543">
      <c r="C543" s="703"/>
      <c r="E543" s="222"/>
      <c r="F543" s="702"/>
    </row>
    <row r="544">
      <c r="C544" s="703"/>
      <c r="E544" s="222"/>
      <c r="F544" s="702"/>
    </row>
    <row r="545">
      <c r="C545" s="703"/>
      <c r="E545" s="222"/>
      <c r="F545" s="702"/>
    </row>
    <row r="546">
      <c r="C546" s="703"/>
      <c r="E546" s="222"/>
      <c r="F546" s="702"/>
    </row>
    <row r="547">
      <c r="C547" s="703"/>
      <c r="E547" s="222"/>
      <c r="F547" s="702"/>
    </row>
    <row r="548">
      <c r="C548" s="703"/>
      <c r="E548" s="222"/>
      <c r="F548" s="702"/>
    </row>
    <row r="549">
      <c r="C549" s="703"/>
      <c r="E549" s="222"/>
      <c r="F549" s="702"/>
    </row>
    <row r="550">
      <c r="C550" s="703"/>
      <c r="E550" s="222"/>
      <c r="F550" s="702"/>
    </row>
    <row r="551">
      <c r="C551" s="703"/>
      <c r="E551" s="222"/>
      <c r="F551" s="702"/>
    </row>
    <row r="552">
      <c r="C552" s="703"/>
      <c r="E552" s="222"/>
      <c r="F552" s="702"/>
    </row>
    <row r="553">
      <c r="C553" s="703"/>
      <c r="E553" s="222"/>
      <c r="F553" s="702"/>
    </row>
    <row r="554">
      <c r="C554" s="703"/>
      <c r="E554" s="222"/>
      <c r="F554" s="702"/>
    </row>
    <row r="555">
      <c r="C555" s="703"/>
      <c r="E555" s="222"/>
      <c r="F555" s="702"/>
    </row>
    <row r="556">
      <c r="C556" s="703"/>
      <c r="E556" s="222"/>
      <c r="F556" s="702"/>
    </row>
    <row r="557">
      <c r="C557" s="703"/>
      <c r="E557" s="222"/>
      <c r="F557" s="702"/>
    </row>
    <row r="558">
      <c r="C558" s="703"/>
      <c r="E558" s="222"/>
      <c r="F558" s="702"/>
    </row>
    <row r="559">
      <c r="C559" s="703"/>
      <c r="E559" s="222"/>
      <c r="F559" s="702"/>
    </row>
    <row r="560">
      <c r="C560" s="703"/>
      <c r="E560" s="222"/>
      <c r="F560" s="702"/>
    </row>
    <row r="561">
      <c r="C561" s="703"/>
      <c r="E561" s="222"/>
      <c r="F561" s="702"/>
    </row>
    <row r="562">
      <c r="C562" s="703"/>
      <c r="E562" s="222"/>
      <c r="F562" s="702"/>
    </row>
    <row r="563">
      <c r="C563" s="703"/>
      <c r="E563" s="222"/>
      <c r="F563" s="702"/>
    </row>
    <row r="564">
      <c r="C564" s="703"/>
      <c r="E564" s="222"/>
      <c r="F564" s="702"/>
    </row>
    <row r="565">
      <c r="C565" s="703"/>
      <c r="E565" s="222"/>
      <c r="F565" s="702"/>
    </row>
    <row r="566">
      <c r="C566" s="703"/>
      <c r="E566" s="222"/>
      <c r="F566" s="702"/>
    </row>
    <row r="567">
      <c r="C567" s="703"/>
      <c r="E567" s="222"/>
      <c r="F567" s="702"/>
    </row>
    <row r="568">
      <c r="C568" s="703"/>
      <c r="E568" s="222"/>
      <c r="F568" s="702"/>
    </row>
    <row r="569">
      <c r="C569" s="703"/>
      <c r="E569" s="222"/>
      <c r="F569" s="702"/>
    </row>
    <row r="570">
      <c r="C570" s="703"/>
      <c r="E570" s="222"/>
      <c r="F570" s="702"/>
    </row>
    <row r="571">
      <c r="C571" s="703"/>
      <c r="E571" s="222"/>
      <c r="F571" s="702"/>
    </row>
    <row r="572">
      <c r="C572" s="703"/>
      <c r="E572" s="222"/>
      <c r="F572" s="702"/>
    </row>
    <row r="573">
      <c r="C573" s="703"/>
      <c r="E573" s="222"/>
      <c r="F573" s="702"/>
    </row>
    <row r="574">
      <c r="C574" s="703"/>
      <c r="E574" s="222"/>
      <c r="F574" s="702"/>
    </row>
    <row r="575">
      <c r="C575" s="703"/>
      <c r="E575" s="222"/>
      <c r="F575" s="702"/>
    </row>
    <row r="576">
      <c r="C576" s="703"/>
      <c r="E576" s="222"/>
      <c r="F576" s="702"/>
    </row>
    <row r="577">
      <c r="C577" s="703"/>
      <c r="E577" s="222"/>
      <c r="F577" s="702"/>
    </row>
    <row r="578">
      <c r="C578" s="703"/>
      <c r="E578" s="222"/>
      <c r="F578" s="702"/>
    </row>
    <row r="579">
      <c r="C579" s="703"/>
      <c r="E579" s="222"/>
      <c r="F579" s="702"/>
    </row>
    <row r="580">
      <c r="C580" s="703"/>
      <c r="E580" s="222"/>
      <c r="F580" s="702"/>
    </row>
    <row r="581">
      <c r="C581" s="703"/>
      <c r="E581" s="222"/>
      <c r="F581" s="702"/>
    </row>
    <row r="582">
      <c r="C582" s="703"/>
      <c r="E582" s="222"/>
      <c r="F582" s="702"/>
    </row>
    <row r="583">
      <c r="C583" s="703"/>
      <c r="E583" s="222"/>
      <c r="F583" s="702"/>
    </row>
    <row r="584">
      <c r="C584" s="703"/>
      <c r="E584" s="222"/>
      <c r="F584" s="702"/>
    </row>
    <row r="585">
      <c r="C585" s="703"/>
      <c r="E585" s="222"/>
      <c r="F585" s="702"/>
    </row>
    <row r="586">
      <c r="C586" s="703"/>
      <c r="E586" s="222"/>
      <c r="F586" s="702"/>
    </row>
    <row r="587">
      <c r="C587" s="703"/>
      <c r="E587" s="222"/>
      <c r="F587" s="702"/>
    </row>
    <row r="588">
      <c r="C588" s="703"/>
      <c r="E588" s="222"/>
      <c r="F588" s="702"/>
    </row>
    <row r="589">
      <c r="C589" s="703"/>
      <c r="E589" s="222"/>
      <c r="F589" s="702"/>
    </row>
    <row r="590">
      <c r="C590" s="703"/>
      <c r="E590" s="222"/>
      <c r="F590" s="702"/>
    </row>
    <row r="591">
      <c r="C591" s="703"/>
      <c r="E591" s="222"/>
      <c r="F591" s="702"/>
    </row>
    <row r="592">
      <c r="C592" s="703"/>
      <c r="E592" s="222"/>
      <c r="F592" s="702"/>
    </row>
    <row r="593">
      <c r="C593" s="703"/>
      <c r="E593" s="222"/>
      <c r="F593" s="702"/>
    </row>
    <row r="594">
      <c r="C594" s="703"/>
      <c r="E594" s="222"/>
      <c r="F594" s="702"/>
    </row>
    <row r="595">
      <c r="C595" s="703"/>
      <c r="E595" s="222"/>
      <c r="F595" s="702"/>
    </row>
    <row r="596">
      <c r="C596" s="703"/>
      <c r="E596" s="222"/>
      <c r="F596" s="702"/>
    </row>
    <row r="597">
      <c r="C597" s="703"/>
      <c r="E597" s="222"/>
      <c r="F597" s="702"/>
    </row>
    <row r="598">
      <c r="C598" s="703"/>
      <c r="E598" s="222"/>
      <c r="F598" s="702"/>
    </row>
    <row r="599">
      <c r="C599" s="703"/>
      <c r="E599" s="222"/>
      <c r="F599" s="702"/>
    </row>
    <row r="600">
      <c r="C600" s="703"/>
      <c r="E600" s="222"/>
      <c r="F600" s="702"/>
    </row>
    <row r="601">
      <c r="C601" s="703"/>
      <c r="E601" s="222"/>
      <c r="F601" s="702"/>
    </row>
    <row r="602">
      <c r="C602" s="703"/>
      <c r="E602" s="222"/>
      <c r="F602" s="702"/>
    </row>
    <row r="603">
      <c r="C603" s="703"/>
      <c r="E603" s="222"/>
      <c r="F603" s="702"/>
    </row>
    <row r="604">
      <c r="C604" s="703"/>
      <c r="E604" s="222"/>
      <c r="F604" s="702"/>
    </row>
    <row r="605">
      <c r="C605" s="703"/>
      <c r="E605" s="222"/>
      <c r="F605" s="702"/>
    </row>
    <row r="606">
      <c r="C606" s="703"/>
      <c r="E606" s="222"/>
      <c r="F606" s="702"/>
    </row>
    <row r="607">
      <c r="C607" s="703"/>
      <c r="E607" s="222"/>
      <c r="F607" s="702"/>
    </row>
    <row r="608">
      <c r="C608" s="703"/>
      <c r="E608" s="222"/>
      <c r="F608" s="702"/>
    </row>
    <row r="609">
      <c r="C609" s="703"/>
      <c r="E609" s="222"/>
      <c r="F609" s="702"/>
    </row>
    <row r="610">
      <c r="C610" s="703"/>
      <c r="E610" s="222"/>
      <c r="F610" s="702"/>
    </row>
    <row r="611">
      <c r="C611" s="703"/>
      <c r="E611" s="222"/>
      <c r="F611" s="702"/>
    </row>
    <row r="612">
      <c r="C612" s="703"/>
      <c r="E612" s="222"/>
      <c r="F612" s="702"/>
    </row>
    <row r="613">
      <c r="C613" s="703"/>
      <c r="E613" s="222"/>
      <c r="F613" s="702"/>
    </row>
    <row r="614">
      <c r="C614" s="703"/>
      <c r="E614" s="222"/>
      <c r="F614" s="702"/>
    </row>
    <row r="615">
      <c r="C615" s="703"/>
      <c r="E615" s="222"/>
      <c r="F615" s="702"/>
    </row>
    <row r="616">
      <c r="C616" s="703"/>
      <c r="E616" s="222"/>
      <c r="F616" s="702"/>
    </row>
    <row r="617">
      <c r="C617" s="703"/>
      <c r="E617" s="222"/>
      <c r="F617" s="702"/>
    </row>
    <row r="618">
      <c r="C618" s="703"/>
      <c r="E618" s="222"/>
      <c r="F618" s="702"/>
    </row>
    <row r="619">
      <c r="C619" s="703"/>
      <c r="E619" s="222"/>
      <c r="F619" s="702"/>
    </row>
    <row r="620">
      <c r="C620" s="703"/>
      <c r="E620" s="222"/>
      <c r="F620" s="702"/>
    </row>
    <row r="621">
      <c r="C621" s="703"/>
      <c r="E621" s="222"/>
      <c r="F621" s="702"/>
    </row>
    <row r="622">
      <c r="C622" s="703"/>
      <c r="E622" s="222"/>
      <c r="F622" s="702"/>
    </row>
    <row r="623">
      <c r="C623" s="703"/>
      <c r="E623" s="222"/>
      <c r="F623" s="702"/>
    </row>
    <row r="624">
      <c r="C624" s="703"/>
      <c r="E624" s="222"/>
      <c r="F624" s="702"/>
    </row>
    <row r="625">
      <c r="C625" s="703"/>
      <c r="E625" s="222"/>
      <c r="F625" s="702"/>
    </row>
    <row r="626">
      <c r="C626" s="703"/>
      <c r="E626" s="222"/>
      <c r="F626" s="702"/>
    </row>
    <row r="627">
      <c r="C627" s="703"/>
      <c r="E627" s="222"/>
      <c r="F627" s="702"/>
    </row>
    <row r="628">
      <c r="C628" s="703"/>
      <c r="E628" s="222"/>
      <c r="F628" s="702"/>
    </row>
    <row r="629">
      <c r="C629" s="703"/>
      <c r="E629" s="222"/>
      <c r="F629" s="702"/>
    </row>
    <row r="630">
      <c r="C630" s="703"/>
      <c r="E630" s="222"/>
      <c r="F630" s="702"/>
    </row>
    <row r="631">
      <c r="C631" s="703"/>
      <c r="E631" s="222"/>
      <c r="F631" s="702"/>
    </row>
    <row r="632">
      <c r="C632" s="703"/>
      <c r="E632" s="222"/>
      <c r="F632" s="702"/>
    </row>
    <row r="633">
      <c r="C633" s="703"/>
      <c r="E633" s="222"/>
      <c r="F633" s="702"/>
    </row>
    <row r="634">
      <c r="C634" s="703"/>
      <c r="E634" s="222"/>
      <c r="F634" s="702"/>
    </row>
    <row r="635">
      <c r="C635" s="703"/>
      <c r="E635" s="222"/>
      <c r="F635" s="702"/>
    </row>
    <row r="636">
      <c r="C636" s="703"/>
      <c r="E636" s="222"/>
      <c r="F636" s="702"/>
    </row>
    <row r="637">
      <c r="C637" s="703"/>
      <c r="E637" s="222"/>
      <c r="F637" s="702"/>
    </row>
    <row r="638">
      <c r="C638" s="703"/>
      <c r="E638" s="222"/>
      <c r="F638" s="702"/>
    </row>
    <row r="639">
      <c r="C639" s="703"/>
      <c r="E639" s="222"/>
      <c r="F639" s="702"/>
    </row>
    <row r="640">
      <c r="C640" s="703"/>
      <c r="E640" s="222"/>
      <c r="F640" s="702"/>
    </row>
    <row r="641">
      <c r="C641" s="703"/>
      <c r="E641" s="222"/>
      <c r="F641" s="702"/>
    </row>
    <row r="642">
      <c r="C642" s="703"/>
      <c r="E642" s="222"/>
      <c r="F642" s="702"/>
    </row>
    <row r="643">
      <c r="C643" s="703"/>
      <c r="E643" s="222"/>
      <c r="F643" s="702"/>
    </row>
    <row r="644">
      <c r="C644" s="703"/>
      <c r="E644" s="222"/>
      <c r="F644" s="702"/>
    </row>
    <row r="645">
      <c r="C645" s="703"/>
      <c r="E645" s="222"/>
      <c r="F645" s="702"/>
    </row>
    <row r="646">
      <c r="C646" s="703"/>
      <c r="E646" s="222"/>
      <c r="F646" s="702"/>
    </row>
    <row r="647">
      <c r="C647" s="703"/>
      <c r="E647" s="222"/>
      <c r="F647" s="702"/>
    </row>
    <row r="648">
      <c r="C648" s="703"/>
      <c r="E648" s="222"/>
      <c r="F648" s="702"/>
    </row>
    <row r="649">
      <c r="C649" s="703"/>
      <c r="E649" s="222"/>
      <c r="F649" s="702"/>
    </row>
    <row r="650">
      <c r="C650" s="703"/>
      <c r="E650" s="222"/>
      <c r="F650" s="702"/>
    </row>
    <row r="651">
      <c r="C651" s="703"/>
      <c r="E651" s="222"/>
      <c r="F651" s="702"/>
    </row>
    <row r="652">
      <c r="C652" s="703"/>
      <c r="E652" s="222"/>
      <c r="F652" s="702"/>
    </row>
    <row r="653">
      <c r="C653" s="703"/>
      <c r="E653" s="222"/>
      <c r="F653" s="702"/>
    </row>
    <row r="654">
      <c r="C654" s="703"/>
      <c r="E654" s="222"/>
      <c r="F654" s="702"/>
    </row>
    <row r="655">
      <c r="C655" s="703"/>
      <c r="E655" s="222"/>
      <c r="F655" s="702"/>
    </row>
    <row r="656">
      <c r="C656" s="703"/>
      <c r="E656" s="222"/>
      <c r="F656" s="702"/>
    </row>
    <row r="657">
      <c r="C657" s="703"/>
      <c r="E657" s="222"/>
      <c r="F657" s="702"/>
    </row>
    <row r="658">
      <c r="C658" s="703"/>
      <c r="E658" s="222"/>
      <c r="F658" s="702"/>
    </row>
    <row r="659">
      <c r="C659" s="703"/>
      <c r="E659" s="222"/>
      <c r="F659" s="702"/>
    </row>
    <row r="660">
      <c r="C660" s="703"/>
      <c r="E660" s="222"/>
      <c r="F660" s="702"/>
    </row>
    <row r="661">
      <c r="C661" s="703"/>
      <c r="E661" s="222"/>
      <c r="F661" s="702"/>
    </row>
    <row r="662">
      <c r="C662" s="703"/>
      <c r="E662" s="222"/>
      <c r="F662" s="702"/>
    </row>
    <row r="663">
      <c r="C663" s="703"/>
      <c r="E663" s="222"/>
      <c r="F663" s="702"/>
    </row>
    <row r="664">
      <c r="C664" s="703"/>
      <c r="E664" s="222"/>
      <c r="F664" s="702"/>
    </row>
    <row r="665">
      <c r="C665" s="703"/>
      <c r="E665" s="222"/>
      <c r="F665" s="702"/>
    </row>
    <row r="666">
      <c r="C666" s="703"/>
      <c r="E666" s="222"/>
      <c r="F666" s="702"/>
    </row>
    <row r="667">
      <c r="C667" s="703"/>
      <c r="E667" s="222"/>
      <c r="F667" s="702"/>
    </row>
    <row r="668">
      <c r="C668" s="703"/>
      <c r="E668" s="222"/>
      <c r="F668" s="702"/>
    </row>
    <row r="669">
      <c r="C669" s="703"/>
      <c r="E669" s="222"/>
      <c r="F669" s="702"/>
    </row>
    <row r="670">
      <c r="C670" s="703"/>
      <c r="E670" s="222"/>
      <c r="F670" s="702"/>
    </row>
    <row r="671">
      <c r="C671" s="703"/>
      <c r="E671" s="222"/>
      <c r="F671" s="702"/>
    </row>
    <row r="672">
      <c r="C672" s="703"/>
      <c r="E672" s="222"/>
      <c r="F672" s="702"/>
    </row>
    <row r="673">
      <c r="C673" s="703"/>
      <c r="E673" s="222"/>
      <c r="F673" s="702"/>
    </row>
    <row r="674">
      <c r="C674" s="703"/>
      <c r="E674" s="222"/>
      <c r="F674" s="702"/>
    </row>
    <row r="675">
      <c r="C675" s="703"/>
      <c r="E675" s="222"/>
      <c r="F675" s="702"/>
    </row>
    <row r="676">
      <c r="C676" s="703"/>
      <c r="E676" s="222"/>
      <c r="F676" s="702"/>
    </row>
    <row r="677">
      <c r="C677" s="703"/>
      <c r="E677" s="222"/>
      <c r="F677" s="702"/>
    </row>
    <row r="678">
      <c r="C678" s="703"/>
      <c r="E678" s="222"/>
      <c r="F678" s="702"/>
    </row>
    <row r="679">
      <c r="C679" s="703"/>
      <c r="E679" s="222"/>
      <c r="F679" s="702"/>
    </row>
    <row r="680">
      <c r="C680" s="703"/>
      <c r="E680" s="222"/>
      <c r="F680" s="702"/>
    </row>
    <row r="681">
      <c r="C681" s="703"/>
      <c r="E681" s="222"/>
      <c r="F681" s="702"/>
    </row>
    <row r="682">
      <c r="C682" s="703"/>
      <c r="E682" s="222"/>
      <c r="F682" s="702"/>
    </row>
    <row r="683">
      <c r="C683" s="703"/>
      <c r="E683" s="222"/>
      <c r="F683" s="702"/>
    </row>
    <row r="684">
      <c r="C684" s="703"/>
      <c r="E684" s="222"/>
      <c r="F684" s="702"/>
    </row>
    <row r="685">
      <c r="C685" s="703"/>
      <c r="E685" s="222"/>
      <c r="F685" s="702"/>
    </row>
    <row r="686">
      <c r="C686" s="703"/>
      <c r="E686" s="222"/>
      <c r="F686" s="702"/>
    </row>
    <row r="687">
      <c r="C687" s="703"/>
      <c r="E687" s="222"/>
      <c r="F687" s="702"/>
    </row>
    <row r="688">
      <c r="C688" s="703"/>
      <c r="E688" s="222"/>
      <c r="F688" s="702"/>
    </row>
    <row r="689">
      <c r="C689" s="703"/>
      <c r="E689" s="222"/>
      <c r="F689" s="702"/>
    </row>
    <row r="690">
      <c r="C690" s="703"/>
      <c r="E690" s="222"/>
      <c r="F690" s="702"/>
    </row>
    <row r="691">
      <c r="C691" s="703"/>
      <c r="E691" s="222"/>
      <c r="F691" s="702"/>
    </row>
    <row r="692">
      <c r="C692" s="703"/>
      <c r="E692" s="222"/>
      <c r="F692" s="702"/>
    </row>
    <row r="693">
      <c r="C693" s="703"/>
      <c r="E693" s="222"/>
      <c r="F693" s="702"/>
    </row>
    <row r="694">
      <c r="C694" s="703"/>
      <c r="E694" s="222"/>
      <c r="F694" s="702"/>
    </row>
    <row r="695">
      <c r="C695" s="703"/>
      <c r="E695" s="222"/>
      <c r="F695" s="702"/>
    </row>
    <row r="696">
      <c r="C696" s="703"/>
      <c r="E696" s="222"/>
      <c r="F696" s="702"/>
    </row>
    <row r="697">
      <c r="C697" s="703"/>
      <c r="E697" s="222"/>
      <c r="F697" s="702"/>
    </row>
    <row r="698">
      <c r="C698" s="703"/>
      <c r="E698" s="222"/>
      <c r="F698" s="702"/>
    </row>
    <row r="699">
      <c r="C699" s="703"/>
      <c r="E699" s="222"/>
      <c r="F699" s="702"/>
    </row>
    <row r="700">
      <c r="C700" s="703"/>
      <c r="E700" s="222"/>
      <c r="F700" s="702"/>
    </row>
    <row r="701">
      <c r="C701" s="703"/>
      <c r="E701" s="222"/>
      <c r="F701" s="702"/>
    </row>
    <row r="702">
      <c r="C702" s="703"/>
      <c r="E702" s="222"/>
      <c r="F702" s="702"/>
    </row>
    <row r="703">
      <c r="C703" s="703"/>
      <c r="E703" s="222"/>
      <c r="F703" s="702"/>
    </row>
    <row r="704">
      <c r="C704" s="703"/>
      <c r="E704" s="222"/>
      <c r="F704" s="702"/>
    </row>
    <row r="705">
      <c r="C705" s="703"/>
      <c r="E705" s="222"/>
      <c r="F705" s="702"/>
    </row>
    <row r="706">
      <c r="C706" s="703"/>
      <c r="E706" s="222"/>
      <c r="F706" s="702"/>
    </row>
    <row r="707">
      <c r="C707" s="703"/>
      <c r="E707" s="222"/>
      <c r="F707" s="702"/>
    </row>
    <row r="708">
      <c r="C708" s="703"/>
      <c r="E708" s="222"/>
      <c r="F708" s="702"/>
    </row>
    <row r="709">
      <c r="C709" s="703"/>
      <c r="E709" s="222"/>
      <c r="F709" s="702"/>
    </row>
    <row r="710">
      <c r="C710" s="703"/>
      <c r="E710" s="222"/>
      <c r="F710" s="702"/>
    </row>
    <row r="711">
      <c r="C711" s="703"/>
      <c r="E711" s="222"/>
      <c r="F711" s="702"/>
    </row>
    <row r="712">
      <c r="C712" s="703"/>
      <c r="E712" s="222"/>
      <c r="F712" s="702"/>
    </row>
    <row r="713">
      <c r="C713" s="703"/>
      <c r="E713" s="222"/>
      <c r="F713" s="702"/>
    </row>
    <row r="714">
      <c r="C714" s="703"/>
      <c r="E714" s="222"/>
      <c r="F714" s="702"/>
    </row>
    <row r="715">
      <c r="C715" s="703"/>
      <c r="E715" s="222"/>
      <c r="F715" s="702"/>
    </row>
    <row r="716">
      <c r="C716" s="703"/>
      <c r="E716" s="222"/>
      <c r="F716" s="702"/>
    </row>
    <row r="717">
      <c r="C717" s="703"/>
      <c r="E717" s="222"/>
      <c r="F717" s="702"/>
    </row>
    <row r="718">
      <c r="C718" s="703"/>
      <c r="E718" s="222"/>
      <c r="F718" s="702"/>
    </row>
    <row r="719">
      <c r="C719" s="703"/>
      <c r="E719" s="222"/>
      <c r="F719" s="702"/>
    </row>
    <row r="720">
      <c r="C720" s="703"/>
      <c r="E720" s="222"/>
      <c r="F720" s="702"/>
    </row>
    <row r="721">
      <c r="C721" s="703"/>
      <c r="E721" s="222"/>
      <c r="F721" s="702"/>
    </row>
    <row r="722">
      <c r="C722" s="703"/>
      <c r="E722" s="222"/>
      <c r="F722" s="702"/>
    </row>
    <row r="723">
      <c r="C723" s="703"/>
      <c r="E723" s="222"/>
      <c r="F723" s="702"/>
    </row>
    <row r="724">
      <c r="C724" s="703"/>
      <c r="E724" s="222"/>
      <c r="F724" s="702"/>
    </row>
    <row r="725">
      <c r="C725" s="703"/>
      <c r="E725" s="222"/>
      <c r="F725" s="702"/>
    </row>
    <row r="726">
      <c r="C726" s="703"/>
      <c r="E726" s="222"/>
      <c r="F726" s="702"/>
    </row>
    <row r="727">
      <c r="C727" s="703"/>
      <c r="E727" s="222"/>
      <c r="F727" s="702"/>
    </row>
    <row r="728">
      <c r="C728" s="703"/>
      <c r="E728" s="222"/>
      <c r="F728" s="702"/>
    </row>
    <row r="729">
      <c r="C729" s="703"/>
      <c r="E729" s="222"/>
      <c r="F729" s="702"/>
    </row>
    <row r="730">
      <c r="C730" s="703"/>
      <c r="E730" s="222"/>
      <c r="F730" s="702"/>
    </row>
    <row r="731">
      <c r="C731" s="703"/>
      <c r="E731" s="222"/>
      <c r="F731" s="702"/>
    </row>
    <row r="732">
      <c r="C732" s="703"/>
      <c r="E732" s="222"/>
      <c r="F732" s="702"/>
    </row>
    <row r="733">
      <c r="C733" s="703"/>
      <c r="E733" s="222"/>
      <c r="F733" s="702"/>
    </row>
    <row r="734">
      <c r="C734" s="703"/>
      <c r="E734" s="222"/>
      <c r="F734" s="702"/>
    </row>
    <row r="735">
      <c r="C735" s="703"/>
      <c r="E735" s="222"/>
      <c r="F735" s="702"/>
    </row>
    <row r="736">
      <c r="C736" s="703"/>
      <c r="E736" s="222"/>
      <c r="F736" s="702"/>
    </row>
    <row r="737">
      <c r="C737" s="703"/>
      <c r="E737" s="222"/>
      <c r="F737" s="702"/>
    </row>
    <row r="738">
      <c r="C738" s="703"/>
      <c r="E738" s="222"/>
      <c r="F738" s="702"/>
    </row>
    <row r="739">
      <c r="C739" s="703"/>
      <c r="E739" s="222"/>
      <c r="F739" s="702"/>
    </row>
    <row r="740">
      <c r="C740" s="703"/>
      <c r="E740" s="222"/>
      <c r="F740" s="702"/>
    </row>
    <row r="741">
      <c r="C741" s="703"/>
      <c r="E741" s="222"/>
      <c r="F741" s="702"/>
    </row>
    <row r="742">
      <c r="C742" s="703"/>
      <c r="E742" s="222"/>
      <c r="F742" s="702"/>
    </row>
    <row r="743">
      <c r="C743" s="703"/>
      <c r="E743" s="222"/>
      <c r="F743" s="702"/>
    </row>
    <row r="744">
      <c r="C744" s="703"/>
      <c r="E744" s="222"/>
      <c r="F744" s="702"/>
    </row>
    <row r="745">
      <c r="C745" s="703"/>
      <c r="E745" s="222"/>
      <c r="F745" s="702"/>
    </row>
    <row r="746">
      <c r="C746" s="703"/>
      <c r="E746" s="222"/>
      <c r="F746" s="702"/>
    </row>
    <row r="747">
      <c r="C747" s="703"/>
      <c r="E747" s="222"/>
      <c r="F747" s="702"/>
    </row>
    <row r="748">
      <c r="C748" s="703"/>
      <c r="E748" s="222"/>
      <c r="F748" s="702"/>
    </row>
    <row r="749">
      <c r="C749" s="703"/>
      <c r="E749" s="222"/>
      <c r="F749" s="702"/>
    </row>
    <row r="750">
      <c r="C750" s="703"/>
      <c r="E750" s="222"/>
      <c r="F750" s="702"/>
    </row>
    <row r="751">
      <c r="C751" s="703"/>
      <c r="E751" s="222"/>
      <c r="F751" s="702"/>
    </row>
    <row r="752">
      <c r="C752" s="703"/>
      <c r="E752" s="222"/>
      <c r="F752" s="702"/>
    </row>
    <row r="753">
      <c r="C753" s="703"/>
      <c r="E753" s="222"/>
      <c r="F753" s="702"/>
    </row>
    <row r="754">
      <c r="C754" s="703"/>
      <c r="E754" s="222"/>
      <c r="F754" s="702"/>
    </row>
    <row r="755">
      <c r="C755" s="703"/>
      <c r="E755" s="222"/>
      <c r="F755" s="702"/>
    </row>
    <row r="756">
      <c r="C756" s="703"/>
      <c r="E756" s="222"/>
      <c r="F756" s="702"/>
    </row>
    <row r="757">
      <c r="C757" s="703"/>
      <c r="E757" s="222"/>
      <c r="F757" s="702"/>
    </row>
    <row r="758">
      <c r="C758" s="703"/>
      <c r="E758" s="222"/>
      <c r="F758" s="702"/>
    </row>
    <row r="759">
      <c r="C759" s="703"/>
      <c r="E759" s="222"/>
      <c r="F759" s="702"/>
    </row>
    <row r="760">
      <c r="C760" s="703"/>
      <c r="E760" s="222"/>
      <c r="F760" s="702"/>
    </row>
    <row r="761">
      <c r="C761" s="703"/>
      <c r="E761" s="222"/>
      <c r="F761" s="702"/>
    </row>
    <row r="762">
      <c r="C762" s="703"/>
      <c r="E762" s="222"/>
      <c r="F762" s="702"/>
    </row>
    <row r="763">
      <c r="C763" s="703"/>
      <c r="E763" s="222"/>
      <c r="F763" s="702"/>
    </row>
    <row r="764">
      <c r="C764" s="703"/>
      <c r="E764" s="222"/>
      <c r="F764" s="702"/>
    </row>
    <row r="765">
      <c r="C765" s="703"/>
      <c r="E765" s="222"/>
      <c r="F765" s="702"/>
    </row>
    <row r="766">
      <c r="C766" s="703"/>
      <c r="E766" s="222"/>
      <c r="F766" s="702"/>
    </row>
    <row r="767">
      <c r="C767" s="703"/>
      <c r="E767" s="222"/>
      <c r="F767" s="702"/>
    </row>
    <row r="768">
      <c r="C768" s="703"/>
      <c r="E768" s="222"/>
      <c r="F768" s="702"/>
    </row>
    <row r="769">
      <c r="C769" s="703"/>
      <c r="E769" s="222"/>
      <c r="F769" s="702"/>
    </row>
    <row r="770">
      <c r="C770" s="703"/>
      <c r="E770" s="222"/>
      <c r="F770" s="702"/>
    </row>
    <row r="771">
      <c r="C771" s="703"/>
      <c r="E771" s="222"/>
      <c r="F771" s="702"/>
    </row>
    <row r="772">
      <c r="C772" s="703"/>
      <c r="E772" s="222"/>
      <c r="F772" s="702"/>
    </row>
    <row r="773">
      <c r="C773" s="703"/>
      <c r="E773" s="222"/>
      <c r="F773" s="702"/>
    </row>
    <row r="774">
      <c r="C774" s="703"/>
      <c r="E774" s="222"/>
      <c r="F774" s="702"/>
    </row>
    <row r="775">
      <c r="C775" s="703"/>
      <c r="E775" s="222"/>
      <c r="F775" s="702"/>
    </row>
    <row r="776">
      <c r="C776" s="703"/>
      <c r="E776" s="222"/>
      <c r="F776" s="702"/>
    </row>
    <row r="777">
      <c r="C777" s="703"/>
      <c r="E777" s="222"/>
      <c r="F777" s="702"/>
    </row>
    <row r="778">
      <c r="C778" s="703"/>
      <c r="E778" s="222"/>
      <c r="F778" s="702"/>
    </row>
    <row r="779">
      <c r="C779" s="703"/>
      <c r="E779" s="222"/>
      <c r="F779" s="702"/>
    </row>
    <row r="780">
      <c r="C780" s="703"/>
      <c r="E780" s="222"/>
      <c r="F780" s="702"/>
    </row>
    <row r="781">
      <c r="C781" s="703"/>
      <c r="E781" s="222"/>
      <c r="F781" s="702"/>
    </row>
    <row r="782">
      <c r="C782" s="703"/>
      <c r="E782" s="222"/>
      <c r="F782" s="702"/>
    </row>
    <row r="783">
      <c r="C783" s="703"/>
      <c r="E783" s="222"/>
      <c r="F783" s="702"/>
    </row>
    <row r="784">
      <c r="C784" s="703"/>
      <c r="E784" s="222"/>
      <c r="F784" s="702"/>
    </row>
    <row r="785">
      <c r="C785" s="703"/>
      <c r="E785" s="222"/>
      <c r="F785" s="702"/>
    </row>
    <row r="786">
      <c r="C786" s="703"/>
      <c r="E786" s="222"/>
      <c r="F786" s="702"/>
    </row>
    <row r="787">
      <c r="C787" s="703"/>
      <c r="E787" s="222"/>
      <c r="F787" s="702"/>
    </row>
    <row r="788">
      <c r="C788" s="703"/>
      <c r="E788" s="222"/>
      <c r="F788" s="702"/>
    </row>
    <row r="789">
      <c r="C789" s="703"/>
      <c r="E789" s="222"/>
      <c r="F789" s="702"/>
    </row>
    <row r="790">
      <c r="C790" s="703"/>
      <c r="E790" s="222"/>
      <c r="F790" s="702"/>
    </row>
    <row r="791">
      <c r="C791" s="703"/>
      <c r="E791" s="222"/>
      <c r="F791" s="702"/>
    </row>
    <row r="792">
      <c r="C792" s="703"/>
      <c r="E792" s="222"/>
      <c r="F792" s="702"/>
    </row>
    <row r="793">
      <c r="C793" s="703"/>
      <c r="E793" s="222"/>
      <c r="F793" s="702"/>
    </row>
    <row r="794">
      <c r="C794" s="703"/>
      <c r="E794" s="222"/>
      <c r="F794" s="702"/>
    </row>
    <row r="795">
      <c r="C795" s="703"/>
      <c r="E795" s="222"/>
      <c r="F795" s="702"/>
    </row>
    <row r="796">
      <c r="C796" s="703"/>
      <c r="E796" s="222"/>
      <c r="F796" s="702"/>
    </row>
    <row r="797">
      <c r="C797" s="703"/>
      <c r="E797" s="222"/>
      <c r="F797" s="702"/>
    </row>
    <row r="798">
      <c r="C798" s="703"/>
      <c r="E798" s="222"/>
      <c r="F798" s="702"/>
    </row>
    <row r="799">
      <c r="C799" s="703"/>
      <c r="E799" s="222"/>
      <c r="F799" s="702"/>
    </row>
    <row r="800">
      <c r="C800" s="703"/>
      <c r="E800" s="222"/>
      <c r="F800" s="702"/>
    </row>
    <row r="801">
      <c r="C801" s="703"/>
      <c r="E801" s="222"/>
      <c r="F801" s="702"/>
    </row>
    <row r="802">
      <c r="C802" s="703"/>
      <c r="E802" s="222"/>
      <c r="F802" s="702"/>
    </row>
    <row r="803">
      <c r="C803" s="703"/>
      <c r="E803" s="222"/>
      <c r="F803" s="702"/>
    </row>
    <row r="804">
      <c r="C804" s="703"/>
      <c r="E804" s="222"/>
      <c r="F804" s="702"/>
    </row>
    <row r="805">
      <c r="C805" s="703"/>
      <c r="E805" s="222"/>
      <c r="F805" s="702"/>
    </row>
    <row r="806">
      <c r="C806" s="703"/>
      <c r="E806" s="222"/>
      <c r="F806" s="702"/>
    </row>
    <row r="807">
      <c r="C807" s="703"/>
      <c r="E807" s="222"/>
      <c r="F807" s="702"/>
    </row>
    <row r="808">
      <c r="C808" s="703"/>
      <c r="E808" s="222"/>
      <c r="F808" s="702"/>
    </row>
    <row r="809">
      <c r="C809" s="703"/>
      <c r="E809" s="222"/>
      <c r="F809" s="702"/>
    </row>
    <row r="810">
      <c r="C810" s="703"/>
      <c r="E810" s="222"/>
      <c r="F810" s="702"/>
    </row>
    <row r="811">
      <c r="C811" s="703"/>
      <c r="E811" s="222"/>
      <c r="F811" s="702"/>
    </row>
    <row r="812">
      <c r="C812" s="703"/>
      <c r="E812" s="222"/>
      <c r="F812" s="702"/>
    </row>
    <row r="813">
      <c r="C813" s="703"/>
      <c r="E813" s="222"/>
      <c r="F813" s="702"/>
    </row>
    <row r="814">
      <c r="C814" s="703"/>
      <c r="E814" s="222"/>
      <c r="F814" s="702"/>
    </row>
    <row r="815">
      <c r="C815" s="703"/>
      <c r="E815" s="222"/>
      <c r="F815" s="702"/>
    </row>
    <row r="816">
      <c r="C816" s="703"/>
      <c r="E816" s="222"/>
      <c r="F816" s="702"/>
    </row>
    <row r="817">
      <c r="C817" s="703"/>
      <c r="E817" s="222"/>
      <c r="F817" s="702"/>
    </row>
    <row r="818">
      <c r="C818" s="703"/>
      <c r="E818" s="222"/>
      <c r="F818" s="702"/>
    </row>
    <row r="819">
      <c r="C819" s="703"/>
      <c r="E819" s="222"/>
      <c r="F819" s="702"/>
    </row>
    <row r="820">
      <c r="C820" s="703"/>
      <c r="E820" s="222"/>
      <c r="F820" s="702"/>
    </row>
    <row r="821">
      <c r="C821" s="703"/>
      <c r="E821" s="222"/>
      <c r="F821" s="702"/>
    </row>
    <row r="822">
      <c r="C822" s="703"/>
      <c r="E822" s="222"/>
      <c r="F822" s="702"/>
    </row>
    <row r="823">
      <c r="C823" s="703"/>
      <c r="E823" s="222"/>
      <c r="F823" s="702"/>
    </row>
    <row r="824">
      <c r="C824" s="703"/>
      <c r="E824" s="222"/>
      <c r="F824" s="702"/>
    </row>
    <row r="825">
      <c r="C825" s="703"/>
      <c r="E825" s="222"/>
      <c r="F825" s="702"/>
    </row>
    <row r="826">
      <c r="C826" s="703"/>
      <c r="E826" s="222"/>
      <c r="F826" s="702"/>
    </row>
    <row r="827">
      <c r="C827" s="703"/>
      <c r="E827" s="222"/>
      <c r="F827" s="702"/>
    </row>
    <row r="828">
      <c r="C828" s="703"/>
      <c r="E828" s="222"/>
      <c r="F828" s="702"/>
    </row>
    <row r="829">
      <c r="C829" s="703"/>
      <c r="E829" s="222"/>
      <c r="F829" s="702"/>
    </row>
    <row r="830">
      <c r="C830" s="703"/>
      <c r="E830" s="222"/>
      <c r="F830" s="702"/>
    </row>
    <row r="831">
      <c r="C831" s="703"/>
      <c r="E831" s="222"/>
      <c r="F831" s="702"/>
    </row>
    <row r="832">
      <c r="C832" s="703"/>
      <c r="E832" s="222"/>
      <c r="F832" s="702"/>
    </row>
    <row r="833">
      <c r="C833" s="703"/>
      <c r="E833" s="222"/>
      <c r="F833" s="702"/>
    </row>
    <row r="834">
      <c r="C834" s="703"/>
      <c r="E834" s="222"/>
      <c r="F834" s="702"/>
    </row>
    <row r="835">
      <c r="C835" s="703"/>
      <c r="E835" s="222"/>
      <c r="F835" s="702"/>
    </row>
    <row r="836">
      <c r="C836" s="703"/>
      <c r="E836" s="222"/>
      <c r="F836" s="702"/>
    </row>
    <row r="837">
      <c r="C837" s="703"/>
      <c r="E837" s="222"/>
      <c r="F837" s="702"/>
    </row>
    <row r="838">
      <c r="C838" s="703"/>
      <c r="E838" s="222"/>
      <c r="F838" s="702"/>
    </row>
    <row r="839">
      <c r="C839" s="703"/>
      <c r="E839" s="222"/>
      <c r="F839" s="702"/>
    </row>
    <row r="840">
      <c r="C840" s="703"/>
      <c r="E840" s="222"/>
      <c r="F840" s="702"/>
    </row>
    <row r="841">
      <c r="C841" s="703"/>
      <c r="E841" s="222"/>
      <c r="F841" s="702"/>
    </row>
    <row r="842">
      <c r="C842" s="703"/>
      <c r="E842" s="222"/>
      <c r="F842" s="702"/>
    </row>
    <row r="843">
      <c r="C843" s="703"/>
      <c r="E843" s="222"/>
      <c r="F843" s="702"/>
    </row>
    <row r="844">
      <c r="C844" s="703"/>
      <c r="E844" s="222"/>
      <c r="F844" s="702"/>
    </row>
    <row r="845">
      <c r="C845" s="703"/>
      <c r="E845" s="222"/>
      <c r="F845" s="702"/>
    </row>
    <row r="846">
      <c r="C846" s="703"/>
      <c r="E846" s="222"/>
      <c r="F846" s="702"/>
    </row>
    <row r="847">
      <c r="C847" s="703"/>
      <c r="E847" s="222"/>
      <c r="F847" s="702"/>
    </row>
    <row r="848">
      <c r="C848" s="703"/>
      <c r="E848" s="222"/>
      <c r="F848" s="702"/>
    </row>
    <row r="849">
      <c r="C849" s="703"/>
      <c r="E849" s="222"/>
      <c r="F849" s="702"/>
    </row>
    <row r="850">
      <c r="C850" s="703"/>
      <c r="E850" s="222"/>
      <c r="F850" s="702"/>
    </row>
    <row r="851">
      <c r="C851" s="703"/>
      <c r="E851" s="222"/>
      <c r="F851" s="702"/>
    </row>
    <row r="852">
      <c r="C852" s="703"/>
      <c r="E852" s="222"/>
      <c r="F852" s="702"/>
    </row>
    <row r="853">
      <c r="C853" s="703"/>
      <c r="E853" s="222"/>
      <c r="F853" s="702"/>
    </row>
    <row r="854">
      <c r="C854" s="703"/>
      <c r="E854" s="222"/>
      <c r="F854" s="702"/>
    </row>
    <row r="855">
      <c r="C855" s="703"/>
      <c r="E855" s="222"/>
      <c r="F855" s="702"/>
    </row>
    <row r="856">
      <c r="C856" s="703"/>
      <c r="E856" s="222"/>
      <c r="F856" s="702"/>
    </row>
    <row r="857">
      <c r="C857" s="703"/>
      <c r="E857" s="222"/>
      <c r="F857" s="702"/>
    </row>
    <row r="858">
      <c r="C858" s="703"/>
      <c r="E858" s="222"/>
      <c r="F858" s="702"/>
    </row>
    <row r="859">
      <c r="C859" s="703"/>
      <c r="E859" s="222"/>
      <c r="F859" s="702"/>
    </row>
    <row r="860">
      <c r="C860" s="703"/>
      <c r="E860" s="222"/>
      <c r="F860" s="702"/>
    </row>
    <row r="861">
      <c r="C861" s="703"/>
      <c r="E861" s="222"/>
      <c r="F861" s="702"/>
    </row>
    <row r="862">
      <c r="C862" s="703"/>
      <c r="E862" s="222"/>
      <c r="F862" s="702"/>
    </row>
    <row r="863">
      <c r="C863" s="703"/>
      <c r="E863" s="222"/>
      <c r="F863" s="702"/>
    </row>
    <row r="864">
      <c r="C864" s="703"/>
      <c r="E864" s="222"/>
      <c r="F864" s="702"/>
    </row>
    <row r="865">
      <c r="C865" s="703"/>
      <c r="E865" s="222"/>
      <c r="F865" s="702"/>
    </row>
    <row r="866">
      <c r="C866" s="703"/>
      <c r="E866" s="222"/>
      <c r="F866" s="702"/>
    </row>
    <row r="867">
      <c r="C867" s="703"/>
      <c r="E867" s="222"/>
      <c r="F867" s="702"/>
    </row>
    <row r="868">
      <c r="C868" s="703"/>
      <c r="E868" s="222"/>
      <c r="F868" s="702"/>
    </row>
    <row r="869">
      <c r="C869" s="703"/>
      <c r="E869" s="222"/>
      <c r="F869" s="702"/>
    </row>
    <row r="870">
      <c r="C870" s="703"/>
      <c r="E870" s="222"/>
      <c r="F870" s="702"/>
    </row>
    <row r="871">
      <c r="C871" s="703"/>
      <c r="E871" s="222"/>
      <c r="F871" s="702"/>
    </row>
    <row r="872">
      <c r="C872" s="703"/>
      <c r="E872" s="222"/>
      <c r="F872" s="702"/>
    </row>
    <row r="873">
      <c r="C873" s="703"/>
      <c r="E873" s="222"/>
      <c r="F873" s="702"/>
    </row>
    <row r="874">
      <c r="C874" s="703"/>
      <c r="E874" s="222"/>
      <c r="F874" s="702"/>
    </row>
    <row r="875">
      <c r="C875" s="703"/>
      <c r="E875" s="222"/>
      <c r="F875" s="702"/>
    </row>
    <row r="876">
      <c r="C876" s="703"/>
      <c r="E876" s="222"/>
      <c r="F876" s="702"/>
    </row>
    <row r="877">
      <c r="C877" s="703"/>
      <c r="E877" s="222"/>
      <c r="F877" s="702"/>
    </row>
    <row r="878">
      <c r="C878" s="703"/>
      <c r="E878" s="222"/>
      <c r="F878" s="702"/>
    </row>
    <row r="879">
      <c r="C879" s="703"/>
      <c r="E879" s="222"/>
      <c r="F879" s="702"/>
    </row>
    <row r="880">
      <c r="C880" s="703"/>
      <c r="E880" s="222"/>
      <c r="F880" s="702"/>
    </row>
    <row r="881">
      <c r="C881" s="703"/>
      <c r="E881" s="222"/>
      <c r="F881" s="702"/>
    </row>
    <row r="882">
      <c r="C882" s="703"/>
      <c r="E882" s="222"/>
      <c r="F882" s="702"/>
    </row>
    <row r="883">
      <c r="C883" s="703"/>
      <c r="E883" s="222"/>
      <c r="F883" s="702"/>
    </row>
    <row r="884">
      <c r="C884" s="703"/>
      <c r="E884" s="222"/>
      <c r="F884" s="702"/>
    </row>
    <row r="885">
      <c r="C885" s="703"/>
      <c r="E885" s="222"/>
      <c r="F885" s="702"/>
    </row>
    <row r="886">
      <c r="C886" s="703"/>
      <c r="E886" s="222"/>
      <c r="F886" s="702"/>
    </row>
    <row r="887">
      <c r="C887" s="703"/>
      <c r="E887" s="222"/>
      <c r="F887" s="702"/>
    </row>
    <row r="888">
      <c r="C888" s="703"/>
      <c r="E888" s="222"/>
      <c r="F888" s="702"/>
    </row>
    <row r="889">
      <c r="C889" s="703"/>
      <c r="E889" s="222"/>
      <c r="F889" s="702"/>
    </row>
    <row r="890">
      <c r="C890" s="703"/>
      <c r="E890" s="222"/>
      <c r="F890" s="702"/>
    </row>
    <row r="891">
      <c r="C891" s="703"/>
      <c r="E891" s="222"/>
      <c r="F891" s="702"/>
    </row>
    <row r="892">
      <c r="C892" s="703"/>
      <c r="E892" s="222"/>
      <c r="F892" s="702"/>
    </row>
    <row r="893">
      <c r="C893" s="703"/>
      <c r="E893" s="222"/>
      <c r="F893" s="702"/>
    </row>
    <row r="894">
      <c r="C894" s="703"/>
      <c r="E894" s="222"/>
      <c r="F894" s="702"/>
    </row>
    <row r="895">
      <c r="C895" s="703"/>
      <c r="E895" s="222"/>
      <c r="F895" s="702"/>
    </row>
    <row r="896">
      <c r="C896" s="703"/>
      <c r="E896" s="222"/>
      <c r="F896" s="702"/>
    </row>
    <row r="897">
      <c r="C897" s="703"/>
      <c r="E897" s="222"/>
      <c r="F897" s="702"/>
    </row>
    <row r="898">
      <c r="C898" s="703"/>
      <c r="E898" s="222"/>
      <c r="F898" s="702"/>
    </row>
    <row r="899">
      <c r="C899" s="703"/>
      <c r="E899" s="222"/>
      <c r="F899" s="702"/>
    </row>
    <row r="900">
      <c r="C900" s="703"/>
      <c r="E900" s="222"/>
      <c r="F900" s="702"/>
    </row>
    <row r="901">
      <c r="C901" s="703"/>
      <c r="E901" s="222"/>
      <c r="F901" s="702"/>
    </row>
    <row r="902">
      <c r="C902" s="703"/>
      <c r="E902" s="222"/>
      <c r="F902" s="702"/>
    </row>
    <row r="903">
      <c r="C903" s="703"/>
      <c r="E903" s="222"/>
      <c r="F903" s="702"/>
    </row>
    <row r="904">
      <c r="C904" s="703"/>
      <c r="E904" s="222"/>
      <c r="F904" s="702"/>
    </row>
    <row r="905">
      <c r="C905" s="703"/>
      <c r="E905" s="222"/>
      <c r="F905" s="702"/>
    </row>
    <row r="906">
      <c r="C906" s="703"/>
      <c r="E906" s="222"/>
      <c r="F906" s="702"/>
    </row>
    <row r="907">
      <c r="C907" s="703"/>
      <c r="E907" s="222"/>
      <c r="F907" s="702"/>
    </row>
    <row r="908">
      <c r="C908" s="703"/>
      <c r="E908" s="222"/>
      <c r="F908" s="702"/>
    </row>
    <row r="909">
      <c r="C909" s="703"/>
      <c r="E909" s="222"/>
      <c r="F909" s="702"/>
    </row>
    <row r="910">
      <c r="C910" s="703"/>
      <c r="E910" s="222"/>
      <c r="F910" s="702"/>
    </row>
    <row r="911">
      <c r="C911" s="703"/>
      <c r="E911" s="222"/>
      <c r="F911" s="702"/>
    </row>
    <row r="912">
      <c r="C912" s="703"/>
      <c r="E912" s="222"/>
      <c r="F912" s="702"/>
    </row>
    <row r="913">
      <c r="C913" s="703"/>
      <c r="E913" s="222"/>
      <c r="F913" s="702"/>
    </row>
    <row r="914">
      <c r="C914" s="703"/>
      <c r="E914" s="222"/>
      <c r="F914" s="702"/>
    </row>
    <row r="915">
      <c r="C915" s="703"/>
      <c r="E915" s="222"/>
      <c r="F915" s="702"/>
    </row>
    <row r="916">
      <c r="C916" s="703"/>
      <c r="E916" s="222"/>
      <c r="F916" s="702"/>
    </row>
    <row r="917">
      <c r="C917" s="703"/>
      <c r="E917" s="222"/>
      <c r="F917" s="702"/>
    </row>
    <row r="918">
      <c r="C918" s="703"/>
      <c r="E918" s="222"/>
      <c r="F918" s="702"/>
    </row>
    <row r="919">
      <c r="C919" s="703"/>
      <c r="E919" s="222"/>
      <c r="F919" s="702"/>
    </row>
    <row r="920">
      <c r="C920" s="703"/>
      <c r="E920" s="222"/>
      <c r="F920" s="702"/>
    </row>
    <row r="921">
      <c r="C921" s="703"/>
      <c r="E921" s="222"/>
      <c r="F921" s="702"/>
    </row>
    <row r="922">
      <c r="C922" s="703"/>
      <c r="E922" s="222"/>
      <c r="F922" s="702"/>
    </row>
    <row r="923">
      <c r="C923" s="703"/>
      <c r="E923" s="222"/>
      <c r="F923" s="702"/>
    </row>
    <row r="924">
      <c r="C924" s="703"/>
      <c r="E924" s="222"/>
      <c r="F924" s="702"/>
    </row>
    <row r="925">
      <c r="C925" s="703"/>
      <c r="E925" s="222"/>
      <c r="F925" s="702"/>
    </row>
    <row r="926">
      <c r="C926" s="703"/>
      <c r="E926" s="222"/>
      <c r="F926" s="702"/>
    </row>
    <row r="927">
      <c r="C927" s="703"/>
      <c r="E927" s="222"/>
      <c r="F927" s="702"/>
    </row>
    <row r="928">
      <c r="C928" s="703"/>
      <c r="E928" s="222"/>
      <c r="F928" s="702"/>
    </row>
    <row r="929">
      <c r="C929" s="703"/>
      <c r="E929" s="222"/>
      <c r="F929" s="702"/>
    </row>
    <row r="930">
      <c r="C930" s="703"/>
      <c r="E930" s="222"/>
      <c r="F930" s="702"/>
    </row>
    <row r="931">
      <c r="C931" s="703"/>
      <c r="E931" s="222"/>
      <c r="F931" s="702"/>
    </row>
    <row r="932">
      <c r="C932" s="703"/>
      <c r="E932" s="222"/>
      <c r="F932" s="702"/>
    </row>
    <row r="933">
      <c r="C933" s="703"/>
      <c r="E933" s="222"/>
      <c r="F933" s="702"/>
    </row>
    <row r="934">
      <c r="C934" s="703"/>
      <c r="E934" s="222"/>
      <c r="F934" s="702"/>
    </row>
    <row r="935">
      <c r="C935" s="703"/>
      <c r="E935" s="222"/>
      <c r="F935" s="702"/>
    </row>
    <row r="936">
      <c r="C936" s="703"/>
      <c r="E936" s="222"/>
      <c r="F936" s="702"/>
    </row>
    <row r="937">
      <c r="C937" s="703"/>
      <c r="E937" s="222"/>
      <c r="F937" s="702"/>
    </row>
    <row r="938">
      <c r="C938" s="703"/>
      <c r="E938" s="222"/>
      <c r="F938" s="702"/>
    </row>
    <row r="939">
      <c r="C939" s="703"/>
      <c r="E939" s="222"/>
      <c r="F939" s="702"/>
    </row>
    <row r="940">
      <c r="C940" s="703"/>
      <c r="E940" s="222"/>
      <c r="F940" s="702"/>
    </row>
    <row r="941">
      <c r="C941" s="703"/>
      <c r="E941" s="222"/>
      <c r="F941" s="702"/>
    </row>
    <row r="942">
      <c r="C942" s="703"/>
      <c r="E942" s="222"/>
      <c r="F942" s="702"/>
    </row>
    <row r="943">
      <c r="C943" s="703"/>
      <c r="E943" s="222"/>
      <c r="F943" s="702"/>
    </row>
    <row r="944">
      <c r="C944" s="703"/>
      <c r="E944" s="222"/>
      <c r="F944" s="702"/>
    </row>
    <row r="945">
      <c r="C945" s="703"/>
      <c r="E945" s="222"/>
      <c r="F945" s="702"/>
    </row>
    <row r="946">
      <c r="C946" s="703"/>
      <c r="E946" s="222"/>
      <c r="F946" s="702"/>
    </row>
    <row r="947">
      <c r="C947" s="703"/>
      <c r="E947" s="222"/>
      <c r="F947" s="702"/>
    </row>
    <row r="948">
      <c r="C948" s="703"/>
      <c r="E948" s="222"/>
      <c r="F948" s="702"/>
    </row>
    <row r="949">
      <c r="C949" s="703"/>
      <c r="E949" s="222"/>
      <c r="F949" s="702"/>
    </row>
    <row r="950">
      <c r="C950" s="703"/>
      <c r="E950" s="222"/>
      <c r="F950" s="702"/>
    </row>
    <row r="951">
      <c r="C951" s="703"/>
      <c r="E951" s="222"/>
      <c r="F951" s="702"/>
    </row>
    <row r="952">
      <c r="C952" s="703"/>
      <c r="E952" s="222"/>
      <c r="F952" s="702"/>
    </row>
    <row r="953">
      <c r="C953" s="703"/>
      <c r="E953" s="222"/>
      <c r="F953" s="702"/>
    </row>
    <row r="954">
      <c r="C954" s="703"/>
      <c r="E954" s="222"/>
      <c r="F954" s="702"/>
    </row>
    <row r="955">
      <c r="C955" s="703"/>
      <c r="E955" s="222"/>
      <c r="F955" s="702"/>
    </row>
    <row r="956">
      <c r="C956" s="703"/>
      <c r="E956" s="222"/>
      <c r="F956" s="702"/>
    </row>
    <row r="957">
      <c r="C957" s="703"/>
      <c r="E957" s="222"/>
      <c r="F957" s="702"/>
    </row>
    <row r="958">
      <c r="C958" s="703"/>
      <c r="E958" s="222"/>
      <c r="F958" s="702"/>
    </row>
    <row r="959">
      <c r="C959" s="703"/>
      <c r="E959" s="222"/>
      <c r="F959" s="702"/>
    </row>
    <row r="960">
      <c r="C960" s="703"/>
      <c r="E960" s="222"/>
      <c r="F960" s="702"/>
    </row>
    <row r="961">
      <c r="C961" s="703"/>
      <c r="E961" s="222"/>
      <c r="F961" s="702"/>
    </row>
    <row r="962">
      <c r="C962" s="703"/>
      <c r="E962" s="222"/>
      <c r="F962" s="702"/>
    </row>
    <row r="963">
      <c r="C963" s="703"/>
      <c r="E963" s="222"/>
      <c r="F963" s="702"/>
    </row>
    <row r="964">
      <c r="C964" s="703"/>
      <c r="E964" s="222"/>
      <c r="F964" s="702"/>
    </row>
    <row r="965">
      <c r="C965" s="703"/>
      <c r="E965" s="222"/>
      <c r="F965" s="702"/>
    </row>
    <row r="966">
      <c r="C966" s="703"/>
      <c r="E966" s="222"/>
      <c r="F966" s="702"/>
    </row>
    <row r="967">
      <c r="C967" s="703"/>
      <c r="E967" s="222"/>
      <c r="F967" s="702"/>
    </row>
    <row r="968">
      <c r="C968" s="703"/>
      <c r="E968" s="222"/>
      <c r="F968" s="702"/>
    </row>
    <row r="969">
      <c r="C969" s="703"/>
      <c r="E969" s="222"/>
      <c r="F969" s="702"/>
    </row>
    <row r="970">
      <c r="C970" s="703"/>
      <c r="E970" s="222"/>
      <c r="F970" s="702"/>
    </row>
    <row r="971">
      <c r="C971" s="703"/>
      <c r="E971" s="222"/>
      <c r="F971" s="702"/>
    </row>
    <row r="972">
      <c r="C972" s="703"/>
      <c r="E972" s="222"/>
      <c r="F972" s="702"/>
    </row>
    <row r="973">
      <c r="C973" s="703"/>
      <c r="E973" s="222"/>
      <c r="F973" s="702"/>
    </row>
    <row r="974">
      <c r="C974" s="703"/>
      <c r="E974" s="222"/>
      <c r="F974" s="702"/>
    </row>
    <row r="975">
      <c r="C975" s="703"/>
      <c r="E975" s="222"/>
      <c r="F975" s="702"/>
    </row>
    <row r="976">
      <c r="C976" s="703"/>
      <c r="E976" s="222"/>
      <c r="F976" s="702"/>
    </row>
    <row r="977">
      <c r="C977" s="703"/>
      <c r="E977" s="222"/>
      <c r="F977" s="702"/>
    </row>
    <row r="978">
      <c r="C978" s="703"/>
      <c r="E978" s="222"/>
      <c r="F978" s="702"/>
    </row>
    <row r="979">
      <c r="C979" s="703"/>
      <c r="E979" s="222"/>
      <c r="F979" s="702"/>
    </row>
    <row r="980">
      <c r="C980" s="703"/>
      <c r="E980" s="222"/>
      <c r="F980" s="702"/>
    </row>
    <row r="981">
      <c r="C981" s="703"/>
      <c r="E981" s="222"/>
      <c r="F981" s="702"/>
    </row>
    <row r="982">
      <c r="C982" s="703"/>
      <c r="E982" s="222"/>
      <c r="F982" s="702"/>
    </row>
    <row r="983">
      <c r="C983" s="703"/>
      <c r="E983" s="222"/>
      <c r="F983" s="702"/>
    </row>
    <row r="984">
      <c r="C984" s="703"/>
      <c r="E984" s="222"/>
      <c r="F984" s="702"/>
    </row>
    <row r="985">
      <c r="C985" s="703"/>
      <c r="E985" s="222"/>
      <c r="F985" s="702"/>
    </row>
    <row r="986">
      <c r="C986" s="703"/>
      <c r="E986" s="222"/>
      <c r="F986" s="702"/>
    </row>
    <row r="987">
      <c r="C987" s="703"/>
      <c r="E987" s="222"/>
      <c r="F987" s="702"/>
    </row>
    <row r="988">
      <c r="C988" s="703"/>
      <c r="E988" s="222"/>
      <c r="F988" s="702"/>
    </row>
    <row r="989">
      <c r="C989" s="703"/>
      <c r="E989" s="222"/>
      <c r="F989" s="702"/>
    </row>
    <row r="990">
      <c r="C990" s="703"/>
      <c r="E990" s="222"/>
      <c r="F990" s="702"/>
    </row>
    <row r="991">
      <c r="C991" s="703"/>
      <c r="E991" s="222"/>
      <c r="F991" s="702"/>
    </row>
    <row r="992">
      <c r="C992" s="703"/>
      <c r="E992" s="222"/>
      <c r="F992" s="702"/>
    </row>
    <row r="993">
      <c r="C993" s="703"/>
      <c r="E993" s="222"/>
      <c r="F993" s="702"/>
    </row>
    <row r="994">
      <c r="C994" s="703"/>
      <c r="E994" s="222"/>
      <c r="F994" s="702"/>
    </row>
    <row r="995">
      <c r="C995" s="703"/>
      <c r="E995" s="222"/>
      <c r="F995" s="702"/>
    </row>
    <row r="996">
      <c r="C996" s="703"/>
      <c r="E996" s="222"/>
      <c r="F996" s="702"/>
    </row>
    <row r="997">
      <c r="C997" s="703"/>
      <c r="E997" s="222"/>
      <c r="F997" s="702"/>
    </row>
    <row r="998">
      <c r="C998" s="703"/>
      <c r="E998" s="222"/>
      <c r="F998" s="702"/>
    </row>
    <row r="999">
      <c r="C999" s="703"/>
      <c r="E999" s="222"/>
      <c r="F999" s="702"/>
    </row>
    <row r="1000">
      <c r="C1000" s="703"/>
      <c r="E1000" s="222"/>
      <c r="F1000" s="702"/>
    </row>
    <row r="1001">
      <c r="C1001" s="703"/>
      <c r="E1001" s="222"/>
      <c r="F1001" s="702"/>
    </row>
    <row r="1002">
      <c r="C1002" s="703"/>
      <c r="E1002" s="222"/>
      <c r="F1002" s="702"/>
    </row>
    <row r="1003">
      <c r="C1003" s="703"/>
      <c r="E1003" s="222"/>
      <c r="F1003" s="702"/>
    </row>
    <row r="1004">
      <c r="C1004" s="703"/>
      <c r="E1004" s="222"/>
      <c r="F1004" s="702"/>
    </row>
    <row r="1005">
      <c r="C1005" s="703"/>
      <c r="E1005" s="222"/>
      <c r="F1005" s="702"/>
    </row>
    <row r="1006">
      <c r="C1006" s="703"/>
      <c r="E1006" s="222"/>
      <c r="F1006" s="702"/>
    </row>
    <row r="1007">
      <c r="C1007" s="703"/>
      <c r="E1007" s="222"/>
      <c r="F1007" s="702"/>
    </row>
    <row r="1008">
      <c r="C1008" s="703"/>
      <c r="E1008" s="222"/>
      <c r="F1008" s="702"/>
    </row>
    <row r="1009">
      <c r="C1009" s="703"/>
      <c r="E1009" s="222"/>
      <c r="F1009" s="702"/>
    </row>
    <row r="1010">
      <c r="C1010" s="703"/>
      <c r="E1010" s="222"/>
      <c r="F1010" s="702"/>
    </row>
    <row r="1011">
      <c r="C1011" s="703"/>
      <c r="E1011" s="222"/>
      <c r="F1011" s="702"/>
    </row>
    <row r="1012">
      <c r="C1012" s="703"/>
      <c r="E1012" s="222"/>
      <c r="F1012" s="702"/>
    </row>
    <row r="1013">
      <c r="C1013" s="703"/>
      <c r="E1013" s="222"/>
      <c r="F1013" s="702"/>
    </row>
    <row r="1014">
      <c r="C1014" s="703"/>
      <c r="E1014" s="222"/>
      <c r="F1014" s="702"/>
    </row>
    <row r="1015">
      <c r="C1015" s="703"/>
      <c r="E1015" s="222"/>
      <c r="F1015" s="702"/>
    </row>
    <row r="1016">
      <c r="C1016" s="703"/>
      <c r="E1016" s="222"/>
      <c r="F1016" s="702"/>
    </row>
    <row r="1017">
      <c r="C1017" s="703"/>
      <c r="E1017" s="222"/>
      <c r="F1017" s="702"/>
    </row>
    <row r="1018">
      <c r="C1018" s="703"/>
      <c r="E1018" s="222"/>
      <c r="F1018" s="702"/>
    </row>
    <row r="1019">
      <c r="C1019" s="703"/>
      <c r="E1019" s="222"/>
      <c r="F1019" s="702"/>
    </row>
    <row r="1020">
      <c r="C1020" s="703"/>
      <c r="E1020" s="222"/>
      <c r="F1020" s="702"/>
    </row>
    <row r="1021">
      <c r="C1021" s="703"/>
      <c r="E1021" s="222"/>
      <c r="F1021" s="702"/>
    </row>
    <row r="1022">
      <c r="C1022" s="703"/>
      <c r="E1022" s="222"/>
      <c r="F1022" s="702"/>
    </row>
    <row r="1023">
      <c r="C1023" s="703"/>
      <c r="E1023" s="222"/>
      <c r="F1023" s="702"/>
    </row>
    <row r="1024">
      <c r="C1024" s="703"/>
      <c r="E1024" s="222"/>
      <c r="F1024" s="702"/>
    </row>
    <row r="1025">
      <c r="C1025" s="703"/>
      <c r="E1025" s="222"/>
      <c r="F1025" s="702"/>
    </row>
    <row r="1026">
      <c r="C1026" s="703"/>
      <c r="E1026" s="222"/>
      <c r="F1026" s="702"/>
    </row>
    <row r="1027">
      <c r="C1027" s="703"/>
      <c r="E1027" s="222"/>
      <c r="F1027" s="702"/>
    </row>
    <row r="1028">
      <c r="C1028" s="703"/>
      <c r="E1028" s="222"/>
      <c r="F1028" s="702"/>
    </row>
    <row r="1029">
      <c r="C1029" s="703"/>
      <c r="E1029" s="222"/>
      <c r="F1029" s="702"/>
    </row>
    <row r="1030">
      <c r="C1030" s="703"/>
      <c r="E1030" s="222"/>
      <c r="F1030" s="702"/>
    </row>
    <row r="1031">
      <c r="C1031" s="703"/>
      <c r="E1031" s="222"/>
      <c r="F1031" s="702"/>
    </row>
    <row r="1032">
      <c r="C1032" s="703"/>
      <c r="E1032" s="222"/>
      <c r="F1032" s="702"/>
    </row>
    <row r="1033">
      <c r="C1033" s="703"/>
      <c r="E1033" s="222"/>
      <c r="F1033" s="702"/>
    </row>
    <row r="1034">
      <c r="C1034" s="703"/>
      <c r="E1034" s="222"/>
      <c r="F1034" s="702"/>
    </row>
    <row r="1035">
      <c r="C1035" s="703"/>
      <c r="E1035" s="222"/>
      <c r="F1035" s="702"/>
    </row>
    <row r="1036">
      <c r="C1036" s="703"/>
      <c r="E1036" s="222"/>
      <c r="F1036" s="702"/>
    </row>
    <row r="1037">
      <c r="C1037" s="703"/>
      <c r="E1037" s="222"/>
      <c r="F1037" s="702"/>
    </row>
    <row r="1038">
      <c r="C1038" s="703"/>
      <c r="E1038" s="222"/>
      <c r="F1038" s="702"/>
    </row>
    <row r="1039">
      <c r="C1039" s="703"/>
      <c r="E1039" s="222"/>
      <c r="F1039" s="702"/>
    </row>
    <row r="1040">
      <c r="C1040" s="703"/>
      <c r="E1040" s="222"/>
      <c r="F1040" s="702"/>
    </row>
    <row r="1041">
      <c r="C1041" s="703"/>
      <c r="E1041" s="222"/>
      <c r="F1041" s="702"/>
    </row>
    <row r="1042">
      <c r="C1042" s="703"/>
      <c r="E1042" s="222"/>
      <c r="F1042" s="702"/>
    </row>
    <row r="1043">
      <c r="C1043" s="703"/>
      <c r="E1043" s="222"/>
      <c r="F1043" s="702"/>
    </row>
    <row r="1044">
      <c r="C1044" s="703"/>
      <c r="E1044" s="222"/>
      <c r="F1044" s="702"/>
    </row>
    <row r="1045">
      <c r="C1045" s="703"/>
      <c r="E1045" s="222"/>
      <c r="F1045" s="702"/>
    </row>
    <row r="1046">
      <c r="C1046" s="703"/>
      <c r="E1046" s="222"/>
      <c r="F1046" s="702"/>
    </row>
    <row r="1047">
      <c r="C1047" s="703"/>
      <c r="E1047" s="222"/>
      <c r="F1047" s="702"/>
    </row>
    <row r="1048">
      <c r="C1048" s="703"/>
      <c r="E1048" s="222"/>
      <c r="F1048" s="702"/>
    </row>
    <row r="1049">
      <c r="C1049" s="703"/>
      <c r="E1049" s="222"/>
      <c r="F1049" s="702"/>
    </row>
    <row r="1050">
      <c r="C1050" s="703"/>
      <c r="E1050" s="222"/>
      <c r="F1050" s="702"/>
    </row>
    <row r="1051">
      <c r="C1051" s="703"/>
      <c r="E1051" s="222"/>
      <c r="F1051" s="702"/>
    </row>
    <row r="1052">
      <c r="C1052" s="703"/>
      <c r="E1052" s="222"/>
      <c r="F1052" s="702"/>
    </row>
    <row r="1053">
      <c r="C1053" s="703"/>
      <c r="E1053" s="222"/>
      <c r="F1053" s="702"/>
    </row>
    <row r="1054">
      <c r="C1054" s="703"/>
      <c r="E1054" s="222"/>
      <c r="F1054" s="702"/>
    </row>
    <row r="1055">
      <c r="C1055" s="703"/>
      <c r="E1055" s="222"/>
      <c r="F1055" s="702"/>
    </row>
    <row r="1056">
      <c r="C1056" s="703"/>
      <c r="E1056" s="222"/>
      <c r="F1056" s="702"/>
    </row>
    <row r="1057">
      <c r="C1057" s="703"/>
      <c r="E1057" s="222"/>
      <c r="F1057" s="702"/>
    </row>
    <row r="1058">
      <c r="C1058" s="703"/>
      <c r="E1058" s="222"/>
      <c r="F1058" s="702"/>
    </row>
    <row r="1059">
      <c r="C1059" s="703"/>
      <c r="E1059" s="222"/>
      <c r="F1059" s="702"/>
    </row>
    <row r="1060">
      <c r="C1060" s="703"/>
      <c r="E1060" s="222"/>
      <c r="F1060" s="702"/>
    </row>
    <row r="1061">
      <c r="C1061" s="703"/>
      <c r="E1061" s="222"/>
      <c r="F1061" s="702"/>
    </row>
    <row r="1062">
      <c r="C1062" s="703"/>
      <c r="E1062" s="222"/>
      <c r="F1062" s="702"/>
    </row>
    <row r="1063">
      <c r="C1063" s="703"/>
      <c r="E1063" s="222"/>
      <c r="F1063" s="702"/>
    </row>
    <row r="1064">
      <c r="C1064" s="703"/>
      <c r="E1064" s="222"/>
      <c r="F1064" s="702"/>
    </row>
    <row r="1065">
      <c r="C1065" s="703"/>
      <c r="E1065" s="222"/>
      <c r="F1065" s="702"/>
    </row>
    <row r="1066">
      <c r="C1066" s="703"/>
      <c r="E1066" s="222"/>
      <c r="F1066" s="702"/>
    </row>
    <row r="1067">
      <c r="C1067" s="703"/>
      <c r="E1067" s="222"/>
      <c r="F1067" s="702"/>
    </row>
    <row r="1068">
      <c r="C1068" s="703"/>
      <c r="E1068" s="222"/>
      <c r="F1068" s="702"/>
    </row>
    <row r="1069">
      <c r="C1069" s="703"/>
      <c r="E1069" s="222"/>
      <c r="F1069" s="702"/>
    </row>
    <row r="1070">
      <c r="C1070" s="703"/>
      <c r="E1070" s="222"/>
      <c r="F1070" s="702"/>
    </row>
    <row r="1071">
      <c r="C1071" s="703"/>
      <c r="E1071" s="222"/>
      <c r="F1071" s="702"/>
    </row>
    <row r="1072">
      <c r="C1072" s="703"/>
      <c r="E1072" s="222"/>
      <c r="F1072" s="702"/>
    </row>
    <row r="1073">
      <c r="C1073" s="703"/>
      <c r="E1073" s="222"/>
      <c r="F1073" s="702"/>
    </row>
    <row r="1074">
      <c r="C1074" s="703"/>
      <c r="E1074" s="222"/>
      <c r="F1074" s="702"/>
    </row>
    <row r="1075">
      <c r="C1075" s="703"/>
      <c r="E1075" s="222"/>
      <c r="F1075" s="702"/>
    </row>
    <row r="1076">
      <c r="C1076" s="703"/>
      <c r="E1076" s="222"/>
      <c r="F1076" s="702"/>
    </row>
    <row r="1077">
      <c r="C1077" s="703"/>
      <c r="E1077" s="222"/>
      <c r="F1077" s="702"/>
    </row>
    <row r="1078">
      <c r="C1078" s="703"/>
      <c r="E1078" s="222"/>
      <c r="F1078" s="702"/>
    </row>
    <row r="1079">
      <c r="C1079" s="703"/>
      <c r="E1079" s="222"/>
      <c r="F1079" s="702"/>
    </row>
    <row r="1080">
      <c r="C1080" s="703"/>
      <c r="E1080" s="222"/>
      <c r="F1080" s="702"/>
    </row>
    <row r="1081">
      <c r="C1081" s="703"/>
      <c r="E1081" s="222"/>
      <c r="F1081" s="702"/>
    </row>
    <row r="1082">
      <c r="C1082" s="703"/>
      <c r="E1082" s="222"/>
      <c r="F1082" s="702"/>
    </row>
    <row r="1083">
      <c r="C1083" s="703"/>
      <c r="E1083" s="222"/>
      <c r="F1083" s="702"/>
    </row>
    <row r="1084">
      <c r="C1084" s="703"/>
      <c r="E1084" s="222"/>
      <c r="F1084" s="702"/>
    </row>
    <row r="1085">
      <c r="C1085" s="703"/>
      <c r="E1085" s="222"/>
      <c r="F1085" s="702"/>
    </row>
    <row r="1086">
      <c r="C1086" s="703"/>
      <c r="E1086" s="222"/>
      <c r="F1086" s="702"/>
    </row>
    <row r="1087">
      <c r="C1087" s="703"/>
      <c r="E1087" s="222"/>
      <c r="F1087" s="702"/>
    </row>
    <row r="1088">
      <c r="C1088" s="703"/>
      <c r="E1088" s="222"/>
      <c r="F1088" s="702"/>
    </row>
    <row r="1089">
      <c r="C1089" s="703"/>
      <c r="E1089" s="222"/>
      <c r="F1089" s="702"/>
    </row>
    <row r="1090">
      <c r="C1090" s="703"/>
      <c r="E1090" s="222"/>
      <c r="F1090" s="702"/>
    </row>
    <row r="1091">
      <c r="C1091" s="703"/>
      <c r="E1091" s="222"/>
      <c r="F1091" s="702"/>
    </row>
    <row r="1092">
      <c r="C1092" s="703"/>
      <c r="E1092" s="222"/>
      <c r="F1092" s="702"/>
    </row>
    <row r="1093">
      <c r="C1093" s="703"/>
      <c r="E1093" s="222"/>
      <c r="F1093" s="702"/>
    </row>
    <row r="1094">
      <c r="C1094" s="703"/>
      <c r="E1094" s="222"/>
      <c r="F1094" s="702"/>
    </row>
    <row r="1095">
      <c r="C1095" s="703"/>
      <c r="E1095" s="222"/>
      <c r="F1095" s="702"/>
    </row>
    <row r="1096">
      <c r="C1096" s="703"/>
      <c r="E1096" s="222"/>
      <c r="F1096" s="702"/>
    </row>
    <row r="1097">
      <c r="C1097" s="703"/>
      <c r="E1097" s="222"/>
      <c r="F1097" s="702"/>
    </row>
    <row r="1098">
      <c r="C1098" s="703"/>
      <c r="E1098" s="222"/>
      <c r="F1098" s="702"/>
    </row>
    <row r="1099">
      <c r="C1099" s="703"/>
      <c r="E1099" s="222"/>
      <c r="F1099" s="702"/>
    </row>
    <row r="1100">
      <c r="C1100" s="703"/>
      <c r="E1100" s="222"/>
      <c r="F1100" s="702"/>
    </row>
    <row r="1101">
      <c r="C1101" s="703"/>
      <c r="E1101" s="222"/>
      <c r="F1101" s="702"/>
    </row>
    <row r="1102">
      <c r="C1102" s="703"/>
      <c r="E1102" s="222"/>
      <c r="F1102" s="702"/>
    </row>
    <row r="1103">
      <c r="C1103" s="703"/>
      <c r="E1103" s="222"/>
      <c r="F1103" s="702"/>
    </row>
    <row r="1104">
      <c r="C1104" s="703"/>
      <c r="E1104" s="222"/>
      <c r="F1104" s="702"/>
    </row>
    <row r="1105">
      <c r="C1105" s="703"/>
      <c r="E1105" s="222"/>
      <c r="F1105" s="702"/>
    </row>
    <row r="1106">
      <c r="C1106" s="703"/>
      <c r="E1106" s="222"/>
      <c r="F1106" s="702"/>
    </row>
    <row r="1107">
      <c r="C1107" s="703"/>
      <c r="E1107" s="222"/>
      <c r="F1107" s="702"/>
    </row>
    <row r="1108">
      <c r="C1108" s="703"/>
      <c r="E1108" s="222"/>
      <c r="F1108" s="702"/>
    </row>
    <row r="1109">
      <c r="C1109" s="703"/>
      <c r="E1109" s="222"/>
      <c r="F1109" s="702"/>
    </row>
    <row r="1110">
      <c r="C1110" s="703"/>
      <c r="E1110" s="222"/>
      <c r="F1110" s="702"/>
    </row>
    <row r="1111">
      <c r="C1111" s="703"/>
      <c r="E1111" s="222"/>
      <c r="F1111" s="702"/>
    </row>
    <row r="1112">
      <c r="C1112" s="703"/>
      <c r="E1112" s="222"/>
      <c r="F1112" s="702"/>
    </row>
    <row r="1113">
      <c r="C1113" s="703"/>
      <c r="E1113" s="222"/>
      <c r="F1113" s="702"/>
    </row>
    <row r="1114">
      <c r="C1114" s="703"/>
      <c r="E1114" s="222"/>
      <c r="F1114" s="702"/>
    </row>
    <row r="1115">
      <c r="C1115" s="703"/>
      <c r="E1115" s="222"/>
      <c r="F1115" s="702"/>
    </row>
    <row r="1116">
      <c r="C1116" s="703"/>
      <c r="E1116" s="222"/>
      <c r="F1116" s="702"/>
    </row>
    <row r="1117">
      <c r="C1117" s="703"/>
      <c r="E1117" s="222"/>
      <c r="F1117" s="702"/>
    </row>
    <row r="1118">
      <c r="C1118" s="703"/>
      <c r="E1118" s="222"/>
      <c r="F1118" s="702"/>
    </row>
    <row r="1119">
      <c r="C1119" s="703"/>
      <c r="E1119" s="222"/>
      <c r="F1119" s="702"/>
    </row>
    <row r="1120">
      <c r="C1120" s="703"/>
      <c r="E1120" s="222"/>
      <c r="F1120" s="702"/>
    </row>
    <row r="1121">
      <c r="C1121" s="703"/>
      <c r="E1121" s="222"/>
      <c r="F1121" s="702"/>
    </row>
    <row r="1122">
      <c r="C1122" s="703"/>
      <c r="E1122" s="222"/>
      <c r="F1122" s="702"/>
    </row>
    <row r="1123">
      <c r="C1123" s="703"/>
      <c r="E1123" s="222"/>
      <c r="F1123" s="702"/>
    </row>
    <row r="1124">
      <c r="C1124" s="703"/>
      <c r="E1124" s="222"/>
      <c r="F1124" s="702"/>
    </row>
    <row r="1125">
      <c r="C1125" s="703"/>
      <c r="E1125" s="222"/>
      <c r="F1125" s="702"/>
    </row>
    <row r="1126">
      <c r="C1126" s="703"/>
      <c r="E1126" s="222"/>
      <c r="F1126" s="702"/>
    </row>
    <row r="1127">
      <c r="C1127" s="703"/>
      <c r="E1127" s="222"/>
      <c r="F1127" s="702"/>
    </row>
    <row r="1128">
      <c r="C1128" s="703"/>
      <c r="E1128" s="222"/>
      <c r="F1128" s="702"/>
    </row>
    <row r="1129">
      <c r="C1129" s="703"/>
      <c r="E1129" s="222"/>
      <c r="F1129" s="702"/>
    </row>
    <row r="1130">
      <c r="C1130" s="703"/>
      <c r="E1130" s="222"/>
      <c r="F1130" s="702"/>
    </row>
    <row r="1131">
      <c r="C1131" s="703"/>
      <c r="E1131" s="222"/>
      <c r="F1131" s="702"/>
    </row>
    <row r="1132">
      <c r="C1132" s="703"/>
      <c r="E1132" s="222"/>
      <c r="F1132" s="702"/>
    </row>
    <row r="1133">
      <c r="C1133" s="703"/>
      <c r="E1133" s="222"/>
      <c r="F1133" s="702"/>
    </row>
    <row r="1134">
      <c r="C1134" s="703"/>
      <c r="E1134" s="222"/>
      <c r="F1134" s="702"/>
    </row>
    <row r="1135">
      <c r="C1135" s="703"/>
      <c r="E1135" s="222"/>
      <c r="F1135" s="702"/>
    </row>
    <row r="1136">
      <c r="C1136" s="703"/>
      <c r="E1136" s="222"/>
      <c r="F1136" s="702"/>
    </row>
    <row r="1137">
      <c r="C1137" s="703"/>
      <c r="E1137" s="222"/>
      <c r="F1137" s="702"/>
    </row>
    <row r="1138">
      <c r="C1138" s="703"/>
      <c r="E1138" s="222"/>
      <c r="F1138" s="702"/>
    </row>
    <row r="1139">
      <c r="C1139" s="703"/>
      <c r="E1139" s="222"/>
      <c r="F1139" s="702"/>
    </row>
    <row r="1140">
      <c r="C1140" s="703"/>
      <c r="E1140" s="222"/>
      <c r="F1140" s="702"/>
    </row>
    <row r="1141">
      <c r="C1141" s="703"/>
      <c r="E1141" s="222"/>
      <c r="F1141" s="702"/>
    </row>
    <row r="1142">
      <c r="C1142" s="703"/>
      <c r="E1142" s="222"/>
      <c r="F1142" s="702"/>
    </row>
    <row r="1143">
      <c r="C1143" s="703"/>
      <c r="E1143" s="222"/>
      <c r="F1143" s="702"/>
    </row>
    <row r="1144">
      <c r="C1144" s="703"/>
      <c r="E1144" s="222"/>
      <c r="F1144" s="702"/>
    </row>
    <row r="1145">
      <c r="C1145" s="703"/>
      <c r="E1145" s="222"/>
      <c r="F1145" s="702"/>
    </row>
    <row r="1146">
      <c r="C1146" s="703"/>
      <c r="E1146" s="222"/>
      <c r="F1146" s="702"/>
    </row>
    <row r="1147">
      <c r="C1147" s="703"/>
      <c r="E1147" s="222"/>
      <c r="F1147" s="702"/>
    </row>
    <row r="1148">
      <c r="C1148" s="703"/>
      <c r="E1148" s="222"/>
      <c r="F1148" s="702"/>
    </row>
    <row r="1149">
      <c r="C1149" s="703"/>
      <c r="E1149" s="222"/>
      <c r="F1149" s="702"/>
    </row>
    <row r="1150">
      <c r="C1150" s="703"/>
      <c r="E1150" s="222"/>
      <c r="F1150" s="702"/>
    </row>
    <row r="1151">
      <c r="C1151" s="703"/>
      <c r="E1151" s="222"/>
      <c r="F1151" s="702"/>
    </row>
    <row r="1152">
      <c r="C1152" s="703"/>
      <c r="E1152" s="222"/>
      <c r="F1152" s="702"/>
    </row>
    <row r="1153">
      <c r="C1153" s="703"/>
      <c r="E1153" s="222"/>
      <c r="F1153" s="702"/>
    </row>
    <row r="1154">
      <c r="C1154" s="703"/>
      <c r="E1154" s="222"/>
      <c r="F1154" s="702"/>
    </row>
    <row r="1155">
      <c r="C1155" s="703"/>
      <c r="E1155" s="222"/>
      <c r="F1155" s="702"/>
    </row>
    <row r="1156">
      <c r="C1156" s="703"/>
      <c r="E1156" s="222"/>
      <c r="F1156" s="702"/>
    </row>
    <row r="1157">
      <c r="C1157" s="703"/>
      <c r="E1157" s="222"/>
      <c r="F1157" s="702"/>
    </row>
    <row r="1158">
      <c r="C1158" s="703"/>
      <c r="E1158" s="222"/>
      <c r="F1158" s="702"/>
    </row>
    <row r="1159">
      <c r="C1159" s="703"/>
      <c r="E1159" s="222"/>
      <c r="F1159" s="702"/>
    </row>
    <row r="1160">
      <c r="C1160" s="703"/>
      <c r="E1160" s="222"/>
      <c r="F1160" s="702"/>
    </row>
    <row r="1161">
      <c r="C1161" s="703"/>
      <c r="E1161" s="222"/>
      <c r="F1161" s="702"/>
    </row>
    <row r="1162">
      <c r="C1162" s="703"/>
      <c r="E1162" s="222"/>
      <c r="F1162" s="702"/>
    </row>
    <row r="1163">
      <c r="C1163" s="703"/>
      <c r="E1163" s="222"/>
      <c r="F1163" s="702"/>
    </row>
    <row r="1164">
      <c r="C1164" s="703"/>
      <c r="E1164" s="222"/>
      <c r="F1164" s="702"/>
    </row>
    <row r="1165">
      <c r="C1165" s="703"/>
      <c r="E1165" s="222"/>
      <c r="F1165" s="702"/>
    </row>
    <row r="1166">
      <c r="C1166" s="703"/>
      <c r="E1166" s="222"/>
      <c r="F1166" s="702"/>
    </row>
    <row r="1167">
      <c r="C1167" s="703"/>
      <c r="E1167" s="222"/>
      <c r="F1167" s="702"/>
    </row>
    <row r="1168">
      <c r="C1168" s="703"/>
      <c r="E1168" s="222"/>
      <c r="F1168" s="702"/>
    </row>
    <row r="1169">
      <c r="C1169" s="703"/>
      <c r="E1169" s="222"/>
      <c r="F1169" s="702"/>
    </row>
    <row r="1170">
      <c r="C1170" s="703"/>
      <c r="E1170" s="222"/>
      <c r="F1170" s="702"/>
    </row>
    <row r="1171">
      <c r="C1171" s="703"/>
      <c r="E1171" s="222"/>
      <c r="F1171" s="702"/>
    </row>
    <row r="1172">
      <c r="C1172" s="703"/>
      <c r="E1172" s="222"/>
      <c r="F1172" s="702"/>
    </row>
    <row r="1173">
      <c r="C1173" s="703"/>
      <c r="E1173" s="222"/>
      <c r="F1173" s="702"/>
    </row>
    <row r="1174">
      <c r="C1174" s="703"/>
      <c r="E1174" s="222"/>
      <c r="F1174" s="702"/>
    </row>
    <row r="1175">
      <c r="C1175" s="703"/>
      <c r="E1175" s="222"/>
      <c r="F1175" s="702"/>
    </row>
    <row r="1176">
      <c r="C1176" s="703"/>
      <c r="E1176" s="222"/>
      <c r="F1176" s="702"/>
    </row>
    <row r="1177">
      <c r="C1177" s="703"/>
      <c r="E1177" s="222"/>
      <c r="F1177" s="702"/>
    </row>
    <row r="1178">
      <c r="C1178" s="703"/>
      <c r="E1178" s="222"/>
      <c r="F1178" s="702"/>
    </row>
    <row r="1179">
      <c r="C1179" s="703"/>
      <c r="E1179" s="222"/>
      <c r="F1179" s="702"/>
    </row>
    <row r="1180">
      <c r="C1180" s="703"/>
      <c r="E1180" s="222"/>
      <c r="F1180" s="702"/>
    </row>
    <row r="1181">
      <c r="C1181" s="703"/>
      <c r="E1181" s="222"/>
      <c r="F1181" s="702"/>
    </row>
    <row r="1182">
      <c r="C1182" s="703"/>
      <c r="E1182" s="222"/>
      <c r="F1182" s="702"/>
    </row>
    <row r="1183">
      <c r="C1183" s="703"/>
      <c r="E1183" s="222"/>
      <c r="F1183" s="702"/>
    </row>
    <row r="1184">
      <c r="C1184" s="703"/>
      <c r="E1184" s="222"/>
      <c r="F1184" s="702"/>
    </row>
    <row r="1185">
      <c r="C1185" s="703"/>
      <c r="E1185" s="222"/>
      <c r="F1185" s="702"/>
    </row>
    <row r="1186">
      <c r="C1186" s="703"/>
      <c r="E1186" s="222"/>
      <c r="F1186" s="702"/>
    </row>
    <row r="1187">
      <c r="C1187" s="703"/>
      <c r="E1187" s="222"/>
      <c r="F1187" s="702"/>
    </row>
    <row r="1188">
      <c r="C1188" s="703"/>
      <c r="E1188" s="222"/>
      <c r="F1188" s="702"/>
    </row>
    <row r="1189">
      <c r="C1189" s="703"/>
      <c r="E1189" s="222"/>
      <c r="F1189" s="702"/>
    </row>
    <row r="1190">
      <c r="C1190" s="703"/>
      <c r="E1190" s="222"/>
      <c r="F1190" s="702"/>
    </row>
    <row r="1191">
      <c r="C1191" s="703"/>
      <c r="E1191" s="222"/>
      <c r="F1191" s="702"/>
    </row>
    <row r="1192">
      <c r="C1192" s="703"/>
      <c r="E1192" s="222"/>
      <c r="F1192" s="702"/>
    </row>
    <row r="1193">
      <c r="C1193" s="703"/>
      <c r="E1193" s="222"/>
      <c r="F1193" s="702"/>
    </row>
    <row r="1194">
      <c r="C1194" s="703"/>
      <c r="E1194" s="222"/>
      <c r="F1194" s="702"/>
    </row>
    <row r="1195">
      <c r="C1195" s="703"/>
      <c r="E1195" s="222"/>
      <c r="F1195" s="702"/>
    </row>
    <row r="1196">
      <c r="C1196" s="703"/>
      <c r="E1196" s="222"/>
      <c r="F1196" s="702"/>
    </row>
    <row r="1197">
      <c r="C1197" s="703"/>
      <c r="E1197" s="222"/>
      <c r="F1197" s="702"/>
    </row>
    <row r="1198">
      <c r="C1198" s="703"/>
      <c r="E1198" s="222"/>
      <c r="F1198" s="702"/>
    </row>
    <row r="1199">
      <c r="C1199" s="703"/>
      <c r="E1199" s="222"/>
      <c r="F1199" s="702"/>
    </row>
    <row r="1200">
      <c r="C1200" s="703"/>
      <c r="E1200" s="222"/>
      <c r="F1200" s="702"/>
    </row>
    <row r="1201">
      <c r="C1201" s="703"/>
      <c r="E1201" s="222"/>
      <c r="F1201" s="702"/>
    </row>
    <row r="1202">
      <c r="C1202" s="703"/>
      <c r="E1202" s="222"/>
      <c r="F1202" s="702"/>
    </row>
    <row r="1203">
      <c r="C1203" s="703"/>
      <c r="E1203" s="222"/>
      <c r="F1203" s="702"/>
    </row>
    <row r="1204">
      <c r="C1204" s="703"/>
      <c r="E1204" s="222"/>
      <c r="F1204" s="702"/>
    </row>
    <row r="1205">
      <c r="C1205" s="703"/>
      <c r="E1205" s="222"/>
      <c r="F1205" s="702"/>
    </row>
    <row r="1206">
      <c r="C1206" s="703"/>
      <c r="E1206" s="222"/>
      <c r="F1206" s="702"/>
    </row>
    <row r="1207">
      <c r="C1207" s="703"/>
      <c r="E1207" s="222"/>
      <c r="F1207" s="702"/>
    </row>
    <row r="1208">
      <c r="C1208" s="703"/>
      <c r="E1208" s="222"/>
      <c r="F1208" s="702"/>
    </row>
    <row r="1209">
      <c r="C1209" s="703"/>
      <c r="E1209" s="222"/>
      <c r="F1209" s="702"/>
    </row>
    <row r="1210">
      <c r="C1210" s="703"/>
      <c r="E1210" s="222"/>
      <c r="F1210" s="702"/>
    </row>
    <row r="1211">
      <c r="C1211" s="703"/>
      <c r="E1211" s="222"/>
      <c r="F1211" s="702"/>
    </row>
    <row r="1212">
      <c r="C1212" s="703"/>
      <c r="E1212" s="222"/>
      <c r="F1212" s="702"/>
    </row>
    <row r="1213">
      <c r="C1213" s="703"/>
      <c r="E1213" s="222"/>
      <c r="F1213" s="702"/>
    </row>
    <row r="1214">
      <c r="C1214" s="703"/>
      <c r="E1214" s="222"/>
      <c r="F1214" s="702"/>
    </row>
    <row r="1215">
      <c r="C1215" s="703"/>
      <c r="E1215" s="222"/>
      <c r="F1215" s="702"/>
    </row>
    <row r="1216">
      <c r="C1216" s="703"/>
      <c r="E1216" s="222"/>
      <c r="F1216" s="702"/>
    </row>
    <row r="1217">
      <c r="C1217" s="703"/>
      <c r="E1217" s="222"/>
      <c r="F1217" s="702"/>
    </row>
    <row r="1218">
      <c r="C1218" s="703"/>
      <c r="E1218" s="222"/>
      <c r="F1218" s="702"/>
    </row>
    <row r="1219">
      <c r="C1219" s="703"/>
      <c r="E1219" s="222"/>
      <c r="F1219" s="702"/>
    </row>
    <row r="1220">
      <c r="C1220" s="703"/>
      <c r="E1220" s="222"/>
      <c r="F1220" s="702"/>
    </row>
    <row r="1221">
      <c r="C1221" s="703"/>
      <c r="E1221" s="222"/>
      <c r="F1221" s="702"/>
    </row>
    <row r="1222">
      <c r="C1222" s="703"/>
      <c r="E1222" s="222"/>
      <c r="F1222" s="702"/>
    </row>
    <row r="1223">
      <c r="C1223" s="703"/>
      <c r="E1223" s="222"/>
      <c r="F1223" s="702"/>
    </row>
    <row r="1224">
      <c r="C1224" s="703"/>
      <c r="E1224" s="222"/>
      <c r="F1224" s="702"/>
    </row>
    <row r="1225">
      <c r="C1225" s="703"/>
      <c r="E1225" s="222"/>
      <c r="F1225" s="702"/>
    </row>
    <row r="1226">
      <c r="C1226" s="703"/>
      <c r="E1226" s="222"/>
      <c r="F1226" s="702"/>
    </row>
    <row r="1227">
      <c r="C1227" s="703"/>
      <c r="E1227" s="222"/>
      <c r="F1227" s="702"/>
    </row>
    <row r="1228">
      <c r="C1228" s="703"/>
      <c r="E1228" s="222"/>
      <c r="F1228" s="702"/>
    </row>
    <row r="1229">
      <c r="C1229" s="703"/>
      <c r="E1229" s="222"/>
      <c r="F1229" s="702"/>
    </row>
    <row r="1230">
      <c r="C1230" s="703"/>
      <c r="E1230" s="222"/>
      <c r="F1230" s="702"/>
    </row>
    <row r="1231">
      <c r="C1231" s="703"/>
      <c r="E1231" s="222"/>
      <c r="F1231" s="702"/>
    </row>
    <row r="1232">
      <c r="C1232" s="703"/>
      <c r="E1232" s="222"/>
      <c r="F1232" s="702"/>
    </row>
    <row r="1233">
      <c r="C1233" s="703"/>
      <c r="E1233" s="222"/>
      <c r="F1233" s="702"/>
    </row>
    <row r="1234">
      <c r="C1234" s="703"/>
      <c r="E1234" s="222"/>
      <c r="F1234" s="702"/>
    </row>
    <row r="1235">
      <c r="C1235" s="703"/>
      <c r="E1235" s="222"/>
      <c r="F1235" s="702"/>
    </row>
    <row r="1236">
      <c r="C1236" s="703"/>
      <c r="E1236" s="222"/>
      <c r="F1236" s="702"/>
    </row>
    <row r="1237">
      <c r="C1237" s="703"/>
      <c r="E1237" s="222"/>
      <c r="F1237" s="702"/>
    </row>
    <row r="1238">
      <c r="C1238" s="703"/>
      <c r="E1238" s="222"/>
      <c r="F1238" s="702"/>
    </row>
    <row r="1239">
      <c r="C1239" s="703"/>
      <c r="E1239" s="222"/>
      <c r="F1239" s="702"/>
    </row>
    <row r="1240">
      <c r="C1240" s="703"/>
      <c r="E1240" s="222"/>
      <c r="F1240" s="702"/>
    </row>
    <row r="1241">
      <c r="C1241" s="703"/>
      <c r="E1241" s="222"/>
      <c r="F1241" s="702"/>
    </row>
    <row r="1242">
      <c r="C1242" s="703"/>
      <c r="E1242" s="222"/>
      <c r="F1242" s="702"/>
    </row>
    <row r="1243">
      <c r="C1243" s="703"/>
      <c r="E1243" s="222"/>
      <c r="F1243" s="702"/>
    </row>
    <row r="1244">
      <c r="C1244" s="703"/>
      <c r="E1244" s="222"/>
      <c r="F1244" s="702"/>
    </row>
    <row r="1245">
      <c r="C1245" s="703"/>
      <c r="E1245" s="222"/>
      <c r="F1245" s="702"/>
    </row>
    <row r="1246">
      <c r="C1246" s="703"/>
      <c r="E1246" s="222"/>
      <c r="F1246" s="702"/>
    </row>
    <row r="1247">
      <c r="C1247" s="703"/>
      <c r="E1247" s="222"/>
      <c r="F1247" s="702"/>
    </row>
    <row r="1248">
      <c r="C1248" s="703"/>
      <c r="E1248" s="222"/>
      <c r="F1248" s="702"/>
    </row>
    <row r="1249">
      <c r="C1249" s="703"/>
      <c r="E1249" s="222"/>
      <c r="F1249" s="702"/>
    </row>
    <row r="1250">
      <c r="C1250" s="703"/>
      <c r="E1250" s="222"/>
      <c r="F1250" s="702"/>
    </row>
    <row r="1251">
      <c r="C1251" s="703"/>
      <c r="E1251" s="222"/>
      <c r="F1251" s="702"/>
    </row>
    <row r="1252">
      <c r="C1252" s="703"/>
      <c r="E1252" s="222"/>
      <c r="F1252" s="702"/>
    </row>
    <row r="1253">
      <c r="C1253" s="703"/>
      <c r="E1253" s="222"/>
      <c r="F1253" s="702"/>
    </row>
    <row r="1254">
      <c r="C1254" s="703"/>
      <c r="E1254" s="222"/>
      <c r="F1254" s="702"/>
    </row>
    <row r="1255">
      <c r="C1255" s="703"/>
      <c r="E1255" s="222"/>
      <c r="F1255" s="702"/>
    </row>
    <row r="1256">
      <c r="C1256" s="703"/>
      <c r="E1256" s="222"/>
      <c r="F1256" s="702"/>
    </row>
    <row r="1257">
      <c r="C1257" s="703"/>
      <c r="E1257" s="222"/>
      <c r="F1257" s="702"/>
    </row>
    <row r="1258">
      <c r="C1258" s="703"/>
      <c r="E1258" s="222"/>
      <c r="F1258" s="702"/>
    </row>
    <row r="1259">
      <c r="C1259" s="703"/>
      <c r="E1259" s="222"/>
      <c r="F1259" s="702"/>
    </row>
    <row r="1260">
      <c r="C1260" s="703"/>
      <c r="E1260" s="222"/>
      <c r="F1260" s="702"/>
    </row>
    <row r="1261">
      <c r="C1261" s="703"/>
      <c r="E1261" s="222"/>
      <c r="F1261" s="702"/>
    </row>
    <row r="1262">
      <c r="C1262" s="703"/>
      <c r="E1262" s="222"/>
      <c r="F1262" s="702"/>
    </row>
    <row r="1263">
      <c r="C1263" s="703"/>
      <c r="E1263" s="222"/>
      <c r="F1263" s="702"/>
    </row>
    <row r="1264">
      <c r="C1264" s="703"/>
      <c r="E1264" s="222"/>
      <c r="F1264" s="702"/>
    </row>
    <row r="1265">
      <c r="C1265" s="703"/>
      <c r="E1265" s="222"/>
      <c r="F1265" s="702"/>
    </row>
    <row r="1266">
      <c r="C1266" s="703"/>
      <c r="E1266" s="222"/>
      <c r="F1266" s="702"/>
    </row>
    <row r="1267">
      <c r="C1267" s="703"/>
      <c r="E1267" s="222"/>
      <c r="F1267" s="702"/>
    </row>
    <row r="1268">
      <c r="C1268" s="703"/>
      <c r="E1268" s="222"/>
      <c r="F1268" s="702"/>
    </row>
    <row r="1269">
      <c r="C1269" s="703"/>
      <c r="E1269" s="222"/>
      <c r="F1269" s="702"/>
    </row>
    <row r="1270">
      <c r="C1270" s="703"/>
      <c r="E1270" s="222"/>
      <c r="F1270" s="702"/>
    </row>
    <row r="1271">
      <c r="C1271" s="703"/>
      <c r="E1271" s="222"/>
      <c r="F1271" s="702"/>
    </row>
    <row r="1272">
      <c r="C1272" s="703"/>
      <c r="E1272" s="222"/>
      <c r="F1272" s="702"/>
    </row>
    <row r="1273">
      <c r="C1273" s="703"/>
      <c r="E1273" s="222"/>
      <c r="F1273" s="702"/>
    </row>
    <row r="1274">
      <c r="C1274" s="703"/>
      <c r="E1274" s="222"/>
      <c r="F1274" s="702"/>
    </row>
    <row r="1275">
      <c r="C1275" s="703"/>
      <c r="E1275" s="222"/>
      <c r="F1275" s="702"/>
    </row>
    <row r="1276">
      <c r="C1276" s="703"/>
      <c r="E1276" s="222"/>
      <c r="F1276" s="702"/>
    </row>
    <row r="1277">
      <c r="C1277" s="703"/>
      <c r="E1277" s="222"/>
      <c r="F1277" s="702"/>
    </row>
    <row r="1278">
      <c r="C1278" s="703"/>
      <c r="E1278" s="222"/>
      <c r="F1278" s="702"/>
    </row>
    <row r="1279">
      <c r="C1279" s="703"/>
      <c r="E1279" s="222"/>
      <c r="F1279" s="702"/>
    </row>
    <row r="1280">
      <c r="C1280" s="703"/>
      <c r="E1280" s="222"/>
      <c r="F1280" s="702"/>
    </row>
    <row r="1281">
      <c r="C1281" s="703"/>
      <c r="E1281" s="222"/>
      <c r="F1281" s="702"/>
    </row>
    <row r="1282">
      <c r="C1282" s="703"/>
      <c r="E1282" s="222"/>
      <c r="F1282" s="702"/>
    </row>
    <row r="1283">
      <c r="C1283" s="703"/>
      <c r="E1283" s="222"/>
      <c r="F1283" s="702"/>
    </row>
    <row r="1284">
      <c r="C1284" s="703"/>
      <c r="E1284" s="222"/>
      <c r="F1284" s="702"/>
    </row>
    <row r="1285">
      <c r="C1285" s="703"/>
      <c r="E1285" s="222"/>
      <c r="F1285" s="702"/>
    </row>
    <row r="1286">
      <c r="C1286" s="703"/>
      <c r="E1286" s="222"/>
      <c r="F1286" s="702"/>
    </row>
    <row r="1287">
      <c r="C1287" s="703"/>
      <c r="E1287" s="222"/>
      <c r="F1287" s="702"/>
    </row>
    <row r="1288">
      <c r="C1288" s="703"/>
      <c r="E1288" s="222"/>
      <c r="F1288" s="702"/>
    </row>
    <row r="1289">
      <c r="C1289" s="703"/>
      <c r="E1289" s="222"/>
      <c r="F1289" s="702"/>
    </row>
    <row r="1290">
      <c r="C1290" s="703"/>
      <c r="E1290" s="222"/>
      <c r="F1290" s="702"/>
    </row>
    <row r="1291">
      <c r="C1291" s="703"/>
      <c r="E1291" s="222"/>
      <c r="F1291" s="702"/>
    </row>
    <row r="1292">
      <c r="C1292" s="703"/>
      <c r="E1292" s="222"/>
      <c r="F1292" s="702"/>
    </row>
    <row r="1293">
      <c r="C1293" s="703"/>
      <c r="E1293" s="222"/>
      <c r="F1293" s="702"/>
    </row>
    <row r="1294">
      <c r="C1294" s="703"/>
      <c r="E1294" s="222"/>
      <c r="F1294" s="702"/>
    </row>
    <row r="1295">
      <c r="C1295" s="703"/>
      <c r="E1295" s="222"/>
      <c r="F1295" s="702"/>
    </row>
    <row r="1296">
      <c r="C1296" s="703"/>
      <c r="E1296" s="222"/>
      <c r="F1296" s="702"/>
    </row>
    <row r="1297">
      <c r="C1297" s="703"/>
      <c r="E1297" s="222"/>
      <c r="F1297" s="702"/>
    </row>
    <row r="1298">
      <c r="C1298" s="703"/>
      <c r="E1298" s="222"/>
      <c r="F1298" s="702"/>
    </row>
    <row r="1299">
      <c r="C1299" s="703"/>
      <c r="E1299" s="222"/>
      <c r="F1299" s="702"/>
    </row>
    <row r="1300">
      <c r="C1300" s="703"/>
      <c r="E1300" s="222"/>
      <c r="F1300" s="702"/>
    </row>
    <row r="1301">
      <c r="C1301" s="703"/>
      <c r="E1301" s="222"/>
      <c r="F1301" s="702"/>
    </row>
    <row r="1302">
      <c r="C1302" s="703"/>
      <c r="E1302" s="222"/>
      <c r="F1302" s="702"/>
    </row>
    <row r="1303">
      <c r="C1303" s="703"/>
      <c r="E1303" s="222"/>
      <c r="F1303" s="702"/>
    </row>
    <row r="1304">
      <c r="C1304" s="703"/>
      <c r="E1304" s="222"/>
      <c r="F1304" s="702"/>
    </row>
    <row r="1305">
      <c r="C1305" s="703"/>
      <c r="E1305" s="222"/>
      <c r="F1305" s="702"/>
    </row>
    <row r="1306">
      <c r="C1306" s="703"/>
      <c r="E1306" s="222"/>
      <c r="F1306" s="702"/>
    </row>
    <row r="1307">
      <c r="C1307" s="703"/>
      <c r="E1307" s="222"/>
      <c r="F1307" s="702"/>
    </row>
    <row r="1308">
      <c r="C1308" s="703"/>
      <c r="E1308" s="222"/>
      <c r="F1308" s="702"/>
    </row>
    <row r="1309">
      <c r="C1309" s="703"/>
      <c r="E1309" s="222"/>
      <c r="F1309" s="702"/>
    </row>
    <row r="1310">
      <c r="C1310" s="703"/>
      <c r="E1310" s="222"/>
      <c r="F1310" s="702"/>
    </row>
    <row r="1311">
      <c r="C1311" s="703"/>
      <c r="E1311" s="222"/>
      <c r="F1311" s="702"/>
    </row>
    <row r="1312">
      <c r="C1312" s="703"/>
      <c r="E1312" s="222"/>
      <c r="F1312" s="702"/>
    </row>
    <row r="1313">
      <c r="C1313" s="703"/>
      <c r="E1313" s="222"/>
      <c r="F1313" s="702"/>
    </row>
    <row r="1314">
      <c r="C1314" s="703"/>
      <c r="E1314" s="222"/>
      <c r="F1314" s="702"/>
    </row>
    <row r="1315">
      <c r="C1315" s="703"/>
      <c r="E1315" s="222"/>
      <c r="F1315" s="702"/>
    </row>
    <row r="1316">
      <c r="C1316" s="703"/>
      <c r="E1316" s="222"/>
      <c r="F1316" s="702"/>
    </row>
    <row r="1317">
      <c r="C1317" s="703"/>
      <c r="E1317" s="222"/>
      <c r="F1317" s="702"/>
    </row>
    <row r="1318">
      <c r="C1318" s="703"/>
      <c r="E1318" s="222"/>
      <c r="F1318" s="702"/>
    </row>
    <row r="1319">
      <c r="C1319" s="703"/>
      <c r="E1319" s="222"/>
      <c r="F1319" s="702"/>
    </row>
    <row r="1320">
      <c r="C1320" s="703"/>
      <c r="E1320" s="222"/>
      <c r="F1320" s="702"/>
    </row>
    <row r="1321">
      <c r="C1321" s="703"/>
      <c r="E1321" s="222"/>
      <c r="F1321" s="702"/>
    </row>
    <row r="1322">
      <c r="C1322" s="703"/>
      <c r="E1322" s="222"/>
      <c r="F1322" s="702"/>
    </row>
    <row r="1323">
      <c r="C1323" s="703"/>
      <c r="E1323" s="222"/>
      <c r="F1323" s="702"/>
    </row>
    <row r="1324">
      <c r="C1324" s="703"/>
      <c r="E1324" s="222"/>
      <c r="F1324" s="702"/>
    </row>
    <row r="1325">
      <c r="C1325" s="703"/>
      <c r="E1325" s="222"/>
      <c r="F1325" s="702"/>
    </row>
    <row r="1326">
      <c r="C1326" s="703"/>
      <c r="E1326" s="222"/>
      <c r="F1326" s="702"/>
    </row>
    <row r="1327">
      <c r="C1327" s="703"/>
      <c r="E1327" s="222"/>
      <c r="F1327" s="702"/>
    </row>
    <row r="1328">
      <c r="C1328" s="703"/>
      <c r="E1328" s="222"/>
      <c r="F1328" s="702"/>
    </row>
    <row r="1329">
      <c r="C1329" s="703"/>
      <c r="E1329" s="222"/>
      <c r="F1329" s="702"/>
    </row>
    <row r="1330">
      <c r="C1330" s="703"/>
      <c r="E1330" s="222"/>
      <c r="F1330" s="702"/>
    </row>
    <row r="1331">
      <c r="C1331" s="703"/>
      <c r="E1331" s="222"/>
      <c r="F1331" s="702"/>
    </row>
    <row r="1332">
      <c r="C1332" s="703"/>
      <c r="E1332" s="222"/>
      <c r="F1332" s="702"/>
    </row>
    <row r="1333">
      <c r="C1333" s="703"/>
      <c r="E1333" s="222"/>
      <c r="F1333" s="702"/>
    </row>
    <row r="1334">
      <c r="C1334" s="703"/>
      <c r="E1334" s="222"/>
      <c r="F1334" s="702"/>
    </row>
    <row r="1335">
      <c r="C1335" s="703"/>
      <c r="E1335" s="222"/>
      <c r="F1335" s="702"/>
    </row>
    <row r="1336">
      <c r="C1336" s="703"/>
      <c r="E1336" s="222"/>
      <c r="F1336" s="702"/>
    </row>
    <row r="1337">
      <c r="C1337" s="703"/>
      <c r="E1337" s="222"/>
      <c r="F1337" s="702"/>
    </row>
    <row r="1338">
      <c r="C1338" s="703"/>
      <c r="E1338" s="222"/>
      <c r="F1338" s="702"/>
    </row>
    <row r="1339">
      <c r="C1339" s="703"/>
      <c r="E1339" s="222"/>
      <c r="F1339" s="702"/>
    </row>
    <row r="1340">
      <c r="C1340" s="703"/>
      <c r="E1340" s="222"/>
      <c r="F1340" s="702"/>
    </row>
    <row r="1341">
      <c r="C1341" s="703"/>
      <c r="E1341" s="222"/>
      <c r="F1341" s="702"/>
    </row>
    <row r="1342">
      <c r="C1342" s="703"/>
      <c r="E1342" s="222"/>
      <c r="F1342" s="702"/>
    </row>
    <row r="1343">
      <c r="C1343" s="703"/>
      <c r="E1343" s="222"/>
      <c r="F1343" s="702"/>
    </row>
    <row r="1344">
      <c r="C1344" s="703"/>
      <c r="E1344" s="222"/>
      <c r="F1344" s="702"/>
    </row>
    <row r="1345">
      <c r="C1345" s="703"/>
      <c r="E1345" s="222"/>
      <c r="F1345" s="702"/>
    </row>
    <row r="1346">
      <c r="C1346" s="703"/>
      <c r="E1346" s="222"/>
      <c r="F1346" s="702"/>
    </row>
    <row r="1347">
      <c r="C1347" s="703"/>
      <c r="E1347" s="222"/>
      <c r="F1347" s="702"/>
    </row>
    <row r="1348">
      <c r="C1348" s="703"/>
      <c r="E1348" s="222"/>
      <c r="F1348" s="702"/>
    </row>
    <row r="1349">
      <c r="C1349" s="703"/>
      <c r="E1349" s="222"/>
      <c r="F1349" s="702"/>
    </row>
    <row r="1350">
      <c r="C1350" s="703"/>
      <c r="E1350" s="222"/>
      <c r="F1350" s="702"/>
    </row>
    <row r="1351">
      <c r="C1351" s="703"/>
      <c r="E1351" s="222"/>
      <c r="F1351" s="702"/>
    </row>
    <row r="1352">
      <c r="C1352" s="703"/>
      <c r="E1352" s="222"/>
      <c r="F1352" s="702"/>
    </row>
    <row r="1353">
      <c r="C1353" s="703"/>
      <c r="E1353" s="222"/>
      <c r="F1353" s="702"/>
    </row>
    <row r="1354">
      <c r="C1354" s="703"/>
      <c r="E1354" s="222"/>
      <c r="F1354" s="702"/>
    </row>
    <row r="1355">
      <c r="C1355" s="703"/>
      <c r="E1355" s="222"/>
      <c r="F1355" s="702"/>
    </row>
    <row r="1356">
      <c r="C1356" s="703"/>
      <c r="E1356" s="222"/>
      <c r="F1356" s="702"/>
    </row>
    <row r="1357">
      <c r="C1357" s="703"/>
      <c r="E1357" s="222"/>
      <c r="F1357" s="702"/>
    </row>
    <row r="1358">
      <c r="C1358" s="703"/>
      <c r="E1358" s="222"/>
      <c r="F1358" s="702"/>
    </row>
    <row r="1359">
      <c r="C1359" s="703"/>
      <c r="E1359" s="222"/>
      <c r="F1359" s="702"/>
    </row>
    <row r="1360">
      <c r="C1360" s="703"/>
      <c r="E1360" s="222"/>
      <c r="F1360" s="702"/>
    </row>
    <row r="1361">
      <c r="C1361" s="703"/>
      <c r="E1361" s="222"/>
      <c r="F1361" s="702"/>
    </row>
    <row r="1362">
      <c r="C1362" s="703"/>
      <c r="E1362" s="222"/>
      <c r="F1362" s="702"/>
    </row>
    <row r="1363">
      <c r="C1363" s="703"/>
      <c r="E1363" s="222"/>
      <c r="F1363" s="702"/>
    </row>
    <row r="1364">
      <c r="C1364" s="703"/>
      <c r="E1364" s="222"/>
      <c r="F1364" s="702"/>
    </row>
    <row r="1365">
      <c r="C1365" s="703"/>
      <c r="E1365" s="222"/>
      <c r="F1365" s="702"/>
    </row>
    <row r="1366">
      <c r="C1366" s="703"/>
      <c r="E1366" s="222"/>
      <c r="F1366" s="702"/>
    </row>
    <row r="1367">
      <c r="C1367" s="703"/>
      <c r="E1367" s="222"/>
      <c r="F1367" s="702"/>
    </row>
    <row r="1368">
      <c r="C1368" s="703"/>
      <c r="E1368" s="222"/>
      <c r="F1368" s="702"/>
    </row>
    <row r="1369">
      <c r="C1369" s="703"/>
      <c r="E1369" s="222"/>
      <c r="F1369" s="702"/>
    </row>
    <row r="1370">
      <c r="C1370" s="703"/>
      <c r="E1370" s="222"/>
      <c r="F1370" s="702"/>
    </row>
    <row r="1371">
      <c r="C1371" s="703"/>
      <c r="E1371" s="222"/>
      <c r="F1371" s="702"/>
    </row>
    <row r="1372">
      <c r="C1372" s="703"/>
      <c r="E1372" s="222"/>
      <c r="F1372" s="702"/>
    </row>
    <row r="1373">
      <c r="C1373" s="703"/>
      <c r="E1373" s="222"/>
      <c r="F1373" s="702"/>
    </row>
    <row r="1374">
      <c r="C1374" s="703"/>
      <c r="E1374" s="222"/>
      <c r="F1374" s="702"/>
    </row>
    <row r="1375">
      <c r="C1375" s="703"/>
      <c r="E1375" s="222"/>
      <c r="F1375" s="702"/>
    </row>
    <row r="1376">
      <c r="C1376" s="703"/>
      <c r="E1376" s="222"/>
      <c r="F1376" s="702"/>
    </row>
    <row r="1377">
      <c r="C1377" s="703"/>
      <c r="E1377" s="222"/>
      <c r="F1377" s="702"/>
    </row>
    <row r="1378">
      <c r="C1378" s="703"/>
      <c r="E1378" s="222"/>
      <c r="F1378" s="702"/>
    </row>
    <row r="1379">
      <c r="C1379" s="703"/>
      <c r="E1379" s="222"/>
      <c r="F1379" s="702"/>
    </row>
    <row r="1380">
      <c r="C1380" s="703"/>
      <c r="E1380" s="222"/>
      <c r="F1380" s="702"/>
    </row>
    <row r="1381">
      <c r="C1381" s="703"/>
      <c r="E1381" s="222"/>
      <c r="F1381" s="702"/>
    </row>
    <row r="1382">
      <c r="C1382" s="703"/>
      <c r="E1382" s="222"/>
      <c r="F1382" s="702"/>
    </row>
    <row r="1383">
      <c r="C1383" s="703"/>
      <c r="E1383" s="222"/>
      <c r="F1383" s="702"/>
    </row>
    <row r="1384">
      <c r="C1384" s="703"/>
      <c r="E1384" s="222"/>
      <c r="F1384" s="702"/>
    </row>
    <row r="1385">
      <c r="C1385" s="703"/>
      <c r="E1385" s="222"/>
      <c r="F1385" s="702"/>
    </row>
    <row r="1386">
      <c r="C1386" s="703"/>
      <c r="E1386" s="222"/>
      <c r="F1386" s="702"/>
    </row>
    <row r="1387">
      <c r="C1387" s="703"/>
      <c r="E1387" s="222"/>
      <c r="F1387" s="702"/>
    </row>
    <row r="1388">
      <c r="C1388" s="703"/>
      <c r="E1388" s="222"/>
      <c r="F1388" s="702"/>
    </row>
    <row r="1389">
      <c r="C1389" s="703"/>
      <c r="E1389" s="222"/>
      <c r="F1389" s="702"/>
    </row>
    <row r="1390">
      <c r="C1390" s="703"/>
      <c r="E1390" s="222"/>
      <c r="F1390" s="702"/>
    </row>
    <row r="1391">
      <c r="C1391" s="703"/>
      <c r="E1391" s="222"/>
      <c r="F1391" s="702"/>
    </row>
    <row r="1392">
      <c r="C1392" s="703"/>
      <c r="E1392" s="222"/>
      <c r="F1392" s="702"/>
    </row>
    <row r="1393">
      <c r="C1393" s="703"/>
      <c r="E1393" s="222"/>
      <c r="F1393" s="702"/>
    </row>
    <row r="1394">
      <c r="C1394" s="703"/>
      <c r="E1394" s="222"/>
      <c r="F1394" s="702"/>
    </row>
    <row r="1395">
      <c r="C1395" s="703"/>
      <c r="E1395" s="222"/>
      <c r="F1395" s="702"/>
    </row>
    <row r="1396">
      <c r="C1396" s="703"/>
      <c r="E1396" s="222"/>
      <c r="F1396" s="702"/>
    </row>
    <row r="1397">
      <c r="C1397" s="703"/>
      <c r="E1397" s="222"/>
      <c r="F1397" s="702"/>
    </row>
    <row r="1398">
      <c r="C1398" s="703"/>
      <c r="E1398" s="222"/>
      <c r="F1398" s="702"/>
    </row>
    <row r="1399">
      <c r="C1399" s="703"/>
      <c r="E1399" s="222"/>
      <c r="F1399" s="702"/>
    </row>
    <row r="1400">
      <c r="C1400" s="703"/>
      <c r="E1400" s="222"/>
      <c r="F1400" s="702"/>
    </row>
    <row r="1401">
      <c r="C1401" s="703"/>
      <c r="E1401" s="222"/>
      <c r="F1401" s="702"/>
    </row>
    <row r="1402">
      <c r="C1402" s="703"/>
      <c r="E1402" s="222"/>
      <c r="F1402" s="702"/>
    </row>
    <row r="1403">
      <c r="C1403" s="703"/>
      <c r="E1403" s="222"/>
      <c r="F1403" s="702"/>
    </row>
    <row r="1404">
      <c r="C1404" s="703"/>
      <c r="E1404" s="222"/>
      <c r="F1404" s="702"/>
    </row>
    <row r="1405">
      <c r="C1405" s="703"/>
      <c r="E1405" s="222"/>
      <c r="F1405" s="702"/>
    </row>
    <row r="1406">
      <c r="C1406" s="703"/>
      <c r="E1406" s="222"/>
      <c r="F1406" s="702"/>
    </row>
    <row r="1407">
      <c r="C1407" s="703"/>
      <c r="E1407" s="222"/>
      <c r="F1407" s="702"/>
    </row>
    <row r="1408">
      <c r="C1408" s="703"/>
      <c r="E1408" s="222"/>
      <c r="F1408" s="702"/>
    </row>
    <row r="1409">
      <c r="C1409" s="703"/>
      <c r="E1409" s="222"/>
      <c r="F1409" s="702"/>
    </row>
    <row r="1410">
      <c r="C1410" s="703"/>
      <c r="E1410" s="222"/>
      <c r="F1410" s="702"/>
    </row>
    <row r="1411">
      <c r="C1411" s="703"/>
      <c r="E1411" s="222"/>
      <c r="F1411" s="702"/>
    </row>
    <row r="1412">
      <c r="C1412" s="703"/>
      <c r="E1412" s="222"/>
      <c r="F1412" s="702"/>
    </row>
    <row r="1413">
      <c r="C1413" s="703"/>
      <c r="E1413" s="222"/>
      <c r="F1413" s="702"/>
    </row>
    <row r="1414">
      <c r="C1414" s="703"/>
      <c r="E1414" s="222"/>
      <c r="F1414" s="702"/>
    </row>
    <row r="1415">
      <c r="C1415" s="703"/>
      <c r="E1415" s="222"/>
      <c r="F1415" s="702"/>
    </row>
    <row r="1416">
      <c r="C1416" s="703"/>
      <c r="E1416" s="222"/>
      <c r="F1416" s="702"/>
    </row>
    <row r="1417">
      <c r="C1417" s="703"/>
      <c r="E1417" s="222"/>
      <c r="F1417" s="702"/>
    </row>
    <row r="1418">
      <c r="C1418" s="703"/>
      <c r="E1418" s="222"/>
      <c r="F1418" s="702"/>
    </row>
    <row r="1419">
      <c r="C1419" s="703"/>
      <c r="E1419" s="222"/>
      <c r="F1419" s="702"/>
    </row>
    <row r="1420">
      <c r="C1420" s="703"/>
      <c r="E1420" s="222"/>
      <c r="F1420" s="702"/>
    </row>
    <row r="1421">
      <c r="C1421" s="703"/>
      <c r="E1421" s="222"/>
      <c r="F1421" s="702"/>
    </row>
    <row r="1422">
      <c r="C1422" s="703"/>
      <c r="E1422" s="222"/>
      <c r="F1422" s="702"/>
    </row>
    <row r="1423">
      <c r="C1423" s="703"/>
      <c r="E1423" s="222"/>
      <c r="F1423" s="702"/>
    </row>
    <row r="1424">
      <c r="C1424" s="703"/>
      <c r="E1424" s="222"/>
      <c r="F1424" s="702"/>
    </row>
    <row r="1425">
      <c r="C1425" s="703"/>
      <c r="E1425" s="222"/>
      <c r="F1425" s="702"/>
    </row>
    <row r="1426">
      <c r="C1426" s="703"/>
      <c r="E1426" s="222"/>
      <c r="F1426" s="702"/>
    </row>
    <row r="1427">
      <c r="C1427" s="703"/>
      <c r="E1427" s="222"/>
      <c r="F1427" s="702"/>
    </row>
    <row r="1428">
      <c r="C1428" s="703"/>
      <c r="E1428" s="222"/>
      <c r="F1428" s="702"/>
    </row>
    <row r="1429">
      <c r="C1429" s="703"/>
      <c r="E1429" s="222"/>
      <c r="F1429" s="702"/>
    </row>
    <row r="1430">
      <c r="C1430" s="703"/>
      <c r="E1430" s="222"/>
      <c r="F1430" s="702"/>
    </row>
    <row r="1431">
      <c r="C1431" s="703"/>
      <c r="E1431" s="222"/>
      <c r="F1431" s="702"/>
    </row>
    <row r="1432">
      <c r="C1432" s="703"/>
      <c r="E1432" s="222"/>
      <c r="F1432" s="702"/>
    </row>
    <row r="1433">
      <c r="C1433" s="703"/>
      <c r="E1433" s="222"/>
      <c r="F1433" s="702"/>
    </row>
    <row r="1434">
      <c r="C1434" s="703"/>
      <c r="E1434" s="222"/>
      <c r="F1434" s="702"/>
    </row>
    <row r="1435">
      <c r="C1435" s="703"/>
      <c r="E1435" s="222"/>
      <c r="F1435" s="702"/>
    </row>
    <row r="1436">
      <c r="C1436" s="703"/>
      <c r="E1436" s="222"/>
      <c r="F1436" s="702"/>
    </row>
    <row r="1437">
      <c r="C1437" s="703"/>
      <c r="E1437" s="222"/>
      <c r="F1437" s="702"/>
    </row>
    <row r="1438">
      <c r="C1438" s="703"/>
      <c r="E1438" s="222"/>
      <c r="F1438" s="702"/>
    </row>
    <row r="1439">
      <c r="C1439" s="703"/>
      <c r="E1439" s="222"/>
      <c r="F1439" s="702"/>
    </row>
    <row r="1440">
      <c r="C1440" s="703"/>
      <c r="E1440" s="222"/>
      <c r="F1440" s="702"/>
    </row>
    <row r="1441">
      <c r="C1441" s="703"/>
      <c r="E1441" s="222"/>
      <c r="F1441" s="702"/>
    </row>
    <row r="1442">
      <c r="C1442" s="703"/>
      <c r="E1442" s="222"/>
      <c r="F1442" s="702"/>
    </row>
    <row r="1443">
      <c r="C1443" s="703"/>
      <c r="E1443" s="222"/>
      <c r="F1443" s="702"/>
    </row>
    <row r="1444">
      <c r="C1444" s="703"/>
      <c r="E1444" s="222"/>
      <c r="F1444" s="702"/>
    </row>
    <row r="1445">
      <c r="C1445" s="703"/>
      <c r="E1445" s="222"/>
      <c r="F1445" s="702"/>
    </row>
    <row r="1446">
      <c r="C1446" s="703"/>
      <c r="E1446" s="222"/>
      <c r="F1446" s="702"/>
    </row>
    <row r="1447">
      <c r="C1447" s="703"/>
      <c r="E1447" s="222"/>
      <c r="F1447" s="702"/>
    </row>
    <row r="1448">
      <c r="C1448" s="703"/>
      <c r="E1448" s="222"/>
      <c r="F1448" s="702"/>
    </row>
    <row r="1449">
      <c r="C1449" s="703"/>
      <c r="E1449" s="222"/>
      <c r="F1449" s="702"/>
    </row>
    <row r="1450">
      <c r="C1450" s="703"/>
      <c r="E1450" s="222"/>
      <c r="F1450" s="702"/>
    </row>
    <row r="1451">
      <c r="C1451" s="703"/>
      <c r="E1451" s="222"/>
      <c r="F1451" s="702"/>
    </row>
    <row r="1452">
      <c r="C1452" s="703"/>
      <c r="E1452" s="222"/>
      <c r="F1452" s="702"/>
    </row>
    <row r="1453">
      <c r="C1453" s="703"/>
      <c r="E1453" s="222"/>
      <c r="F1453" s="702"/>
    </row>
    <row r="1454">
      <c r="C1454" s="703"/>
      <c r="E1454" s="222"/>
      <c r="F1454" s="702"/>
    </row>
    <row r="1455">
      <c r="C1455" s="703"/>
      <c r="E1455" s="222"/>
      <c r="F1455" s="702"/>
    </row>
    <row r="1456">
      <c r="C1456" s="703"/>
      <c r="E1456" s="222"/>
      <c r="F1456" s="702"/>
    </row>
    <row r="1457">
      <c r="C1457" s="703"/>
      <c r="E1457" s="222"/>
      <c r="F1457" s="702"/>
    </row>
    <row r="1458">
      <c r="C1458" s="703"/>
      <c r="E1458" s="222"/>
      <c r="F1458" s="702"/>
    </row>
    <row r="1459">
      <c r="C1459" s="703"/>
      <c r="E1459" s="222"/>
      <c r="F1459" s="702"/>
    </row>
    <row r="1460">
      <c r="C1460" s="703"/>
      <c r="E1460" s="222"/>
      <c r="F1460" s="702"/>
    </row>
    <row r="1461">
      <c r="C1461" s="703"/>
      <c r="E1461" s="222"/>
      <c r="F1461" s="702"/>
    </row>
    <row r="1462">
      <c r="C1462" s="703"/>
      <c r="E1462" s="222"/>
      <c r="F1462" s="702"/>
    </row>
    <row r="1463">
      <c r="C1463" s="703"/>
      <c r="E1463" s="222"/>
      <c r="F1463" s="702"/>
    </row>
    <row r="1464">
      <c r="C1464" s="703"/>
      <c r="E1464" s="222"/>
      <c r="F1464" s="702"/>
    </row>
    <row r="1465">
      <c r="C1465" s="703"/>
      <c r="E1465" s="222"/>
      <c r="F1465" s="702"/>
    </row>
    <row r="1466">
      <c r="C1466" s="703"/>
      <c r="E1466" s="222"/>
      <c r="F1466" s="702"/>
    </row>
    <row r="1467">
      <c r="C1467" s="703"/>
      <c r="E1467" s="222"/>
      <c r="F1467" s="702"/>
    </row>
    <row r="1468">
      <c r="C1468" s="703"/>
      <c r="E1468" s="222"/>
      <c r="F1468" s="702"/>
    </row>
    <row r="1469">
      <c r="C1469" s="703"/>
      <c r="E1469" s="222"/>
      <c r="F1469" s="702"/>
    </row>
    <row r="1470">
      <c r="C1470" s="703"/>
      <c r="E1470" s="222"/>
      <c r="F1470" s="702"/>
    </row>
    <row r="1471">
      <c r="C1471" s="703"/>
      <c r="E1471" s="222"/>
      <c r="F1471" s="702"/>
    </row>
    <row r="1472">
      <c r="C1472" s="703"/>
      <c r="E1472" s="222"/>
      <c r="F1472" s="702"/>
    </row>
    <row r="1473">
      <c r="C1473" s="703"/>
      <c r="E1473" s="222"/>
      <c r="F1473" s="702"/>
    </row>
    <row r="1474">
      <c r="C1474" s="703"/>
      <c r="E1474" s="222"/>
      <c r="F1474" s="702"/>
    </row>
    <row r="1475">
      <c r="C1475" s="703"/>
      <c r="E1475" s="222"/>
      <c r="F1475" s="702"/>
    </row>
    <row r="1476">
      <c r="C1476" s="703"/>
      <c r="E1476" s="222"/>
      <c r="F1476" s="702"/>
    </row>
    <row r="1477">
      <c r="C1477" s="703"/>
      <c r="E1477" s="222"/>
      <c r="F1477" s="702"/>
    </row>
    <row r="1478">
      <c r="C1478" s="703"/>
      <c r="E1478" s="222"/>
      <c r="F1478" s="702"/>
    </row>
    <row r="1479">
      <c r="C1479" s="703"/>
      <c r="E1479" s="222"/>
      <c r="F1479" s="702"/>
    </row>
    <row r="1480">
      <c r="C1480" s="703"/>
      <c r="E1480" s="222"/>
      <c r="F1480" s="702"/>
    </row>
    <row r="1481">
      <c r="C1481" s="703"/>
      <c r="E1481" s="222"/>
      <c r="F1481" s="702"/>
    </row>
    <row r="1482">
      <c r="C1482" s="703"/>
      <c r="E1482" s="222"/>
      <c r="F1482" s="702"/>
    </row>
    <row r="1483">
      <c r="C1483" s="703"/>
      <c r="E1483" s="222"/>
      <c r="F1483" s="702"/>
    </row>
    <row r="1484">
      <c r="C1484" s="703"/>
      <c r="E1484" s="222"/>
      <c r="F1484" s="702"/>
    </row>
    <row r="1485">
      <c r="C1485" s="703"/>
      <c r="E1485" s="222"/>
      <c r="F1485" s="702"/>
    </row>
    <row r="1486">
      <c r="C1486" s="703"/>
      <c r="E1486" s="222"/>
      <c r="F1486" s="702"/>
    </row>
    <row r="1487">
      <c r="C1487" s="703"/>
      <c r="E1487" s="222"/>
      <c r="F1487" s="702"/>
    </row>
    <row r="1488">
      <c r="C1488" s="703"/>
      <c r="E1488" s="222"/>
      <c r="F1488" s="702"/>
    </row>
    <row r="1489">
      <c r="C1489" s="703"/>
      <c r="E1489" s="222"/>
      <c r="F1489" s="702"/>
    </row>
    <row r="1490">
      <c r="C1490" s="703"/>
      <c r="E1490" s="222"/>
      <c r="F1490" s="702"/>
    </row>
    <row r="1491">
      <c r="C1491" s="703"/>
      <c r="E1491" s="222"/>
      <c r="F1491" s="702"/>
    </row>
    <row r="1492">
      <c r="C1492" s="703"/>
      <c r="E1492" s="222"/>
      <c r="F1492" s="702"/>
    </row>
    <row r="1493">
      <c r="C1493" s="703"/>
      <c r="E1493" s="222"/>
      <c r="F1493" s="702"/>
    </row>
    <row r="1494">
      <c r="C1494" s="703"/>
      <c r="E1494" s="222"/>
      <c r="F1494" s="702"/>
    </row>
    <row r="1495">
      <c r="C1495" s="703"/>
      <c r="E1495" s="222"/>
      <c r="F1495" s="702"/>
    </row>
    <row r="1496">
      <c r="C1496" s="703"/>
      <c r="E1496" s="222"/>
      <c r="F1496" s="702"/>
    </row>
    <row r="1497">
      <c r="C1497" s="703"/>
      <c r="E1497" s="222"/>
      <c r="F1497" s="702"/>
    </row>
    <row r="1498">
      <c r="C1498" s="703"/>
      <c r="E1498" s="222"/>
      <c r="F1498" s="702"/>
    </row>
    <row r="1499">
      <c r="C1499" s="703"/>
      <c r="E1499" s="222"/>
      <c r="F1499" s="702"/>
    </row>
    <row r="1500">
      <c r="C1500" s="703"/>
      <c r="E1500" s="222"/>
      <c r="F1500" s="702"/>
    </row>
    <row r="1501">
      <c r="C1501" s="703"/>
      <c r="E1501" s="222"/>
      <c r="F1501" s="702"/>
    </row>
    <row r="1502">
      <c r="C1502" s="703"/>
      <c r="E1502" s="222"/>
      <c r="F1502" s="702"/>
    </row>
    <row r="1503">
      <c r="C1503" s="703"/>
      <c r="E1503" s="222"/>
      <c r="F1503" s="702"/>
    </row>
    <row r="1504">
      <c r="C1504" s="703"/>
      <c r="E1504" s="222"/>
      <c r="F1504" s="702"/>
    </row>
    <row r="1505">
      <c r="C1505" s="703"/>
      <c r="E1505" s="222"/>
      <c r="F1505" s="702"/>
    </row>
    <row r="1506">
      <c r="C1506" s="703"/>
      <c r="E1506" s="222"/>
      <c r="F1506" s="702"/>
    </row>
    <row r="1507">
      <c r="C1507" s="703"/>
      <c r="E1507" s="222"/>
      <c r="F1507" s="702"/>
    </row>
    <row r="1508">
      <c r="C1508" s="703"/>
      <c r="E1508" s="222"/>
      <c r="F1508" s="702"/>
    </row>
    <row r="1509">
      <c r="C1509" s="703"/>
      <c r="E1509" s="222"/>
      <c r="F1509" s="702"/>
    </row>
    <row r="1510">
      <c r="C1510" s="703"/>
      <c r="E1510" s="222"/>
      <c r="F1510" s="702"/>
    </row>
    <row r="1511">
      <c r="C1511" s="703"/>
      <c r="E1511" s="222"/>
      <c r="F1511" s="702"/>
    </row>
    <row r="1512">
      <c r="C1512" s="703"/>
      <c r="E1512" s="222"/>
      <c r="F1512" s="702"/>
    </row>
    <row r="1513">
      <c r="C1513" s="703"/>
      <c r="E1513" s="222"/>
      <c r="F1513" s="702"/>
    </row>
    <row r="1514">
      <c r="C1514" s="703"/>
      <c r="E1514" s="222"/>
      <c r="F1514" s="702"/>
    </row>
    <row r="1515">
      <c r="C1515" s="703"/>
      <c r="E1515" s="222"/>
      <c r="F1515" s="702"/>
    </row>
    <row r="1516">
      <c r="C1516" s="703"/>
      <c r="E1516" s="222"/>
      <c r="F1516" s="702"/>
    </row>
    <row r="1517">
      <c r="C1517" s="703"/>
      <c r="E1517" s="222"/>
      <c r="F1517" s="702"/>
    </row>
    <row r="1518">
      <c r="C1518" s="703"/>
      <c r="E1518" s="222"/>
      <c r="F1518" s="702"/>
    </row>
    <row r="1519">
      <c r="C1519" s="703"/>
      <c r="E1519" s="222"/>
      <c r="F1519" s="702"/>
    </row>
    <row r="1520">
      <c r="C1520" s="703"/>
      <c r="E1520" s="222"/>
      <c r="F1520" s="702"/>
    </row>
    <row r="1521">
      <c r="C1521" s="703"/>
      <c r="E1521" s="222"/>
      <c r="F1521" s="702"/>
    </row>
    <row r="1522">
      <c r="C1522" s="703"/>
      <c r="E1522" s="222"/>
      <c r="F1522" s="702"/>
    </row>
    <row r="1523">
      <c r="C1523" s="703"/>
      <c r="E1523" s="222"/>
      <c r="F1523" s="702"/>
    </row>
    <row r="1524">
      <c r="C1524" s="703"/>
      <c r="E1524" s="222"/>
      <c r="F1524" s="702"/>
    </row>
    <row r="1525">
      <c r="C1525" s="703"/>
      <c r="E1525" s="222"/>
      <c r="F1525" s="702"/>
    </row>
    <row r="1526">
      <c r="C1526" s="703"/>
      <c r="E1526" s="222"/>
      <c r="F1526" s="702"/>
    </row>
    <row r="1527">
      <c r="C1527" s="703"/>
      <c r="E1527" s="222"/>
      <c r="F1527" s="702"/>
    </row>
    <row r="1528">
      <c r="C1528" s="703"/>
      <c r="E1528" s="222"/>
      <c r="F1528" s="702"/>
    </row>
    <row r="1529">
      <c r="C1529" s="703"/>
      <c r="E1529" s="222"/>
      <c r="F1529" s="702"/>
    </row>
    <row r="1530">
      <c r="C1530" s="703"/>
      <c r="E1530" s="222"/>
      <c r="F1530" s="702"/>
    </row>
    <row r="1531">
      <c r="C1531" s="703"/>
      <c r="E1531" s="222"/>
      <c r="F1531" s="702"/>
    </row>
    <row r="1532">
      <c r="C1532" s="703"/>
      <c r="E1532" s="222"/>
      <c r="F1532" s="702"/>
    </row>
    <row r="1533">
      <c r="C1533" s="703"/>
      <c r="E1533" s="222"/>
      <c r="F1533" s="702"/>
    </row>
    <row r="1534">
      <c r="C1534" s="703"/>
      <c r="E1534" s="222"/>
      <c r="F1534" s="702"/>
    </row>
    <row r="1535">
      <c r="C1535" s="703"/>
      <c r="E1535" s="222"/>
      <c r="F1535" s="702"/>
    </row>
    <row r="1536">
      <c r="C1536" s="703"/>
      <c r="E1536" s="222"/>
      <c r="F1536" s="702"/>
    </row>
    <row r="1537">
      <c r="C1537" s="703"/>
      <c r="E1537" s="222"/>
      <c r="F1537" s="702"/>
    </row>
    <row r="1538">
      <c r="C1538" s="703"/>
      <c r="E1538" s="222"/>
      <c r="F1538" s="702"/>
    </row>
    <row r="1539">
      <c r="C1539" s="703"/>
      <c r="E1539" s="222"/>
      <c r="F1539" s="702"/>
    </row>
    <row r="1540">
      <c r="C1540" s="703"/>
      <c r="E1540" s="222"/>
      <c r="F1540" s="702"/>
    </row>
    <row r="1541">
      <c r="C1541" s="703"/>
      <c r="E1541" s="222"/>
      <c r="F1541" s="702"/>
    </row>
    <row r="1542">
      <c r="C1542" s="703"/>
      <c r="E1542" s="222"/>
      <c r="F1542" s="702"/>
    </row>
    <row r="1543">
      <c r="C1543" s="703"/>
      <c r="E1543" s="222"/>
      <c r="F1543" s="702"/>
    </row>
    <row r="1544">
      <c r="C1544" s="703"/>
      <c r="E1544" s="222"/>
      <c r="F1544" s="702"/>
    </row>
    <row r="1545">
      <c r="C1545" s="703"/>
      <c r="E1545" s="222"/>
      <c r="F1545" s="702"/>
    </row>
    <row r="1546">
      <c r="C1546" s="703"/>
      <c r="E1546" s="222"/>
      <c r="F1546" s="702"/>
    </row>
    <row r="1547">
      <c r="C1547" s="703"/>
      <c r="E1547" s="222"/>
      <c r="F1547" s="702"/>
    </row>
    <row r="1548">
      <c r="C1548" s="703"/>
      <c r="E1548" s="222"/>
      <c r="F1548" s="702"/>
    </row>
    <row r="1549">
      <c r="C1549" s="703"/>
      <c r="E1549" s="222"/>
      <c r="F1549" s="702"/>
    </row>
    <row r="1550">
      <c r="C1550" s="703"/>
      <c r="E1550" s="222"/>
      <c r="F1550" s="702"/>
    </row>
    <row r="1551">
      <c r="C1551" s="703"/>
      <c r="E1551" s="222"/>
      <c r="F1551" s="702"/>
    </row>
    <row r="1552">
      <c r="C1552" s="703"/>
      <c r="E1552" s="222"/>
      <c r="F1552" s="702"/>
    </row>
    <row r="1553">
      <c r="C1553" s="703"/>
      <c r="E1553" s="222"/>
      <c r="F1553" s="702"/>
    </row>
    <row r="1554">
      <c r="C1554" s="703"/>
      <c r="E1554" s="222"/>
      <c r="F1554" s="702"/>
    </row>
    <row r="1555">
      <c r="C1555" s="703"/>
      <c r="E1555" s="222"/>
      <c r="F1555" s="702"/>
    </row>
    <row r="1556">
      <c r="C1556" s="703"/>
      <c r="E1556" s="222"/>
      <c r="F1556" s="702"/>
    </row>
    <row r="1557">
      <c r="C1557" s="703"/>
      <c r="E1557" s="222"/>
      <c r="F1557" s="702"/>
    </row>
    <row r="1558">
      <c r="C1558" s="703"/>
      <c r="E1558" s="222"/>
      <c r="F1558" s="702"/>
    </row>
    <row r="1559">
      <c r="C1559" s="703"/>
      <c r="E1559" s="222"/>
      <c r="F1559" s="702"/>
    </row>
    <row r="1560">
      <c r="C1560" s="703"/>
      <c r="E1560" s="222"/>
      <c r="F1560" s="702"/>
    </row>
    <row r="1561">
      <c r="C1561" s="703"/>
      <c r="E1561" s="222"/>
      <c r="F1561" s="702"/>
    </row>
    <row r="1562">
      <c r="C1562" s="703"/>
      <c r="E1562" s="222"/>
      <c r="F1562" s="702"/>
    </row>
    <row r="1563">
      <c r="C1563" s="703"/>
      <c r="E1563" s="222"/>
      <c r="F1563" s="702"/>
    </row>
    <row r="1564">
      <c r="C1564" s="703"/>
      <c r="E1564" s="222"/>
      <c r="F1564" s="702"/>
    </row>
    <row r="1565">
      <c r="C1565" s="703"/>
      <c r="E1565" s="222"/>
      <c r="F1565" s="702"/>
    </row>
    <row r="1566">
      <c r="C1566" s="703"/>
      <c r="E1566" s="222"/>
      <c r="F1566" s="702"/>
    </row>
    <row r="1567">
      <c r="C1567" s="703"/>
      <c r="E1567" s="222"/>
      <c r="F1567" s="702"/>
    </row>
    <row r="1568">
      <c r="C1568" s="703"/>
      <c r="E1568" s="222"/>
      <c r="F1568" s="702"/>
    </row>
    <row r="1569">
      <c r="C1569" s="703"/>
      <c r="E1569" s="222"/>
      <c r="F1569" s="702"/>
    </row>
    <row r="1570">
      <c r="C1570" s="703"/>
      <c r="E1570" s="222"/>
      <c r="F1570" s="702"/>
    </row>
    <row r="1571">
      <c r="C1571" s="703"/>
      <c r="E1571" s="222"/>
      <c r="F1571" s="702"/>
    </row>
    <row r="1572">
      <c r="C1572" s="703"/>
      <c r="E1572" s="222"/>
      <c r="F1572" s="702"/>
    </row>
    <row r="1573">
      <c r="C1573" s="703"/>
      <c r="E1573" s="222"/>
      <c r="F1573" s="702"/>
    </row>
    <row r="1574">
      <c r="C1574" s="703"/>
      <c r="E1574" s="222"/>
      <c r="F1574" s="702"/>
    </row>
    <row r="1575">
      <c r="C1575" s="703"/>
      <c r="E1575" s="222"/>
      <c r="F1575" s="702"/>
    </row>
    <row r="1576">
      <c r="C1576" s="703"/>
      <c r="E1576" s="222"/>
      <c r="F1576" s="702"/>
    </row>
    <row r="1577">
      <c r="C1577" s="703"/>
      <c r="E1577" s="222"/>
      <c r="F1577" s="702"/>
    </row>
    <row r="1578">
      <c r="C1578" s="703"/>
      <c r="E1578" s="222"/>
      <c r="F1578" s="702"/>
    </row>
    <row r="1579">
      <c r="C1579" s="703"/>
      <c r="E1579" s="222"/>
      <c r="F1579" s="702"/>
    </row>
    <row r="1580">
      <c r="C1580" s="703"/>
      <c r="E1580" s="222"/>
      <c r="F1580" s="702"/>
    </row>
    <row r="1581">
      <c r="C1581" s="703"/>
      <c r="E1581" s="222"/>
      <c r="F1581" s="702"/>
    </row>
    <row r="1582">
      <c r="C1582" s="703"/>
      <c r="E1582" s="222"/>
      <c r="F1582" s="702"/>
    </row>
    <row r="1583">
      <c r="C1583" s="703"/>
      <c r="E1583" s="222"/>
      <c r="F1583" s="702"/>
    </row>
    <row r="1584">
      <c r="C1584" s="703"/>
      <c r="E1584" s="222"/>
      <c r="F1584" s="702"/>
    </row>
    <row r="1585">
      <c r="C1585" s="703"/>
      <c r="E1585" s="222"/>
      <c r="F1585" s="702"/>
    </row>
    <row r="1586">
      <c r="C1586" s="703"/>
      <c r="E1586" s="222"/>
      <c r="F1586" s="702"/>
    </row>
    <row r="1587">
      <c r="C1587" s="703"/>
      <c r="E1587" s="222"/>
      <c r="F1587" s="702"/>
    </row>
    <row r="1588">
      <c r="C1588" s="703"/>
      <c r="E1588" s="222"/>
      <c r="F1588" s="702"/>
    </row>
    <row r="1589">
      <c r="C1589" s="703"/>
      <c r="E1589" s="222"/>
      <c r="F1589" s="702"/>
    </row>
    <row r="1590">
      <c r="C1590" s="703"/>
      <c r="E1590" s="222"/>
      <c r="F1590" s="702"/>
    </row>
    <row r="1591">
      <c r="C1591" s="703"/>
      <c r="E1591" s="222"/>
      <c r="F1591" s="702"/>
    </row>
    <row r="1592">
      <c r="C1592" s="703"/>
      <c r="E1592" s="222"/>
      <c r="F1592" s="702"/>
    </row>
    <row r="1593">
      <c r="C1593" s="703"/>
      <c r="E1593" s="222"/>
      <c r="F1593" s="702"/>
    </row>
    <row r="1594">
      <c r="C1594" s="703"/>
      <c r="E1594" s="222"/>
      <c r="F1594" s="702"/>
    </row>
    <row r="1595">
      <c r="C1595" s="703"/>
      <c r="E1595" s="222"/>
      <c r="F1595" s="702"/>
    </row>
    <row r="1596">
      <c r="C1596" s="703"/>
      <c r="E1596" s="222"/>
      <c r="F1596" s="702"/>
    </row>
    <row r="1597">
      <c r="C1597" s="703"/>
      <c r="E1597" s="222"/>
      <c r="F1597" s="702"/>
    </row>
    <row r="1598">
      <c r="C1598" s="703"/>
      <c r="E1598" s="222"/>
      <c r="F1598" s="702"/>
    </row>
    <row r="1599">
      <c r="C1599" s="703"/>
      <c r="E1599" s="222"/>
      <c r="F1599" s="702"/>
    </row>
    <row r="1600">
      <c r="C1600" s="703"/>
      <c r="E1600" s="222"/>
      <c r="F1600" s="702"/>
    </row>
    <row r="1601">
      <c r="C1601" s="703"/>
      <c r="E1601" s="222"/>
      <c r="F1601" s="702"/>
    </row>
    <row r="1602">
      <c r="C1602" s="703"/>
      <c r="E1602" s="222"/>
      <c r="F1602" s="702"/>
    </row>
    <row r="1603">
      <c r="C1603" s="703"/>
      <c r="E1603" s="222"/>
      <c r="F1603" s="702"/>
    </row>
    <row r="1604">
      <c r="C1604" s="703"/>
      <c r="E1604" s="222"/>
      <c r="F1604" s="702"/>
    </row>
    <row r="1605">
      <c r="C1605" s="703"/>
      <c r="E1605" s="222"/>
      <c r="F1605" s="702"/>
    </row>
    <row r="1606">
      <c r="C1606" s="703"/>
      <c r="E1606" s="222"/>
      <c r="F1606" s="702"/>
    </row>
    <row r="1607">
      <c r="C1607" s="703"/>
      <c r="E1607" s="222"/>
      <c r="F1607" s="702"/>
    </row>
    <row r="1608">
      <c r="C1608" s="703"/>
      <c r="E1608" s="222"/>
      <c r="F1608" s="702"/>
    </row>
    <row r="1609">
      <c r="C1609" s="703"/>
      <c r="E1609" s="222"/>
      <c r="F1609" s="702"/>
    </row>
    <row r="1610">
      <c r="C1610" s="703"/>
      <c r="E1610" s="222"/>
      <c r="F1610" s="702"/>
    </row>
    <row r="1611">
      <c r="C1611" s="703"/>
      <c r="E1611" s="222"/>
      <c r="F1611" s="702"/>
    </row>
    <row r="1612">
      <c r="C1612" s="703"/>
      <c r="E1612" s="222"/>
      <c r="F1612" s="702"/>
    </row>
    <row r="1613">
      <c r="C1613" s="703"/>
      <c r="E1613" s="222"/>
      <c r="F1613" s="702"/>
    </row>
    <row r="1614">
      <c r="C1614" s="703"/>
      <c r="E1614" s="222"/>
      <c r="F1614" s="702"/>
    </row>
    <row r="1615">
      <c r="C1615" s="703"/>
      <c r="E1615" s="222"/>
      <c r="F1615" s="702"/>
    </row>
    <row r="1616">
      <c r="C1616" s="703"/>
      <c r="E1616" s="222"/>
      <c r="F1616" s="702"/>
    </row>
    <row r="1617">
      <c r="C1617" s="703"/>
      <c r="E1617" s="222"/>
      <c r="F1617" s="702"/>
    </row>
    <row r="1618">
      <c r="C1618" s="703"/>
      <c r="E1618" s="222"/>
      <c r="F1618" s="702"/>
    </row>
    <row r="1619">
      <c r="C1619" s="703"/>
      <c r="E1619" s="222"/>
      <c r="F1619" s="702"/>
    </row>
    <row r="1620">
      <c r="C1620" s="703"/>
      <c r="E1620" s="222"/>
      <c r="F1620" s="702"/>
    </row>
    <row r="1621">
      <c r="C1621" s="703"/>
      <c r="E1621" s="222"/>
      <c r="F1621" s="702"/>
    </row>
    <row r="1622">
      <c r="C1622" s="703"/>
      <c r="E1622" s="222"/>
      <c r="F1622" s="702"/>
    </row>
    <row r="1623">
      <c r="C1623" s="703"/>
      <c r="E1623" s="222"/>
      <c r="F1623" s="702"/>
    </row>
    <row r="1624">
      <c r="C1624" s="703"/>
      <c r="E1624" s="222"/>
      <c r="F1624" s="702"/>
    </row>
    <row r="1625">
      <c r="C1625" s="703"/>
      <c r="E1625" s="222"/>
      <c r="F1625" s="702"/>
    </row>
    <row r="1626">
      <c r="C1626" s="703"/>
      <c r="E1626" s="222"/>
      <c r="F1626" s="702"/>
    </row>
    <row r="1627">
      <c r="C1627" s="703"/>
      <c r="E1627" s="222"/>
      <c r="F1627" s="702"/>
    </row>
    <row r="1628">
      <c r="C1628" s="703"/>
      <c r="E1628" s="222"/>
      <c r="F1628" s="702"/>
    </row>
    <row r="1629">
      <c r="C1629" s="703"/>
      <c r="E1629" s="222"/>
      <c r="F1629" s="702"/>
    </row>
    <row r="1630">
      <c r="C1630" s="703"/>
      <c r="E1630" s="222"/>
      <c r="F1630" s="702"/>
    </row>
    <row r="1631">
      <c r="C1631" s="703"/>
      <c r="E1631" s="222"/>
      <c r="F1631" s="702"/>
    </row>
    <row r="1632">
      <c r="C1632" s="703"/>
      <c r="E1632" s="222"/>
      <c r="F1632" s="702"/>
    </row>
    <row r="1633">
      <c r="C1633" s="703"/>
      <c r="E1633" s="222"/>
      <c r="F1633" s="702"/>
    </row>
    <row r="1634">
      <c r="C1634" s="703"/>
      <c r="E1634" s="222"/>
      <c r="F1634" s="702"/>
    </row>
    <row r="1635">
      <c r="C1635" s="703"/>
      <c r="E1635" s="222"/>
      <c r="F1635" s="702"/>
    </row>
    <row r="1636">
      <c r="C1636" s="703"/>
      <c r="E1636" s="222"/>
      <c r="F1636" s="702"/>
    </row>
    <row r="1637">
      <c r="C1637" s="703"/>
      <c r="E1637" s="222"/>
      <c r="F1637" s="702"/>
    </row>
    <row r="1638">
      <c r="C1638" s="703"/>
      <c r="E1638" s="222"/>
      <c r="F1638" s="702"/>
    </row>
    <row r="1639">
      <c r="C1639" s="703"/>
      <c r="E1639" s="222"/>
      <c r="F1639" s="702"/>
    </row>
    <row r="1640">
      <c r="C1640" s="703"/>
      <c r="E1640" s="222"/>
      <c r="F1640" s="702"/>
    </row>
    <row r="1641">
      <c r="C1641" s="703"/>
      <c r="E1641" s="222"/>
      <c r="F1641" s="702"/>
    </row>
    <row r="1642">
      <c r="C1642" s="703"/>
      <c r="E1642" s="222"/>
      <c r="F1642" s="702"/>
    </row>
    <row r="1643">
      <c r="C1643" s="703"/>
      <c r="E1643" s="222"/>
      <c r="F1643" s="702"/>
    </row>
    <row r="1644">
      <c r="C1644" s="703"/>
      <c r="E1644" s="222"/>
      <c r="F1644" s="702"/>
    </row>
    <row r="1645">
      <c r="C1645" s="703"/>
      <c r="E1645" s="222"/>
      <c r="F1645" s="702"/>
    </row>
    <row r="1646">
      <c r="C1646" s="703"/>
      <c r="E1646" s="222"/>
      <c r="F1646" s="702"/>
    </row>
    <row r="1647">
      <c r="C1647" s="703"/>
      <c r="E1647" s="222"/>
      <c r="F1647" s="702"/>
    </row>
    <row r="1648">
      <c r="C1648" s="703"/>
      <c r="E1648" s="222"/>
      <c r="F1648" s="702"/>
    </row>
    <row r="1649">
      <c r="C1649" s="703"/>
      <c r="E1649" s="222"/>
      <c r="F1649" s="702"/>
    </row>
    <row r="1650">
      <c r="C1650" s="703"/>
      <c r="E1650" s="222"/>
      <c r="F1650" s="702"/>
    </row>
    <row r="1651">
      <c r="C1651" s="703"/>
      <c r="E1651" s="222"/>
      <c r="F1651" s="702"/>
    </row>
    <row r="1652">
      <c r="C1652" s="703"/>
      <c r="E1652" s="222"/>
      <c r="F1652" s="702"/>
    </row>
    <row r="1653">
      <c r="C1653" s="703"/>
      <c r="E1653" s="222"/>
      <c r="F1653" s="702"/>
    </row>
    <row r="1654">
      <c r="C1654" s="703"/>
      <c r="E1654" s="222"/>
      <c r="F1654" s="702"/>
    </row>
    <row r="1655">
      <c r="C1655" s="703"/>
      <c r="E1655" s="222"/>
      <c r="F1655" s="702"/>
    </row>
    <row r="1656">
      <c r="C1656" s="703"/>
      <c r="E1656" s="222"/>
      <c r="F1656" s="702"/>
    </row>
    <row r="1657">
      <c r="C1657" s="703"/>
      <c r="E1657" s="222"/>
      <c r="F1657" s="702"/>
    </row>
    <row r="1658">
      <c r="C1658" s="703"/>
      <c r="E1658" s="222"/>
      <c r="F1658" s="702"/>
    </row>
    <row r="1659">
      <c r="C1659" s="703"/>
      <c r="E1659" s="222"/>
      <c r="F1659" s="702"/>
    </row>
    <row r="1660">
      <c r="C1660" s="703"/>
      <c r="E1660" s="222"/>
      <c r="F1660" s="702"/>
    </row>
    <row r="1661">
      <c r="C1661" s="703"/>
      <c r="E1661" s="222"/>
      <c r="F1661" s="702"/>
    </row>
    <row r="1662">
      <c r="C1662" s="703"/>
      <c r="E1662" s="222"/>
      <c r="F1662" s="702"/>
    </row>
    <row r="1663">
      <c r="C1663" s="703"/>
      <c r="E1663" s="222"/>
      <c r="F1663" s="702"/>
    </row>
    <row r="1664">
      <c r="C1664" s="703"/>
      <c r="E1664" s="222"/>
      <c r="F1664" s="702"/>
    </row>
    <row r="1665">
      <c r="C1665" s="703"/>
      <c r="E1665" s="222"/>
      <c r="F1665" s="702"/>
    </row>
    <row r="1666">
      <c r="C1666" s="703"/>
      <c r="E1666" s="222"/>
      <c r="F1666" s="702"/>
    </row>
    <row r="1667">
      <c r="C1667" s="703"/>
      <c r="E1667" s="222"/>
      <c r="F1667" s="702"/>
    </row>
    <row r="1668">
      <c r="C1668" s="703"/>
      <c r="E1668" s="222"/>
      <c r="F1668" s="702"/>
    </row>
    <row r="1669">
      <c r="C1669" s="703"/>
      <c r="E1669" s="222"/>
      <c r="F1669" s="702"/>
    </row>
    <row r="1670">
      <c r="C1670" s="703"/>
      <c r="E1670" s="222"/>
      <c r="F1670" s="702"/>
    </row>
    <row r="1671">
      <c r="C1671" s="703"/>
      <c r="E1671" s="222"/>
      <c r="F1671" s="702"/>
    </row>
    <row r="1672">
      <c r="C1672" s="703"/>
      <c r="E1672" s="222"/>
      <c r="F1672" s="702"/>
    </row>
    <row r="1673">
      <c r="C1673" s="703"/>
      <c r="E1673" s="222"/>
      <c r="F1673" s="702"/>
    </row>
    <row r="1674">
      <c r="C1674" s="703"/>
      <c r="E1674" s="222"/>
      <c r="F1674" s="702"/>
    </row>
    <row r="1675">
      <c r="C1675" s="703"/>
      <c r="E1675" s="222"/>
      <c r="F1675" s="702"/>
    </row>
    <row r="1676">
      <c r="C1676" s="703"/>
      <c r="E1676" s="222"/>
      <c r="F1676" s="702"/>
    </row>
    <row r="1677">
      <c r="C1677" s="703"/>
      <c r="E1677" s="222"/>
      <c r="F1677" s="702"/>
    </row>
    <row r="1678">
      <c r="C1678" s="703"/>
      <c r="E1678" s="222"/>
      <c r="F1678" s="702"/>
    </row>
    <row r="1679">
      <c r="C1679" s="703"/>
      <c r="E1679" s="222"/>
      <c r="F1679" s="702"/>
    </row>
    <row r="1680">
      <c r="C1680" s="703"/>
      <c r="E1680" s="222"/>
      <c r="F1680" s="702"/>
    </row>
    <row r="1681">
      <c r="C1681" s="703"/>
      <c r="E1681" s="222"/>
      <c r="F1681" s="702"/>
    </row>
    <row r="1682">
      <c r="C1682" s="703"/>
      <c r="E1682" s="222"/>
      <c r="F1682" s="702"/>
    </row>
    <row r="1683">
      <c r="C1683" s="703"/>
      <c r="E1683" s="222"/>
      <c r="F1683" s="702"/>
    </row>
    <row r="1684">
      <c r="C1684" s="703"/>
      <c r="E1684" s="222"/>
      <c r="F1684" s="702"/>
    </row>
    <row r="1685">
      <c r="C1685" s="703"/>
      <c r="E1685" s="222"/>
      <c r="F1685" s="702"/>
    </row>
    <row r="1686">
      <c r="C1686" s="703"/>
      <c r="E1686" s="222"/>
      <c r="F1686" s="702"/>
    </row>
    <row r="1687">
      <c r="C1687" s="703"/>
      <c r="E1687" s="222"/>
      <c r="F1687" s="702"/>
    </row>
    <row r="1688">
      <c r="C1688" s="703"/>
      <c r="E1688" s="222"/>
      <c r="F1688" s="702"/>
    </row>
    <row r="1689">
      <c r="C1689" s="703"/>
      <c r="E1689" s="222"/>
      <c r="F1689" s="702"/>
    </row>
    <row r="1690">
      <c r="C1690" s="703"/>
      <c r="E1690" s="222"/>
      <c r="F1690" s="702"/>
    </row>
    <row r="1691">
      <c r="C1691" s="703"/>
      <c r="E1691" s="222"/>
      <c r="F1691" s="702"/>
    </row>
    <row r="1692">
      <c r="C1692" s="703"/>
      <c r="E1692" s="222"/>
      <c r="F1692" s="702"/>
    </row>
    <row r="1693">
      <c r="C1693" s="703"/>
      <c r="E1693" s="222"/>
      <c r="F1693" s="702"/>
    </row>
    <row r="1694">
      <c r="C1694" s="703"/>
      <c r="E1694" s="222"/>
      <c r="F1694" s="702"/>
    </row>
    <row r="1695">
      <c r="C1695" s="703"/>
      <c r="E1695" s="222"/>
      <c r="F1695" s="702"/>
    </row>
    <row r="1696">
      <c r="C1696" s="703"/>
      <c r="E1696" s="222"/>
      <c r="F1696" s="702"/>
    </row>
    <row r="1697">
      <c r="C1697" s="703"/>
      <c r="E1697" s="222"/>
      <c r="F1697" s="702"/>
    </row>
    <row r="1698">
      <c r="C1698" s="703"/>
      <c r="E1698" s="222"/>
      <c r="F1698" s="702"/>
    </row>
    <row r="1699">
      <c r="C1699" s="703"/>
      <c r="E1699" s="222"/>
      <c r="F1699" s="702"/>
    </row>
    <row r="1700">
      <c r="C1700" s="703"/>
      <c r="E1700" s="222"/>
      <c r="F1700" s="702"/>
    </row>
    <row r="1701">
      <c r="C1701" s="703"/>
      <c r="E1701" s="222"/>
      <c r="F1701" s="702"/>
    </row>
    <row r="1702">
      <c r="C1702" s="703"/>
      <c r="E1702" s="222"/>
      <c r="F1702" s="702"/>
    </row>
    <row r="1703">
      <c r="C1703" s="703"/>
      <c r="E1703" s="222"/>
      <c r="F1703" s="702"/>
    </row>
    <row r="1704">
      <c r="C1704" s="703"/>
      <c r="E1704" s="222"/>
      <c r="F1704" s="702"/>
    </row>
    <row r="1705">
      <c r="C1705" s="703"/>
      <c r="E1705" s="222"/>
      <c r="F1705" s="702"/>
    </row>
    <row r="1706">
      <c r="C1706" s="703"/>
      <c r="E1706" s="222"/>
      <c r="F1706" s="702"/>
    </row>
    <row r="1707">
      <c r="C1707" s="703"/>
      <c r="E1707" s="222"/>
      <c r="F1707" s="702"/>
    </row>
    <row r="1708">
      <c r="C1708" s="703"/>
      <c r="E1708" s="222"/>
      <c r="F1708" s="702"/>
    </row>
    <row r="1709">
      <c r="C1709" s="703"/>
      <c r="E1709" s="222"/>
      <c r="F1709" s="702"/>
    </row>
    <row r="1710">
      <c r="C1710" s="703"/>
      <c r="E1710" s="222"/>
      <c r="F1710" s="702"/>
    </row>
    <row r="1711">
      <c r="C1711" s="703"/>
      <c r="E1711" s="222"/>
      <c r="F1711" s="702"/>
    </row>
    <row r="1712">
      <c r="C1712" s="703"/>
      <c r="E1712" s="222"/>
      <c r="F1712" s="702"/>
    </row>
    <row r="1713">
      <c r="C1713" s="703"/>
      <c r="E1713" s="222"/>
      <c r="F1713" s="702"/>
    </row>
    <row r="1714">
      <c r="C1714" s="703"/>
      <c r="E1714" s="222"/>
      <c r="F1714" s="702"/>
    </row>
    <row r="1715">
      <c r="C1715" s="703"/>
      <c r="E1715" s="222"/>
      <c r="F1715" s="702"/>
    </row>
    <row r="1716">
      <c r="C1716" s="703"/>
      <c r="E1716" s="222"/>
      <c r="F1716" s="702"/>
    </row>
    <row r="1717">
      <c r="C1717" s="703"/>
      <c r="E1717" s="222"/>
      <c r="F1717" s="702"/>
    </row>
    <row r="1718">
      <c r="C1718" s="703"/>
      <c r="E1718" s="222"/>
      <c r="F1718" s="702"/>
    </row>
    <row r="1719">
      <c r="C1719" s="703"/>
      <c r="E1719" s="222"/>
      <c r="F1719" s="702"/>
    </row>
    <row r="1720">
      <c r="C1720" s="703"/>
      <c r="E1720" s="222"/>
      <c r="F1720" s="702"/>
    </row>
    <row r="1721">
      <c r="C1721" s="703"/>
      <c r="E1721" s="222"/>
      <c r="F1721" s="702"/>
    </row>
    <row r="1722">
      <c r="C1722" s="703"/>
      <c r="E1722" s="222"/>
      <c r="F1722" s="702"/>
    </row>
    <row r="1723">
      <c r="C1723" s="703"/>
      <c r="E1723" s="222"/>
      <c r="F1723" s="702"/>
    </row>
    <row r="1724">
      <c r="C1724" s="703"/>
      <c r="E1724" s="222"/>
      <c r="F1724" s="702"/>
    </row>
    <row r="1725">
      <c r="C1725" s="703"/>
      <c r="E1725" s="222"/>
      <c r="F1725" s="702"/>
    </row>
    <row r="1726">
      <c r="C1726" s="703"/>
      <c r="E1726" s="222"/>
      <c r="F1726" s="702"/>
    </row>
    <row r="1727">
      <c r="C1727" s="703"/>
      <c r="E1727" s="222"/>
      <c r="F1727" s="702"/>
    </row>
    <row r="1728">
      <c r="C1728" s="703"/>
      <c r="E1728" s="222"/>
      <c r="F1728" s="702"/>
    </row>
    <row r="1729">
      <c r="C1729" s="703"/>
      <c r="E1729" s="222"/>
      <c r="F1729" s="702"/>
    </row>
    <row r="1730">
      <c r="C1730" s="703"/>
      <c r="E1730" s="222"/>
      <c r="F1730" s="702"/>
    </row>
    <row r="1731">
      <c r="C1731" s="703"/>
      <c r="E1731" s="222"/>
      <c r="F1731" s="702"/>
    </row>
    <row r="1732">
      <c r="C1732" s="703"/>
      <c r="E1732" s="222"/>
      <c r="F1732" s="702"/>
    </row>
    <row r="1733">
      <c r="C1733" s="703"/>
      <c r="E1733" s="222"/>
      <c r="F1733" s="702"/>
    </row>
    <row r="1734">
      <c r="C1734" s="703"/>
      <c r="E1734" s="222"/>
      <c r="F1734" s="702"/>
    </row>
    <row r="1735">
      <c r="C1735" s="703"/>
      <c r="E1735" s="222"/>
      <c r="F1735" s="702"/>
    </row>
    <row r="1736">
      <c r="C1736" s="703"/>
      <c r="E1736" s="222"/>
      <c r="F1736" s="702"/>
    </row>
    <row r="1737">
      <c r="C1737" s="703"/>
      <c r="E1737" s="222"/>
      <c r="F1737" s="702"/>
    </row>
    <row r="1738">
      <c r="C1738" s="703"/>
      <c r="E1738" s="222"/>
      <c r="F1738" s="702"/>
    </row>
    <row r="1739">
      <c r="C1739" s="703"/>
      <c r="E1739" s="222"/>
      <c r="F1739" s="702"/>
    </row>
    <row r="1740">
      <c r="C1740" s="703"/>
      <c r="E1740" s="222"/>
      <c r="F1740" s="702"/>
    </row>
    <row r="1741">
      <c r="C1741" s="703"/>
      <c r="E1741" s="222"/>
      <c r="F1741" s="702"/>
    </row>
    <row r="1742">
      <c r="C1742" s="703"/>
      <c r="E1742" s="222"/>
      <c r="F1742" s="702"/>
    </row>
    <row r="1743">
      <c r="C1743" s="703"/>
      <c r="E1743" s="222"/>
      <c r="F1743" s="702"/>
    </row>
    <row r="1744">
      <c r="C1744" s="703"/>
      <c r="E1744" s="222"/>
      <c r="F1744" s="702"/>
    </row>
    <row r="1745">
      <c r="C1745" s="703"/>
      <c r="E1745" s="222"/>
      <c r="F1745" s="702"/>
    </row>
    <row r="1746">
      <c r="C1746" s="703"/>
      <c r="E1746" s="222"/>
      <c r="F1746" s="702"/>
    </row>
    <row r="1747">
      <c r="C1747" s="703"/>
      <c r="E1747" s="222"/>
      <c r="F1747" s="702"/>
    </row>
    <row r="1748">
      <c r="C1748" s="703"/>
      <c r="E1748" s="222"/>
      <c r="F1748" s="702"/>
    </row>
    <row r="1749">
      <c r="C1749" s="703"/>
      <c r="E1749" s="222"/>
      <c r="F1749" s="702"/>
    </row>
    <row r="1750">
      <c r="C1750" s="703"/>
      <c r="E1750" s="222"/>
      <c r="F1750" s="702"/>
    </row>
    <row r="1751">
      <c r="C1751" s="703"/>
      <c r="E1751" s="222"/>
      <c r="F1751" s="702"/>
    </row>
    <row r="1752">
      <c r="C1752" s="703"/>
      <c r="E1752" s="222"/>
      <c r="F1752" s="702"/>
    </row>
    <row r="1753">
      <c r="C1753" s="703"/>
      <c r="E1753" s="222"/>
      <c r="F1753" s="702"/>
    </row>
    <row r="1754">
      <c r="C1754" s="703"/>
      <c r="E1754" s="222"/>
      <c r="F1754" s="702"/>
    </row>
    <row r="1755">
      <c r="C1755" s="703"/>
      <c r="E1755" s="222"/>
      <c r="F1755" s="702"/>
    </row>
    <row r="1756">
      <c r="C1756" s="703"/>
      <c r="E1756" s="222"/>
      <c r="F1756" s="702"/>
    </row>
    <row r="1757">
      <c r="C1757" s="703"/>
      <c r="E1757" s="222"/>
      <c r="F1757" s="702"/>
    </row>
    <row r="1758">
      <c r="C1758" s="703"/>
      <c r="E1758" s="222"/>
      <c r="F1758" s="702"/>
    </row>
    <row r="1759">
      <c r="C1759" s="703"/>
      <c r="E1759" s="222"/>
      <c r="F1759" s="702"/>
    </row>
    <row r="1760">
      <c r="C1760" s="703"/>
      <c r="E1760" s="222"/>
      <c r="F1760" s="702"/>
    </row>
    <row r="1761">
      <c r="C1761" s="703"/>
      <c r="E1761" s="222"/>
      <c r="F1761" s="702"/>
    </row>
    <row r="1762">
      <c r="C1762" s="703"/>
      <c r="E1762" s="222"/>
      <c r="F1762" s="702"/>
    </row>
    <row r="1763">
      <c r="C1763" s="703"/>
      <c r="E1763" s="222"/>
      <c r="F1763" s="702"/>
    </row>
    <row r="1764">
      <c r="C1764" s="703"/>
      <c r="E1764" s="222"/>
      <c r="F1764" s="702"/>
    </row>
    <row r="1765">
      <c r="C1765" s="703"/>
      <c r="E1765" s="222"/>
      <c r="F1765" s="702"/>
    </row>
    <row r="1766">
      <c r="C1766" s="703"/>
      <c r="E1766" s="222"/>
      <c r="F1766" s="702"/>
    </row>
    <row r="1767">
      <c r="C1767" s="703"/>
      <c r="E1767" s="222"/>
      <c r="F1767" s="702"/>
    </row>
    <row r="1768">
      <c r="C1768" s="703"/>
      <c r="E1768" s="222"/>
      <c r="F1768" s="702"/>
    </row>
    <row r="1769">
      <c r="C1769" s="703"/>
      <c r="E1769" s="222"/>
      <c r="F1769" s="702"/>
    </row>
    <row r="1770">
      <c r="C1770" s="703"/>
      <c r="E1770" s="222"/>
      <c r="F1770" s="702"/>
    </row>
    <row r="1771">
      <c r="C1771" s="703"/>
      <c r="E1771" s="222"/>
      <c r="F1771" s="702"/>
    </row>
    <row r="1772">
      <c r="C1772" s="703"/>
      <c r="E1772" s="222"/>
      <c r="F1772" s="702"/>
    </row>
    <row r="1773">
      <c r="C1773" s="703"/>
      <c r="E1773" s="222"/>
      <c r="F1773" s="702"/>
    </row>
    <row r="1774">
      <c r="C1774" s="703"/>
      <c r="E1774" s="222"/>
      <c r="F1774" s="702"/>
    </row>
    <row r="1775">
      <c r="C1775" s="703"/>
      <c r="E1775" s="222"/>
      <c r="F1775" s="702"/>
    </row>
    <row r="1776">
      <c r="C1776" s="703"/>
      <c r="E1776" s="222"/>
      <c r="F1776" s="702"/>
    </row>
    <row r="1777">
      <c r="C1777" s="703"/>
      <c r="E1777" s="222"/>
      <c r="F1777" s="702"/>
    </row>
    <row r="1778">
      <c r="C1778" s="703"/>
      <c r="E1778" s="222"/>
      <c r="F1778" s="702"/>
    </row>
    <row r="1779">
      <c r="C1779" s="703"/>
      <c r="E1779" s="222"/>
      <c r="F1779" s="702"/>
    </row>
    <row r="1780">
      <c r="C1780" s="703"/>
      <c r="E1780" s="222"/>
      <c r="F1780" s="702"/>
    </row>
    <row r="1781">
      <c r="C1781" s="703"/>
      <c r="E1781" s="222"/>
      <c r="F1781" s="702"/>
    </row>
    <row r="1782">
      <c r="C1782" s="703"/>
      <c r="E1782" s="222"/>
      <c r="F1782" s="702"/>
    </row>
    <row r="1783">
      <c r="C1783" s="703"/>
      <c r="E1783" s="222"/>
      <c r="F1783" s="702"/>
    </row>
    <row r="1784">
      <c r="C1784" s="703"/>
      <c r="E1784" s="222"/>
      <c r="F1784" s="702"/>
    </row>
    <row r="1785">
      <c r="C1785" s="703"/>
      <c r="E1785" s="222"/>
      <c r="F1785" s="702"/>
    </row>
    <row r="1786">
      <c r="C1786" s="703"/>
      <c r="E1786" s="222"/>
      <c r="F1786" s="702"/>
    </row>
    <row r="1787">
      <c r="C1787" s="703"/>
      <c r="E1787" s="222"/>
      <c r="F1787" s="702"/>
    </row>
    <row r="1788">
      <c r="C1788" s="703"/>
      <c r="E1788" s="222"/>
      <c r="F1788" s="702"/>
    </row>
    <row r="1789">
      <c r="C1789" s="703"/>
      <c r="E1789" s="222"/>
      <c r="F1789" s="702"/>
    </row>
    <row r="1790">
      <c r="C1790" s="703"/>
      <c r="E1790" s="222"/>
      <c r="F1790" s="702"/>
    </row>
    <row r="1791">
      <c r="C1791" s="703"/>
      <c r="E1791" s="222"/>
      <c r="F1791" s="702"/>
    </row>
    <row r="1792">
      <c r="C1792" s="703"/>
      <c r="E1792" s="222"/>
      <c r="F1792" s="702"/>
    </row>
    <row r="1793">
      <c r="C1793" s="703"/>
      <c r="E1793" s="222"/>
      <c r="F1793" s="702"/>
    </row>
    <row r="1794">
      <c r="C1794" s="703"/>
      <c r="E1794" s="222"/>
      <c r="F1794" s="702"/>
    </row>
    <row r="1795">
      <c r="C1795" s="703"/>
      <c r="E1795" s="222"/>
      <c r="F1795" s="702"/>
    </row>
    <row r="1796">
      <c r="C1796" s="703"/>
      <c r="E1796" s="222"/>
      <c r="F1796" s="702"/>
    </row>
    <row r="1797">
      <c r="C1797" s="703"/>
      <c r="E1797" s="222"/>
      <c r="F1797" s="702"/>
    </row>
    <row r="1798">
      <c r="C1798" s="703"/>
      <c r="E1798" s="222"/>
      <c r="F1798" s="702"/>
    </row>
    <row r="1799">
      <c r="C1799" s="703"/>
      <c r="E1799" s="222"/>
      <c r="F1799" s="702"/>
    </row>
    <row r="1800">
      <c r="C1800" s="703"/>
      <c r="E1800" s="222"/>
      <c r="F1800" s="702"/>
    </row>
    <row r="1801">
      <c r="C1801" s="703"/>
      <c r="E1801" s="222"/>
      <c r="F1801" s="702"/>
    </row>
    <row r="1802">
      <c r="C1802" s="703"/>
      <c r="E1802" s="222"/>
      <c r="F1802" s="702"/>
    </row>
    <row r="1803">
      <c r="C1803" s="703"/>
      <c r="E1803" s="222"/>
      <c r="F1803" s="702"/>
    </row>
    <row r="1804">
      <c r="C1804" s="703"/>
      <c r="E1804" s="222"/>
      <c r="F1804" s="702"/>
    </row>
    <row r="1805">
      <c r="C1805" s="703"/>
      <c r="E1805" s="222"/>
      <c r="F1805" s="702"/>
    </row>
    <row r="1806">
      <c r="C1806" s="703"/>
      <c r="E1806" s="222"/>
      <c r="F1806" s="702"/>
    </row>
    <row r="1807">
      <c r="C1807" s="703"/>
      <c r="E1807" s="222"/>
      <c r="F1807" s="702"/>
    </row>
    <row r="1808">
      <c r="C1808" s="703"/>
      <c r="E1808" s="222"/>
      <c r="F1808" s="702"/>
    </row>
    <row r="1809">
      <c r="C1809" s="703"/>
      <c r="E1809" s="222"/>
      <c r="F1809" s="702"/>
    </row>
    <row r="1810">
      <c r="C1810" s="703"/>
      <c r="E1810" s="222"/>
      <c r="F1810" s="702"/>
    </row>
    <row r="1811">
      <c r="C1811" s="703"/>
      <c r="E1811" s="222"/>
      <c r="F1811" s="702"/>
    </row>
    <row r="1812">
      <c r="C1812" s="703"/>
      <c r="E1812" s="222"/>
      <c r="F1812" s="702"/>
    </row>
    <row r="1813">
      <c r="C1813" s="703"/>
      <c r="E1813" s="222"/>
      <c r="F1813" s="702"/>
    </row>
    <row r="1814">
      <c r="C1814" s="703"/>
      <c r="E1814" s="222"/>
      <c r="F1814" s="702"/>
    </row>
    <row r="1815">
      <c r="C1815" s="703"/>
      <c r="E1815" s="222"/>
      <c r="F1815" s="702"/>
    </row>
    <row r="1816">
      <c r="C1816" s="703"/>
      <c r="E1816" s="222"/>
      <c r="F1816" s="702"/>
    </row>
    <row r="1817">
      <c r="C1817" s="703"/>
      <c r="E1817" s="222"/>
      <c r="F1817" s="702"/>
    </row>
    <row r="1818">
      <c r="C1818" s="703"/>
      <c r="E1818" s="222"/>
      <c r="F1818" s="702"/>
    </row>
    <row r="1819">
      <c r="C1819" s="703"/>
      <c r="E1819" s="222"/>
      <c r="F1819" s="702"/>
    </row>
    <row r="1820">
      <c r="C1820" s="703"/>
      <c r="E1820" s="222"/>
      <c r="F1820" s="702"/>
    </row>
    <row r="1821">
      <c r="C1821" s="703"/>
      <c r="E1821" s="222"/>
      <c r="F1821" s="702"/>
    </row>
    <row r="1822">
      <c r="C1822" s="703"/>
      <c r="E1822" s="222"/>
      <c r="F1822" s="702"/>
    </row>
    <row r="1823">
      <c r="C1823" s="703"/>
      <c r="E1823" s="222"/>
      <c r="F1823" s="702"/>
    </row>
    <row r="1824">
      <c r="C1824" s="703"/>
      <c r="E1824" s="222"/>
      <c r="F1824" s="702"/>
    </row>
    <row r="1825">
      <c r="C1825" s="703"/>
      <c r="E1825" s="222"/>
      <c r="F1825" s="702"/>
    </row>
    <row r="1826">
      <c r="C1826" s="703"/>
      <c r="E1826" s="222"/>
      <c r="F1826" s="702"/>
    </row>
    <row r="1827">
      <c r="C1827" s="703"/>
      <c r="E1827" s="222"/>
      <c r="F1827" s="702"/>
    </row>
    <row r="1828">
      <c r="C1828" s="703"/>
      <c r="E1828" s="222"/>
      <c r="F1828" s="702"/>
    </row>
    <row r="1829">
      <c r="C1829" s="703"/>
      <c r="E1829" s="222"/>
      <c r="F1829" s="702"/>
    </row>
    <row r="1830">
      <c r="C1830" s="703"/>
      <c r="E1830" s="222"/>
      <c r="F1830" s="702"/>
    </row>
    <row r="1831">
      <c r="C1831" s="703"/>
      <c r="E1831" s="222"/>
      <c r="F1831" s="702"/>
    </row>
    <row r="1832">
      <c r="C1832" s="703"/>
      <c r="E1832" s="222"/>
      <c r="F1832" s="702"/>
    </row>
    <row r="1833">
      <c r="C1833" s="703"/>
      <c r="E1833" s="222"/>
      <c r="F1833" s="702"/>
    </row>
    <row r="1834">
      <c r="C1834" s="703"/>
      <c r="E1834" s="222"/>
      <c r="F1834" s="702"/>
    </row>
    <row r="1835">
      <c r="C1835" s="703"/>
      <c r="E1835" s="222"/>
      <c r="F1835" s="702"/>
    </row>
    <row r="1836">
      <c r="C1836" s="703"/>
      <c r="E1836" s="222"/>
      <c r="F1836" s="702"/>
    </row>
    <row r="1837">
      <c r="C1837" s="703"/>
      <c r="E1837" s="222"/>
      <c r="F1837" s="702"/>
    </row>
    <row r="1838">
      <c r="C1838" s="703"/>
      <c r="E1838" s="222"/>
      <c r="F1838" s="702"/>
    </row>
    <row r="1839">
      <c r="C1839" s="703"/>
      <c r="E1839" s="222"/>
      <c r="F1839" s="702"/>
    </row>
    <row r="1840">
      <c r="C1840" s="703"/>
      <c r="E1840" s="222"/>
      <c r="F1840" s="702"/>
    </row>
    <row r="1841">
      <c r="C1841" s="703"/>
      <c r="E1841" s="222"/>
      <c r="F1841" s="702"/>
    </row>
    <row r="1842">
      <c r="C1842" s="703"/>
      <c r="E1842" s="222"/>
      <c r="F1842" s="702"/>
    </row>
    <row r="1843">
      <c r="C1843" s="703"/>
      <c r="E1843" s="222"/>
      <c r="F1843" s="702"/>
    </row>
    <row r="1844">
      <c r="C1844" s="703"/>
      <c r="E1844" s="222"/>
      <c r="F1844" s="702"/>
    </row>
    <row r="1845">
      <c r="C1845" s="703"/>
      <c r="E1845" s="222"/>
      <c r="F1845" s="702"/>
    </row>
    <row r="1846">
      <c r="C1846" s="703"/>
      <c r="E1846" s="222"/>
      <c r="F1846" s="702"/>
    </row>
    <row r="1847">
      <c r="C1847" s="703"/>
      <c r="E1847" s="222"/>
      <c r="F1847" s="702"/>
    </row>
    <row r="1848">
      <c r="C1848" s="703"/>
      <c r="E1848" s="222"/>
      <c r="F1848" s="702"/>
    </row>
    <row r="1849">
      <c r="C1849" s="703"/>
      <c r="E1849" s="222"/>
      <c r="F1849" s="702"/>
    </row>
    <row r="1850">
      <c r="C1850" s="703"/>
      <c r="E1850" s="222"/>
      <c r="F1850" s="702"/>
    </row>
    <row r="1851">
      <c r="C1851" s="703"/>
      <c r="E1851" s="222"/>
      <c r="F1851" s="702"/>
    </row>
    <row r="1852">
      <c r="C1852" s="703"/>
      <c r="E1852" s="222"/>
      <c r="F1852" s="702"/>
    </row>
    <row r="1853">
      <c r="C1853" s="703"/>
      <c r="E1853" s="222"/>
      <c r="F1853" s="702"/>
    </row>
    <row r="1854">
      <c r="C1854" s="703"/>
      <c r="E1854" s="222"/>
      <c r="F1854" s="702"/>
    </row>
    <row r="1855">
      <c r="C1855" s="703"/>
      <c r="E1855" s="222"/>
      <c r="F1855" s="702"/>
    </row>
    <row r="1856">
      <c r="C1856" s="703"/>
      <c r="E1856" s="222"/>
      <c r="F1856" s="702"/>
    </row>
    <row r="1857">
      <c r="C1857" s="703"/>
      <c r="E1857" s="222"/>
      <c r="F1857" s="702"/>
    </row>
    <row r="1858">
      <c r="C1858" s="703"/>
      <c r="E1858" s="222"/>
      <c r="F1858" s="702"/>
    </row>
    <row r="1859">
      <c r="C1859" s="703"/>
      <c r="E1859" s="222"/>
      <c r="F1859" s="702"/>
    </row>
    <row r="1860">
      <c r="C1860" s="703"/>
      <c r="E1860" s="222"/>
      <c r="F1860" s="702"/>
    </row>
    <row r="1861">
      <c r="C1861" s="703"/>
      <c r="E1861" s="222"/>
      <c r="F1861" s="702"/>
    </row>
    <row r="1862">
      <c r="C1862" s="703"/>
      <c r="E1862" s="222"/>
      <c r="F1862" s="702"/>
    </row>
    <row r="1863">
      <c r="C1863" s="703"/>
      <c r="E1863" s="222"/>
      <c r="F1863" s="702"/>
    </row>
    <row r="1864">
      <c r="C1864" s="703"/>
      <c r="E1864" s="222"/>
      <c r="F1864" s="702"/>
    </row>
    <row r="1865">
      <c r="C1865" s="703"/>
      <c r="E1865" s="222"/>
      <c r="F1865" s="702"/>
    </row>
    <row r="1866">
      <c r="C1866" s="703"/>
      <c r="E1866" s="222"/>
      <c r="F1866" s="702"/>
    </row>
    <row r="1867">
      <c r="C1867" s="703"/>
      <c r="E1867" s="222"/>
      <c r="F1867" s="702"/>
    </row>
    <row r="1868">
      <c r="C1868" s="703"/>
      <c r="E1868" s="222"/>
      <c r="F1868" s="702"/>
    </row>
    <row r="1869">
      <c r="C1869" s="703"/>
      <c r="E1869" s="222"/>
      <c r="F1869" s="702"/>
    </row>
    <row r="1870">
      <c r="C1870" s="703"/>
      <c r="E1870" s="222"/>
      <c r="F1870" s="702"/>
    </row>
    <row r="1871">
      <c r="C1871" s="703"/>
      <c r="E1871" s="222"/>
      <c r="F1871" s="702"/>
    </row>
    <row r="1872">
      <c r="C1872" s="703"/>
      <c r="E1872" s="222"/>
      <c r="F1872" s="702"/>
    </row>
    <row r="1873">
      <c r="C1873" s="703"/>
      <c r="E1873" s="222"/>
      <c r="F1873" s="702"/>
    </row>
    <row r="1874">
      <c r="C1874" s="703"/>
      <c r="E1874" s="222"/>
      <c r="F1874" s="702"/>
    </row>
    <row r="1875">
      <c r="C1875" s="703"/>
      <c r="E1875" s="222"/>
      <c r="F1875" s="702"/>
    </row>
    <row r="1876">
      <c r="C1876" s="703"/>
      <c r="E1876" s="222"/>
      <c r="F1876" s="702"/>
    </row>
    <row r="1877">
      <c r="C1877" s="703"/>
      <c r="E1877" s="222"/>
      <c r="F1877" s="702"/>
    </row>
    <row r="1878">
      <c r="C1878" s="703"/>
      <c r="E1878" s="222"/>
      <c r="F1878" s="702"/>
    </row>
    <row r="1879">
      <c r="C1879" s="703"/>
      <c r="E1879" s="222"/>
      <c r="F1879" s="702"/>
    </row>
    <row r="1880">
      <c r="C1880" s="703"/>
      <c r="E1880" s="222"/>
      <c r="F1880" s="702"/>
    </row>
    <row r="1881">
      <c r="C1881" s="703"/>
      <c r="E1881" s="222"/>
      <c r="F1881" s="702"/>
    </row>
    <row r="1882">
      <c r="C1882" s="703"/>
      <c r="E1882" s="222"/>
      <c r="F1882" s="702"/>
    </row>
    <row r="1883">
      <c r="C1883" s="703"/>
      <c r="E1883" s="222"/>
      <c r="F1883" s="702"/>
    </row>
    <row r="1884">
      <c r="C1884" s="703"/>
      <c r="E1884" s="222"/>
      <c r="F1884" s="702"/>
    </row>
    <row r="1885">
      <c r="C1885" s="703"/>
      <c r="E1885" s="222"/>
      <c r="F1885" s="702"/>
    </row>
    <row r="1886">
      <c r="C1886" s="703"/>
      <c r="E1886" s="222"/>
      <c r="F1886" s="702"/>
    </row>
    <row r="1887">
      <c r="C1887" s="703"/>
      <c r="E1887" s="222"/>
      <c r="F1887" s="702"/>
    </row>
    <row r="1888">
      <c r="C1888" s="703"/>
      <c r="E1888" s="222"/>
      <c r="F1888" s="702"/>
    </row>
    <row r="1889">
      <c r="C1889" s="703"/>
      <c r="E1889" s="222"/>
      <c r="F1889" s="702"/>
    </row>
    <row r="1890">
      <c r="C1890" s="703"/>
      <c r="E1890" s="222"/>
      <c r="F1890" s="702"/>
    </row>
    <row r="1891">
      <c r="C1891" s="703"/>
      <c r="E1891" s="222"/>
      <c r="F1891" s="702"/>
    </row>
    <row r="1892">
      <c r="C1892" s="703"/>
      <c r="E1892" s="222"/>
      <c r="F1892" s="702"/>
    </row>
    <row r="1893">
      <c r="C1893" s="703"/>
      <c r="E1893" s="222"/>
      <c r="F1893" s="702"/>
    </row>
    <row r="1894">
      <c r="C1894" s="703"/>
      <c r="E1894" s="222"/>
      <c r="F1894" s="702"/>
    </row>
    <row r="1895">
      <c r="C1895" s="703"/>
      <c r="E1895" s="222"/>
      <c r="F1895" s="702"/>
    </row>
    <row r="1896">
      <c r="C1896" s="703"/>
      <c r="E1896" s="222"/>
      <c r="F1896" s="702"/>
    </row>
    <row r="1897">
      <c r="C1897" s="703"/>
      <c r="E1897" s="222"/>
      <c r="F1897" s="702"/>
    </row>
    <row r="1898">
      <c r="C1898" s="703"/>
      <c r="E1898" s="222"/>
      <c r="F1898" s="702"/>
    </row>
    <row r="1899">
      <c r="C1899" s="703"/>
      <c r="E1899" s="222"/>
      <c r="F1899" s="702"/>
    </row>
    <row r="1900">
      <c r="C1900" s="703"/>
      <c r="E1900" s="222"/>
      <c r="F1900" s="702"/>
    </row>
    <row r="1901">
      <c r="C1901" s="703"/>
      <c r="E1901" s="222"/>
      <c r="F1901" s="702"/>
    </row>
    <row r="1902">
      <c r="C1902" s="703"/>
      <c r="E1902" s="222"/>
      <c r="F1902" s="702"/>
    </row>
    <row r="1903">
      <c r="C1903" s="703"/>
      <c r="E1903" s="222"/>
      <c r="F1903" s="702"/>
    </row>
    <row r="1904">
      <c r="C1904" s="703"/>
      <c r="E1904" s="222"/>
      <c r="F1904" s="702"/>
    </row>
    <row r="1905">
      <c r="C1905" s="703"/>
      <c r="E1905" s="222"/>
      <c r="F1905" s="702"/>
    </row>
    <row r="1906">
      <c r="C1906" s="703"/>
      <c r="E1906" s="222"/>
      <c r="F1906" s="702"/>
    </row>
    <row r="1907">
      <c r="C1907" s="703"/>
      <c r="E1907" s="222"/>
      <c r="F1907" s="702"/>
    </row>
    <row r="1908">
      <c r="C1908" s="703"/>
      <c r="E1908" s="222"/>
      <c r="F1908" s="702"/>
    </row>
    <row r="1909">
      <c r="C1909" s="703"/>
      <c r="E1909" s="222"/>
      <c r="F1909" s="702"/>
    </row>
    <row r="1910">
      <c r="C1910" s="703"/>
      <c r="E1910" s="222"/>
      <c r="F1910" s="702"/>
    </row>
    <row r="1911">
      <c r="C1911" s="703"/>
      <c r="E1911" s="222"/>
      <c r="F1911" s="702"/>
    </row>
    <row r="1912">
      <c r="C1912" s="703"/>
      <c r="E1912" s="222"/>
      <c r="F1912" s="702"/>
    </row>
    <row r="1913">
      <c r="C1913" s="703"/>
      <c r="E1913" s="222"/>
      <c r="F1913" s="702"/>
    </row>
    <row r="1914">
      <c r="C1914" s="703"/>
      <c r="E1914" s="222"/>
      <c r="F1914" s="702"/>
    </row>
    <row r="1915">
      <c r="C1915" s="703"/>
      <c r="E1915" s="222"/>
      <c r="F1915" s="702"/>
    </row>
    <row r="1916">
      <c r="C1916" s="703"/>
      <c r="E1916" s="222"/>
      <c r="F1916" s="702"/>
    </row>
    <row r="1917">
      <c r="C1917" s="703"/>
      <c r="E1917" s="222"/>
      <c r="F1917" s="702"/>
    </row>
    <row r="1918">
      <c r="C1918" s="703"/>
      <c r="E1918" s="222"/>
      <c r="F1918" s="702"/>
    </row>
    <row r="1919">
      <c r="C1919" s="703"/>
      <c r="E1919" s="222"/>
      <c r="F1919" s="702"/>
    </row>
    <row r="1920">
      <c r="C1920" s="703"/>
      <c r="E1920" s="222"/>
      <c r="F1920" s="702"/>
    </row>
    <row r="1921">
      <c r="C1921" s="703"/>
      <c r="E1921" s="222"/>
      <c r="F1921" s="702"/>
    </row>
    <row r="1922">
      <c r="C1922" s="703"/>
      <c r="E1922" s="222"/>
      <c r="F1922" s="702"/>
    </row>
    <row r="1923">
      <c r="C1923" s="703"/>
      <c r="E1923" s="222"/>
      <c r="F1923" s="702"/>
    </row>
    <row r="1924">
      <c r="C1924" s="703"/>
      <c r="E1924" s="222"/>
      <c r="F1924" s="702"/>
    </row>
    <row r="1925">
      <c r="C1925" s="703"/>
      <c r="E1925" s="222"/>
      <c r="F1925" s="702"/>
    </row>
    <row r="1926">
      <c r="C1926" s="703"/>
      <c r="E1926" s="222"/>
      <c r="F1926" s="702"/>
    </row>
    <row r="1927">
      <c r="C1927" s="703"/>
      <c r="E1927" s="222"/>
      <c r="F1927" s="702"/>
    </row>
    <row r="1928">
      <c r="C1928" s="703"/>
      <c r="E1928" s="222"/>
      <c r="F1928" s="702"/>
    </row>
    <row r="1929">
      <c r="C1929" s="703"/>
      <c r="E1929" s="222"/>
      <c r="F1929" s="702"/>
    </row>
    <row r="1930">
      <c r="C1930" s="703"/>
      <c r="E1930" s="222"/>
      <c r="F1930" s="702"/>
    </row>
    <row r="1931">
      <c r="C1931" s="703"/>
      <c r="E1931" s="222"/>
      <c r="F1931" s="702"/>
    </row>
    <row r="1932">
      <c r="C1932" s="703"/>
      <c r="E1932" s="222"/>
      <c r="F1932" s="702"/>
    </row>
    <row r="1933">
      <c r="C1933" s="703"/>
      <c r="E1933" s="222"/>
      <c r="F1933" s="702"/>
    </row>
    <row r="1934">
      <c r="C1934" s="703"/>
      <c r="E1934" s="222"/>
      <c r="F1934" s="702"/>
    </row>
    <row r="1935">
      <c r="C1935" s="703"/>
      <c r="E1935" s="222"/>
      <c r="F1935" s="702"/>
    </row>
    <row r="1936">
      <c r="C1936" s="703"/>
      <c r="E1936" s="222"/>
      <c r="F1936" s="702"/>
    </row>
    <row r="1937">
      <c r="C1937" s="703"/>
      <c r="E1937" s="222"/>
      <c r="F1937" s="702"/>
    </row>
    <row r="1938">
      <c r="C1938" s="703"/>
      <c r="E1938" s="222"/>
      <c r="F1938" s="702"/>
    </row>
    <row r="1939">
      <c r="C1939" s="703"/>
      <c r="E1939" s="222"/>
      <c r="F1939" s="702"/>
    </row>
    <row r="1940">
      <c r="C1940" s="703"/>
      <c r="E1940" s="222"/>
      <c r="F1940" s="702"/>
    </row>
    <row r="1941">
      <c r="C1941" s="703"/>
      <c r="E1941" s="222"/>
      <c r="F1941" s="702"/>
    </row>
    <row r="1942">
      <c r="C1942" s="703"/>
      <c r="E1942" s="222"/>
      <c r="F1942" s="702"/>
    </row>
    <row r="1943">
      <c r="C1943" s="703"/>
      <c r="E1943" s="222"/>
      <c r="F1943" s="702"/>
    </row>
    <row r="1944">
      <c r="C1944" s="703"/>
      <c r="E1944" s="222"/>
      <c r="F1944" s="702"/>
    </row>
    <row r="1945">
      <c r="C1945" s="703"/>
      <c r="E1945" s="222"/>
      <c r="F1945" s="702"/>
    </row>
    <row r="1946">
      <c r="C1946" s="703"/>
      <c r="E1946" s="222"/>
      <c r="F1946" s="702"/>
    </row>
    <row r="1947">
      <c r="C1947" s="703"/>
      <c r="E1947" s="222"/>
      <c r="F1947" s="702"/>
    </row>
    <row r="1948">
      <c r="C1948" s="703"/>
      <c r="E1948" s="222"/>
      <c r="F1948" s="702"/>
    </row>
    <row r="1949">
      <c r="C1949" s="703"/>
      <c r="E1949" s="222"/>
      <c r="F1949" s="702"/>
    </row>
    <row r="1950">
      <c r="C1950" s="703"/>
      <c r="E1950" s="222"/>
      <c r="F1950" s="702"/>
    </row>
    <row r="1951">
      <c r="C1951" s="703"/>
      <c r="E1951" s="222"/>
      <c r="F1951" s="702"/>
    </row>
    <row r="1952">
      <c r="C1952" s="703"/>
      <c r="E1952" s="222"/>
      <c r="F1952" s="702"/>
    </row>
    <row r="1953">
      <c r="C1953" s="703"/>
      <c r="E1953" s="222"/>
      <c r="F1953" s="702"/>
    </row>
    <row r="1954">
      <c r="C1954" s="703"/>
      <c r="E1954" s="222"/>
      <c r="F1954" s="702"/>
    </row>
    <row r="1955">
      <c r="C1955" s="703"/>
      <c r="E1955" s="222"/>
      <c r="F1955" s="702"/>
    </row>
    <row r="1956">
      <c r="C1956" s="703"/>
      <c r="E1956" s="222"/>
      <c r="F1956" s="702"/>
    </row>
    <row r="1957">
      <c r="C1957" s="703"/>
      <c r="E1957" s="222"/>
      <c r="F1957" s="702"/>
    </row>
    <row r="1958">
      <c r="C1958" s="703"/>
      <c r="E1958" s="222"/>
      <c r="F1958" s="702"/>
    </row>
    <row r="1959">
      <c r="C1959" s="703"/>
      <c r="E1959" s="222"/>
      <c r="F1959" s="702"/>
    </row>
    <row r="1960">
      <c r="C1960" s="703"/>
      <c r="E1960" s="222"/>
      <c r="F1960" s="702"/>
    </row>
    <row r="1961">
      <c r="C1961" s="703"/>
      <c r="E1961" s="222"/>
      <c r="F1961" s="702"/>
    </row>
    <row r="1962">
      <c r="C1962" s="703"/>
      <c r="E1962" s="222"/>
      <c r="F1962" s="702"/>
    </row>
    <row r="1963">
      <c r="C1963" s="703"/>
      <c r="E1963" s="222"/>
      <c r="F1963" s="702"/>
    </row>
    <row r="1964">
      <c r="C1964" s="703"/>
      <c r="E1964" s="222"/>
      <c r="F1964" s="702"/>
    </row>
    <row r="1965">
      <c r="C1965" s="703"/>
      <c r="E1965" s="222"/>
      <c r="F1965" s="702"/>
    </row>
    <row r="1966">
      <c r="C1966" s="703"/>
      <c r="E1966" s="222"/>
      <c r="F1966" s="702"/>
    </row>
    <row r="1967">
      <c r="C1967" s="703"/>
      <c r="E1967" s="222"/>
      <c r="F1967" s="702"/>
    </row>
    <row r="1968">
      <c r="C1968" s="703"/>
      <c r="E1968" s="222"/>
      <c r="F1968" s="702"/>
    </row>
    <row r="1969">
      <c r="C1969" s="703"/>
      <c r="E1969" s="222"/>
      <c r="F1969" s="702"/>
    </row>
    <row r="1970">
      <c r="C1970" s="703"/>
      <c r="E1970" s="222"/>
      <c r="F1970" s="702"/>
    </row>
    <row r="1971">
      <c r="C1971" s="703"/>
      <c r="E1971" s="222"/>
      <c r="F1971" s="702"/>
    </row>
    <row r="1972">
      <c r="C1972" s="703"/>
      <c r="E1972" s="222"/>
      <c r="F1972" s="702"/>
    </row>
    <row r="1973">
      <c r="C1973" s="703"/>
      <c r="E1973" s="222"/>
      <c r="F1973" s="702"/>
    </row>
    <row r="1974">
      <c r="C1974" s="703"/>
      <c r="E1974" s="222"/>
      <c r="F1974" s="702"/>
    </row>
    <row r="1975">
      <c r="C1975" s="703"/>
      <c r="E1975" s="222"/>
      <c r="F1975" s="702"/>
    </row>
    <row r="1976">
      <c r="C1976" s="703"/>
      <c r="E1976" s="222"/>
      <c r="F1976" s="702"/>
    </row>
    <row r="1977">
      <c r="C1977" s="703"/>
      <c r="E1977" s="222"/>
      <c r="F1977" s="702"/>
    </row>
    <row r="1978">
      <c r="C1978" s="703"/>
      <c r="E1978" s="222"/>
      <c r="F1978" s="702"/>
    </row>
    <row r="1979">
      <c r="C1979" s="703"/>
      <c r="E1979" s="222"/>
      <c r="F1979" s="702"/>
    </row>
    <row r="1980">
      <c r="C1980" s="703"/>
      <c r="E1980" s="222"/>
      <c r="F1980" s="702"/>
    </row>
    <row r="1981">
      <c r="C1981" s="703"/>
      <c r="E1981" s="222"/>
      <c r="F1981" s="702"/>
    </row>
    <row r="1982">
      <c r="C1982" s="703"/>
      <c r="E1982" s="222"/>
      <c r="F1982" s="702"/>
    </row>
    <row r="1983">
      <c r="C1983" s="703"/>
      <c r="E1983" s="222"/>
      <c r="F1983" s="702"/>
    </row>
    <row r="1984">
      <c r="C1984" s="703"/>
      <c r="E1984" s="222"/>
      <c r="F1984" s="702"/>
    </row>
    <row r="1985">
      <c r="C1985" s="703"/>
      <c r="E1985" s="222"/>
      <c r="F1985" s="702"/>
    </row>
    <row r="1986">
      <c r="C1986" s="703"/>
      <c r="E1986" s="222"/>
      <c r="F1986" s="702"/>
    </row>
    <row r="1987">
      <c r="C1987" s="703"/>
      <c r="E1987" s="222"/>
      <c r="F1987" s="702"/>
    </row>
    <row r="1988">
      <c r="C1988" s="703"/>
      <c r="E1988" s="222"/>
      <c r="F1988" s="702"/>
    </row>
    <row r="1989">
      <c r="C1989" s="703"/>
      <c r="E1989" s="222"/>
      <c r="F1989" s="702"/>
    </row>
    <row r="1990">
      <c r="C1990" s="703"/>
      <c r="E1990" s="222"/>
      <c r="F1990" s="702"/>
    </row>
    <row r="1991">
      <c r="C1991" s="703"/>
      <c r="E1991" s="222"/>
      <c r="F1991" s="702"/>
    </row>
    <row r="1992">
      <c r="C1992" s="703"/>
      <c r="E1992" s="222"/>
      <c r="F1992" s="702"/>
    </row>
    <row r="1993">
      <c r="C1993" s="703"/>
      <c r="E1993" s="222"/>
      <c r="F1993" s="702"/>
    </row>
    <row r="1994">
      <c r="C1994" s="703"/>
      <c r="E1994" s="222"/>
      <c r="F1994" s="702"/>
    </row>
    <row r="1995">
      <c r="C1995" s="703"/>
      <c r="E1995" s="222"/>
      <c r="F1995" s="702"/>
    </row>
    <row r="1996">
      <c r="C1996" s="703"/>
      <c r="E1996" s="222"/>
      <c r="F1996" s="702"/>
    </row>
    <row r="1997">
      <c r="C1997" s="703"/>
      <c r="E1997" s="222"/>
      <c r="F1997" s="702"/>
    </row>
    <row r="1998">
      <c r="C1998" s="703"/>
      <c r="E1998" s="222"/>
      <c r="F1998" s="702"/>
    </row>
    <row r="1999">
      <c r="C1999" s="703"/>
      <c r="E1999" s="222"/>
      <c r="F1999" s="702"/>
    </row>
    <row r="2000">
      <c r="C2000" s="703"/>
      <c r="E2000" s="222"/>
      <c r="F2000" s="702"/>
    </row>
    <row r="2001">
      <c r="C2001" s="703"/>
      <c r="E2001" s="222"/>
      <c r="F2001" s="702"/>
    </row>
    <row r="2002">
      <c r="C2002" s="703"/>
      <c r="E2002" s="222"/>
      <c r="F2002" s="702"/>
    </row>
    <row r="2003">
      <c r="C2003" s="703"/>
      <c r="E2003" s="222"/>
      <c r="F2003" s="702"/>
    </row>
    <row r="2004">
      <c r="C2004" s="703"/>
      <c r="E2004" s="222"/>
      <c r="F2004" s="702"/>
    </row>
    <row r="2005">
      <c r="C2005" s="703"/>
      <c r="E2005" s="222"/>
      <c r="F2005" s="702"/>
    </row>
    <row r="2006">
      <c r="C2006" s="703"/>
      <c r="E2006" s="222"/>
      <c r="F2006" s="702"/>
    </row>
    <row r="2007">
      <c r="C2007" s="703"/>
      <c r="E2007" s="222"/>
      <c r="F2007" s="702"/>
    </row>
    <row r="2008">
      <c r="C2008" s="703"/>
      <c r="E2008" s="222"/>
      <c r="F2008" s="702"/>
    </row>
    <row r="2009">
      <c r="C2009" s="703"/>
      <c r="E2009" s="222"/>
      <c r="F2009" s="702"/>
    </row>
    <row r="2010">
      <c r="C2010" s="703"/>
      <c r="E2010" s="222"/>
      <c r="F2010" s="702"/>
    </row>
    <row r="2011">
      <c r="C2011" s="703"/>
      <c r="E2011" s="222"/>
      <c r="F2011" s="702"/>
    </row>
    <row r="2012">
      <c r="C2012" s="703"/>
      <c r="E2012" s="222"/>
      <c r="F2012" s="702"/>
    </row>
    <row r="2013">
      <c r="C2013" s="703"/>
      <c r="E2013" s="222"/>
      <c r="F2013" s="702"/>
    </row>
    <row r="2014">
      <c r="C2014" s="703"/>
      <c r="E2014" s="222"/>
      <c r="F2014" s="702"/>
    </row>
    <row r="2015">
      <c r="C2015" s="703"/>
      <c r="E2015" s="222"/>
      <c r="F2015" s="702"/>
    </row>
    <row r="2016">
      <c r="C2016" s="703"/>
      <c r="E2016" s="222"/>
      <c r="F2016" s="702"/>
    </row>
    <row r="2017">
      <c r="C2017" s="703"/>
      <c r="E2017" s="222"/>
      <c r="F2017" s="702"/>
    </row>
    <row r="2018">
      <c r="C2018" s="703"/>
      <c r="E2018" s="222"/>
      <c r="F2018" s="702"/>
    </row>
    <row r="2019">
      <c r="C2019" s="703"/>
      <c r="E2019" s="222"/>
      <c r="F2019" s="702"/>
    </row>
    <row r="2020">
      <c r="C2020" s="703"/>
      <c r="E2020" s="222"/>
      <c r="F2020" s="702"/>
    </row>
    <row r="2021">
      <c r="C2021" s="703"/>
      <c r="E2021" s="222"/>
      <c r="F2021" s="702"/>
    </row>
    <row r="2022">
      <c r="C2022" s="703"/>
      <c r="E2022" s="222"/>
      <c r="F2022" s="702"/>
    </row>
    <row r="2023">
      <c r="C2023" s="703"/>
      <c r="E2023" s="222"/>
      <c r="F2023" s="702"/>
    </row>
    <row r="2024">
      <c r="C2024" s="703"/>
      <c r="E2024" s="222"/>
      <c r="F2024" s="702"/>
    </row>
    <row r="2025">
      <c r="C2025" s="703"/>
      <c r="E2025" s="222"/>
      <c r="F2025" s="702"/>
    </row>
    <row r="2026">
      <c r="C2026" s="703"/>
      <c r="E2026" s="222"/>
      <c r="F2026" s="702"/>
    </row>
    <row r="2027">
      <c r="C2027" s="703"/>
      <c r="E2027" s="222"/>
      <c r="F2027" s="702"/>
    </row>
    <row r="2028">
      <c r="C2028" s="703"/>
      <c r="E2028" s="222"/>
      <c r="F2028" s="702"/>
    </row>
    <row r="2029">
      <c r="C2029" s="703"/>
      <c r="E2029" s="222"/>
      <c r="F2029" s="702"/>
    </row>
    <row r="2030">
      <c r="C2030" s="703"/>
      <c r="E2030" s="222"/>
      <c r="F2030" s="702"/>
    </row>
    <row r="2031">
      <c r="C2031" s="703"/>
      <c r="E2031" s="222"/>
      <c r="F2031" s="702"/>
    </row>
    <row r="2032">
      <c r="C2032" s="703"/>
      <c r="E2032" s="222"/>
      <c r="F2032" s="702"/>
    </row>
    <row r="2033">
      <c r="C2033" s="703"/>
      <c r="E2033" s="222"/>
      <c r="F2033" s="702"/>
    </row>
    <row r="2034">
      <c r="C2034" s="703"/>
      <c r="E2034" s="222"/>
      <c r="F2034" s="702"/>
    </row>
    <row r="2035">
      <c r="C2035" s="703"/>
      <c r="E2035" s="222"/>
      <c r="F2035" s="702"/>
    </row>
    <row r="2036">
      <c r="C2036" s="703"/>
      <c r="E2036" s="222"/>
      <c r="F2036" s="702"/>
    </row>
    <row r="2037">
      <c r="C2037" s="703"/>
      <c r="E2037" s="222"/>
      <c r="F2037" s="702"/>
    </row>
    <row r="2038">
      <c r="C2038" s="703"/>
      <c r="E2038" s="222"/>
      <c r="F2038" s="702"/>
    </row>
    <row r="2039">
      <c r="C2039" s="703"/>
      <c r="E2039" s="222"/>
      <c r="F2039" s="702"/>
    </row>
    <row r="2040">
      <c r="C2040" s="703"/>
      <c r="E2040" s="222"/>
      <c r="F2040" s="702"/>
    </row>
    <row r="2041">
      <c r="C2041" s="703"/>
      <c r="E2041" s="222"/>
      <c r="F2041" s="702"/>
    </row>
    <row r="2042">
      <c r="C2042" s="703"/>
      <c r="E2042" s="222"/>
      <c r="F2042" s="702"/>
    </row>
    <row r="2043">
      <c r="C2043" s="703"/>
      <c r="E2043" s="222"/>
      <c r="F2043" s="702"/>
    </row>
    <row r="2044">
      <c r="C2044" s="703"/>
      <c r="E2044" s="222"/>
      <c r="F2044" s="702"/>
    </row>
    <row r="2045">
      <c r="C2045" s="703"/>
      <c r="E2045" s="222"/>
      <c r="F2045" s="702"/>
    </row>
    <row r="2046">
      <c r="C2046" s="703"/>
      <c r="E2046" s="222"/>
      <c r="F2046" s="702"/>
    </row>
    <row r="2047">
      <c r="C2047" s="703"/>
      <c r="E2047" s="222"/>
      <c r="F2047" s="702"/>
    </row>
    <row r="2048">
      <c r="C2048" s="703"/>
      <c r="E2048" s="222"/>
      <c r="F2048" s="702"/>
    </row>
    <row r="2049">
      <c r="C2049" s="703"/>
      <c r="E2049" s="222"/>
      <c r="F2049" s="702"/>
    </row>
    <row r="2050">
      <c r="C2050" s="703"/>
      <c r="E2050" s="222"/>
      <c r="F2050" s="702"/>
    </row>
    <row r="2051">
      <c r="C2051" s="703"/>
      <c r="E2051" s="222"/>
      <c r="F2051" s="702"/>
    </row>
    <row r="2052">
      <c r="C2052" s="703"/>
      <c r="E2052" s="222"/>
      <c r="F2052" s="702"/>
    </row>
    <row r="2053">
      <c r="C2053" s="703"/>
      <c r="E2053" s="222"/>
      <c r="F2053" s="702"/>
    </row>
    <row r="2054">
      <c r="C2054" s="703"/>
      <c r="E2054" s="222"/>
      <c r="F2054" s="702"/>
    </row>
    <row r="2055">
      <c r="C2055" s="703"/>
      <c r="E2055" s="222"/>
      <c r="F2055" s="702"/>
    </row>
    <row r="2056">
      <c r="C2056" s="703"/>
      <c r="E2056" s="222"/>
      <c r="F2056" s="702"/>
    </row>
    <row r="2057">
      <c r="C2057" s="703"/>
      <c r="E2057" s="222"/>
      <c r="F2057" s="702"/>
    </row>
    <row r="2058">
      <c r="C2058" s="703"/>
      <c r="E2058" s="222"/>
      <c r="F2058" s="702"/>
    </row>
    <row r="2059">
      <c r="C2059" s="703"/>
      <c r="E2059" s="222"/>
      <c r="F2059" s="702"/>
    </row>
    <row r="2060">
      <c r="C2060" s="703"/>
      <c r="E2060" s="222"/>
      <c r="F2060" s="702"/>
    </row>
    <row r="2061">
      <c r="C2061" s="703"/>
      <c r="E2061" s="222"/>
      <c r="F2061" s="702"/>
    </row>
    <row r="2062">
      <c r="C2062" s="703"/>
      <c r="E2062" s="222"/>
      <c r="F2062" s="702"/>
    </row>
    <row r="2063">
      <c r="C2063" s="703"/>
      <c r="E2063" s="222"/>
      <c r="F2063" s="702"/>
    </row>
    <row r="2064">
      <c r="C2064" s="703"/>
      <c r="E2064" s="222"/>
      <c r="F2064" s="702"/>
    </row>
    <row r="2065">
      <c r="C2065" s="703"/>
      <c r="E2065" s="222"/>
      <c r="F2065" s="702"/>
    </row>
    <row r="2066">
      <c r="C2066" s="703"/>
      <c r="E2066" s="222"/>
      <c r="F2066" s="702"/>
    </row>
    <row r="2067">
      <c r="C2067" s="703"/>
      <c r="E2067" s="222"/>
      <c r="F2067" s="702"/>
    </row>
    <row r="2068">
      <c r="C2068" s="703"/>
      <c r="E2068" s="222"/>
      <c r="F2068" s="702"/>
    </row>
    <row r="2069">
      <c r="C2069" s="703"/>
      <c r="E2069" s="222"/>
      <c r="F2069" s="702"/>
    </row>
    <row r="2070">
      <c r="C2070" s="703"/>
      <c r="E2070" s="222"/>
      <c r="F2070" s="702"/>
    </row>
    <row r="2071">
      <c r="C2071" s="703"/>
      <c r="E2071" s="222"/>
      <c r="F2071" s="702"/>
    </row>
    <row r="2072">
      <c r="C2072" s="703"/>
      <c r="E2072" s="222"/>
      <c r="F2072" s="702"/>
    </row>
    <row r="2073">
      <c r="C2073" s="703"/>
      <c r="E2073" s="222"/>
      <c r="F2073" s="702"/>
    </row>
    <row r="2074">
      <c r="C2074" s="703"/>
      <c r="E2074" s="222"/>
      <c r="F2074" s="702"/>
    </row>
    <row r="2075">
      <c r="C2075" s="703"/>
      <c r="E2075" s="222"/>
      <c r="F2075" s="702"/>
    </row>
    <row r="2076">
      <c r="C2076" s="703"/>
      <c r="E2076" s="222"/>
      <c r="F2076" s="702"/>
    </row>
    <row r="2077">
      <c r="C2077" s="703"/>
      <c r="E2077" s="222"/>
      <c r="F2077" s="702"/>
    </row>
    <row r="2078">
      <c r="C2078" s="703"/>
      <c r="E2078" s="222"/>
      <c r="F2078" s="702"/>
    </row>
    <row r="2079">
      <c r="C2079" s="703"/>
      <c r="E2079" s="222"/>
      <c r="F2079" s="702"/>
    </row>
    <row r="2080">
      <c r="C2080" s="703"/>
      <c r="E2080" s="222"/>
      <c r="F2080" s="702"/>
    </row>
    <row r="2081">
      <c r="C2081" s="703"/>
      <c r="E2081" s="222"/>
      <c r="F2081" s="702"/>
    </row>
    <row r="2082">
      <c r="C2082" s="703"/>
      <c r="E2082" s="222"/>
      <c r="F2082" s="702"/>
    </row>
    <row r="2083">
      <c r="C2083" s="703"/>
      <c r="E2083" s="222"/>
      <c r="F2083" s="702"/>
    </row>
    <row r="2084">
      <c r="C2084" s="703"/>
      <c r="E2084" s="222"/>
      <c r="F2084" s="702"/>
    </row>
    <row r="2085">
      <c r="C2085" s="703"/>
      <c r="E2085" s="222"/>
      <c r="F2085" s="702"/>
    </row>
    <row r="2086">
      <c r="C2086" s="703"/>
      <c r="E2086" s="222"/>
      <c r="F2086" s="702"/>
    </row>
    <row r="2087">
      <c r="C2087" s="703"/>
      <c r="E2087" s="222"/>
      <c r="F2087" s="702"/>
    </row>
    <row r="2088">
      <c r="C2088" s="703"/>
      <c r="E2088" s="222"/>
      <c r="F2088" s="702"/>
    </row>
    <row r="2089">
      <c r="C2089" s="703"/>
      <c r="E2089" s="222"/>
      <c r="F2089" s="702"/>
    </row>
    <row r="2090">
      <c r="C2090" s="703"/>
      <c r="E2090" s="222"/>
      <c r="F2090" s="702"/>
    </row>
    <row r="2091">
      <c r="C2091" s="703"/>
      <c r="E2091" s="222"/>
      <c r="F2091" s="702"/>
    </row>
    <row r="2092">
      <c r="C2092" s="703"/>
      <c r="E2092" s="222"/>
      <c r="F2092" s="702"/>
    </row>
    <row r="2093">
      <c r="C2093" s="703"/>
      <c r="E2093" s="222"/>
      <c r="F2093" s="702"/>
    </row>
    <row r="2094">
      <c r="C2094" s="703"/>
      <c r="E2094" s="222"/>
      <c r="F2094" s="702"/>
    </row>
    <row r="2095">
      <c r="C2095" s="703"/>
      <c r="E2095" s="222"/>
      <c r="F2095" s="702"/>
    </row>
    <row r="2096">
      <c r="C2096" s="703"/>
      <c r="E2096" s="222"/>
      <c r="F2096" s="702"/>
    </row>
    <row r="2097">
      <c r="C2097" s="703"/>
      <c r="E2097" s="222"/>
      <c r="F2097" s="702"/>
    </row>
    <row r="2098">
      <c r="C2098" s="703"/>
      <c r="E2098" s="222"/>
      <c r="F2098" s="702"/>
    </row>
    <row r="2099">
      <c r="C2099" s="703"/>
      <c r="E2099" s="222"/>
      <c r="F2099" s="702"/>
    </row>
    <row r="2100">
      <c r="C2100" s="703"/>
      <c r="E2100" s="222"/>
      <c r="F2100" s="702"/>
    </row>
    <row r="2101">
      <c r="C2101" s="703"/>
      <c r="E2101" s="222"/>
      <c r="F2101" s="702"/>
    </row>
    <row r="2102">
      <c r="C2102" s="703"/>
      <c r="E2102" s="222"/>
      <c r="F2102" s="702"/>
    </row>
    <row r="2103">
      <c r="C2103" s="703"/>
      <c r="E2103" s="222"/>
      <c r="F2103" s="702"/>
    </row>
    <row r="2104">
      <c r="C2104" s="703"/>
      <c r="E2104" s="222"/>
      <c r="F2104" s="702"/>
    </row>
    <row r="2105">
      <c r="C2105" s="703"/>
      <c r="E2105" s="222"/>
      <c r="F2105" s="702"/>
    </row>
    <row r="2106">
      <c r="C2106" s="703"/>
      <c r="E2106" s="222"/>
      <c r="F2106" s="702"/>
    </row>
    <row r="2107">
      <c r="C2107" s="703"/>
      <c r="E2107" s="222"/>
      <c r="F2107" s="702"/>
    </row>
    <row r="2108">
      <c r="C2108" s="703"/>
      <c r="E2108" s="222"/>
      <c r="F2108" s="702"/>
    </row>
    <row r="2109">
      <c r="C2109" s="703"/>
      <c r="E2109" s="222"/>
      <c r="F2109" s="702"/>
    </row>
    <row r="2110">
      <c r="C2110" s="703"/>
      <c r="E2110" s="222"/>
      <c r="F2110" s="702"/>
    </row>
    <row r="2111">
      <c r="C2111" s="703"/>
      <c r="E2111" s="222"/>
      <c r="F2111" s="702"/>
    </row>
    <row r="2112">
      <c r="C2112" s="703"/>
      <c r="E2112" s="222"/>
      <c r="F2112" s="702"/>
    </row>
    <row r="2113">
      <c r="C2113" s="703"/>
      <c r="E2113" s="222"/>
      <c r="F2113" s="702"/>
    </row>
    <row r="2114">
      <c r="C2114" s="703"/>
      <c r="E2114" s="222"/>
      <c r="F2114" s="702"/>
    </row>
    <row r="2115">
      <c r="C2115" s="703"/>
      <c r="E2115" s="222"/>
      <c r="F2115" s="702"/>
    </row>
    <row r="2116">
      <c r="C2116" s="703"/>
      <c r="E2116" s="222"/>
      <c r="F2116" s="702"/>
    </row>
    <row r="2117">
      <c r="C2117" s="703"/>
      <c r="E2117" s="222"/>
      <c r="F2117" s="702"/>
    </row>
    <row r="2118">
      <c r="C2118" s="703"/>
      <c r="E2118" s="222"/>
      <c r="F2118" s="702"/>
    </row>
    <row r="2119">
      <c r="C2119" s="703"/>
      <c r="E2119" s="222"/>
      <c r="F2119" s="702"/>
    </row>
    <row r="2120">
      <c r="C2120" s="703"/>
      <c r="E2120" s="222"/>
      <c r="F2120" s="702"/>
    </row>
    <row r="2121">
      <c r="C2121" s="703"/>
      <c r="E2121" s="222"/>
      <c r="F2121" s="702"/>
    </row>
    <row r="2122">
      <c r="C2122" s="703"/>
      <c r="E2122" s="222"/>
      <c r="F2122" s="702"/>
    </row>
    <row r="2123">
      <c r="C2123" s="703"/>
      <c r="E2123" s="222"/>
      <c r="F2123" s="702"/>
    </row>
    <row r="2124">
      <c r="C2124" s="703"/>
      <c r="E2124" s="222"/>
      <c r="F2124" s="702"/>
    </row>
    <row r="2125">
      <c r="C2125" s="703"/>
      <c r="E2125" s="222"/>
      <c r="F2125" s="702"/>
    </row>
    <row r="2126">
      <c r="C2126" s="703"/>
      <c r="E2126" s="222"/>
      <c r="F2126" s="702"/>
    </row>
    <row r="2127">
      <c r="C2127" s="703"/>
      <c r="E2127" s="222"/>
      <c r="F2127" s="702"/>
    </row>
    <row r="2128">
      <c r="C2128" s="703"/>
      <c r="E2128" s="222"/>
      <c r="F2128" s="702"/>
    </row>
    <row r="2129">
      <c r="C2129" s="703"/>
      <c r="E2129" s="222"/>
      <c r="F2129" s="702"/>
    </row>
    <row r="2130">
      <c r="C2130" s="703"/>
      <c r="E2130" s="222"/>
      <c r="F2130" s="702"/>
    </row>
    <row r="2131">
      <c r="C2131" s="703"/>
      <c r="E2131" s="222"/>
      <c r="F2131" s="702"/>
    </row>
    <row r="2132">
      <c r="C2132" s="703"/>
      <c r="E2132" s="222"/>
      <c r="F2132" s="702"/>
    </row>
    <row r="2133">
      <c r="C2133" s="703"/>
      <c r="E2133" s="222"/>
      <c r="F2133" s="702"/>
    </row>
    <row r="2134">
      <c r="C2134" s="703"/>
      <c r="E2134" s="222"/>
      <c r="F2134" s="702"/>
    </row>
    <row r="2135">
      <c r="C2135" s="703"/>
      <c r="E2135" s="222"/>
      <c r="F2135" s="702"/>
    </row>
    <row r="2136">
      <c r="C2136" s="703"/>
      <c r="E2136" s="222"/>
      <c r="F2136" s="702"/>
    </row>
    <row r="2137">
      <c r="C2137" s="703"/>
      <c r="E2137" s="222"/>
      <c r="F2137" s="702"/>
    </row>
    <row r="2138">
      <c r="C2138" s="703"/>
      <c r="E2138" s="222"/>
      <c r="F2138" s="702"/>
    </row>
    <row r="2139">
      <c r="C2139" s="703"/>
      <c r="E2139" s="222"/>
      <c r="F2139" s="702"/>
    </row>
    <row r="2140">
      <c r="C2140" s="703"/>
      <c r="E2140" s="222"/>
      <c r="F2140" s="702"/>
    </row>
    <row r="2141">
      <c r="C2141" s="703"/>
      <c r="E2141" s="222"/>
      <c r="F2141" s="702"/>
    </row>
    <row r="2142">
      <c r="C2142" s="703"/>
      <c r="E2142" s="222"/>
      <c r="F2142" s="702"/>
    </row>
    <row r="2143">
      <c r="C2143" s="703"/>
      <c r="E2143" s="222"/>
      <c r="F2143" s="702"/>
    </row>
    <row r="2144">
      <c r="C2144" s="703"/>
      <c r="E2144" s="222"/>
      <c r="F2144" s="702"/>
    </row>
    <row r="2145">
      <c r="C2145" s="703"/>
      <c r="E2145" s="222"/>
      <c r="F2145" s="702"/>
    </row>
    <row r="2146">
      <c r="C2146" s="703"/>
      <c r="E2146" s="222"/>
      <c r="F2146" s="702"/>
    </row>
    <row r="2147">
      <c r="C2147" s="703"/>
      <c r="E2147" s="222"/>
      <c r="F2147" s="702"/>
    </row>
    <row r="2148">
      <c r="C2148" s="703"/>
      <c r="E2148" s="222"/>
      <c r="F2148" s="702"/>
    </row>
    <row r="2149">
      <c r="C2149" s="703"/>
      <c r="E2149" s="222"/>
      <c r="F2149" s="702"/>
    </row>
    <row r="2150">
      <c r="C2150" s="703"/>
      <c r="E2150" s="222"/>
      <c r="F2150" s="702"/>
    </row>
    <row r="2151">
      <c r="C2151" s="703"/>
      <c r="E2151" s="222"/>
      <c r="F2151" s="702"/>
    </row>
    <row r="2152">
      <c r="C2152" s="703"/>
      <c r="E2152" s="222"/>
      <c r="F2152" s="702"/>
    </row>
    <row r="2153">
      <c r="C2153" s="703"/>
      <c r="E2153" s="222"/>
      <c r="F2153" s="702"/>
    </row>
    <row r="2154">
      <c r="C2154" s="703"/>
      <c r="E2154" s="222"/>
      <c r="F2154" s="702"/>
    </row>
    <row r="2155">
      <c r="C2155" s="703"/>
      <c r="E2155" s="222"/>
      <c r="F2155" s="702"/>
    </row>
    <row r="2156">
      <c r="C2156" s="703"/>
      <c r="E2156" s="222"/>
      <c r="F2156" s="702"/>
    </row>
    <row r="2157">
      <c r="C2157" s="703"/>
      <c r="E2157" s="222"/>
      <c r="F2157" s="702"/>
    </row>
    <row r="2158">
      <c r="C2158" s="703"/>
      <c r="E2158" s="222"/>
      <c r="F2158" s="702"/>
    </row>
    <row r="2159">
      <c r="C2159" s="703"/>
      <c r="E2159" s="222"/>
      <c r="F2159" s="702"/>
    </row>
    <row r="2160">
      <c r="C2160" s="703"/>
      <c r="E2160" s="222"/>
      <c r="F2160" s="702"/>
    </row>
    <row r="2161">
      <c r="C2161" s="703"/>
      <c r="E2161" s="222"/>
      <c r="F2161" s="702"/>
    </row>
    <row r="2162">
      <c r="C2162" s="703"/>
      <c r="E2162" s="222"/>
      <c r="F2162" s="702"/>
    </row>
    <row r="2163">
      <c r="C2163" s="703"/>
      <c r="E2163" s="222"/>
      <c r="F2163" s="702"/>
    </row>
    <row r="2164">
      <c r="C2164" s="703"/>
      <c r="E2164" s="222"/>
      <c r="F2164" s="702"/>
    </row>
    <row r="2165">
      <c r="C2165" s="703"/>
      <c r="E2165" s="222"/>
      <c r="F2165" s="702"/>
    </row>
    <row r="2166">
      <c r="C2166" s="703"/>
      <c r="E2166" s="222"/>
      <c r="F2166" s="702"/>
    </row>
    <row r="2167">
      <c r="C2167" s="703"/>
      <c r="E2167" s="222"/>
      <c r="F2167" s="702"/>
    </row>
    <row r="2168">
      <c r="C2168" s="703"/>
      <c r="E2168" s="222"/>
      <c r="F2168" s="702"/>
    </row>
    <row r="2169">
      <c r="C2169" s="703"/>
      <c r="E2169" s="222"/>
      <c r="F2169" s="702"/>
    </row>
    <row r="2170">
      <c r="C2170" s="703"/>
      <c r="E2170" s="222"/>
      <c r="F2170" s="702"/>
    </row>
    <row r="2171">
      <c r="C2171" s="703"/>
      <c r="E2171" s="222"/>
      <c r="F2171" s="702"/>
    </row>
    <row r="2172">
      <c r="C2172" s="703"/>
      <c r="E2172" s="222"/>
      <c r="F2172" s="702"/>
    </row>
    <row r="2173">
      <c r="C2173" s="703"/>
      <c r="E2173" s="222"/>
      <c r="F2173" s="702"/>
    </row>
    <row r="2174">
      <c r="C2174" s="703"/>
      <c r="E2174" s="222"/>
      <c r="F2174" s="702"/>
    </row>
    <row r="2175">
      <c r="C2175" s="703"/>
      <c r="E2175" s="222"/>
      <c r="F2175" s="702"/>
    </row>
    <row r="2176">
      <c r="C2176" s="703"/>
      <c r="E2176" s="222"/>
      <c r="F2176" s="702"/>
    </row>
    <row r="2177">
      <c r="C2177" s="703"/>
      <c r="E2177" s="222"/>
      <c r="F2177" s="702"/>
    </row>
    <row r="2178">
      <c r="C2178" s="703"/>
      <c r="E2178" s="222"/>
      <c r="F2178" s="702"/>
    </row>
    <row r="2179">
      <c r="C2179" s="703"/>
      <c r="E2179" s="222"/>
      <c r="F2179" s="702"/>
    </row>
    <row r="2180">
      <c r="C2180" s="703"/>
      <c r="E2180" s="222"/>
      <c r="F2180" s="702"/>
    </row>
    <row r="2181">
      <c r="C2181" s="703"/>
      <c r="E2181" s="222"/>
      <c r="F2181" s="702"/>
    </row>
    <row r="2182">
      <c r="C2182" s="703"/>
      <c r="E2182" s="222"/>
      <c r="F2182" s="702"/>
    </row>
    <row r="2183">
      <c r="C2183" s="703"/>
      <c r="E2183" s="222"/>
      <c r="F2183" s="702"/>
    </row>
    <row r="2184">
      <c r="C2184" s="703"/>
      <c r="E2184" s="222"/>
      <c r="F2184" s="702"/>
    </row>
    <row r="2185">
      <c r="C2185" s="703"/>
      <c r="E2185" s="222"/>
      <c r="F2185" s="702"/>
    </row>
    <row r="2186">
      <c r="C2186" s="703"/>
      <c r="E2186" s="222"/>
      <c r="F2186" s="702"/>
    </row>
    <row r="2187">
      <c r="C2187" s="703"/>
      <c r="E2187" s="222"/>
      <c r="F2187" s="702"/>
    </row>
    <row r="2188">
      <c r="C2188" s="703"/>
      <c r="E2188" s="222"/>
      <c r="F2188" s="702"/>
    </row>
    <row r="2189">
      <c r="C2189" s="703"/>
      <c r="E2189" s="222"/>
      <c r="F2189" s="702"/>
    </row>
    <row r="2190">
      <c r="C2190" s="703"/>
      <c r="E2190" s="222"/>
      <c r="F2190" s="702"/>
    </row>
    <row r="2191">
      <c r="C2191" s="703"/>
      <c r="E2191" s="222"/>
      <c r="F2191" s="702"/>
    </row>
    <row r="2192">
      <c r="C2192" s="703"/>
      <c r="E2192" s="222"/>
      <c r="F2192" s="702"/>
    </row>
    <row r="2193">
      <c r="C2193" s="703"/>
      <c r="E2193" s="222"/>
      <c r="F2193" s="702"/>
    </row>
    <row r="2194">
      <c r="C2194" s="703"/>
      <c r="E2194" s="222"/>
      <c r="F2194" s="702"/>
    </row>
    <row r="2195">
      <c r="C2195" s="703"/>
      <c r="E2195" s="222"/>
      <c r="F2195" s="702"/>
    </row>
    <row r="2196">
      <c r="C2196" s="703"/>
      <c r="E2196" s="222"/>
      <c r="F2196" s="702"/>
    </row>
    <row r="2197">
      <c r="C2197" s="703"/>
      <c r="E2197" s="222"/>
      <c r="F2197" s="702"/>
    </row>
    <row r="2198">
      <c r="C2198" s="703"/>
      <c r="E2198" s="222"/>
      <c r="F2198" s="702"/>
    </row>
    <row r="2199">
      <c r="C2199" s="703"/>
      <c r="E2199" s="222"/>
      <c r="F2199" s="702"/>
    </row>
    <row r="2200">
      <c r="C2200" s="703"/>
      <c r="E2200" s="222"/>
      <c r="F2200" s="702"/>
    </row>
    <row r="2201">
      <c r="C2201" s="703"/>
      <c r="E2201" s="222"/>
      <c r="F2201" s="702"/>
    </row>
    <row r="2202">
      <c r="C2202" s="703"/>
      <c r="E2202" s="222"/>
      <c r="F2202" s="702"/>
    </row>
    <row r="2203">
      <c r="C2203" s="703"/>
      <c r="E2203" s="222"/>
      <c r="F2203" s="702"/>
    </row>
    <row r="2204">
      <c r="C2204" s="703"/>
      <c r="E2204" s="222"/>
      <c r="F2204" s="702"/>
    </row>
    <row r="2205">
      <c r="C2205" s="703"/>
      <c r="E2205" s="222"/>
      <c r="F2205" s="702"/>
    </row>
    <row r="2206">
      <c r="C2206" s="703"/>
      <c r="E2206" s="222"/>
      <c r="F2206" s="702"/>
    </row>
    <row r="2207">
      <c r="C2207" s="703"/>
      <c r="E2207" s="222"/>
      <c r="F2207" s="702"/>
    </row>
    <row r="2208">
      <c r="C2208" s="703"/>
      <c r="E2208" s="222"/>
      <c r="F2208" s="702"/>
    </row>
    <row r="2209">
      <c r="C2209" s="703"/>
      <c r="E2209" s="222"/>
      <c r="F2209" s="702"/>
    </row>
    <row r="2210">
      <c r="C2210" s="703"/>
      <c r="E2210" s="222"/>
      <c r="F2210" s="702"/>
    </row>
    <row r="2211">
      <c r="C2211" s="703"/>
      <c r="E2211" s="222"/>
      <c r="F2211" s="702"/>
    </row>
    <row r="2212">
      <c r="C2212" s="703"/>
      <c r="E2212" s="222"/>
      <c r="F2212" s="702"/>
    </row>
    <row r="2213">
      <c r="C2213" s="703"/>
      <c r="E2213" s="222"/>
      <c r="F2213" s="702"/>
    </row>
    <row r="2214">
      <c r="C2214" s="703"/>
      <c r="E2214" s="222"/>
      <c r="F2214" s="702"/>
    </row>
    <row r="2215">
      <c r="C2215" s="703"/>
      <c r="E2215" s="222"/>
      <c r="F2215" s="702"/>
    </row>
    <row r="2216">
      <c r="C2216" s="703"/>
      <c r="E2216" s="222"/>
      <c r="F2216" s="702"/>
    </row>
    <row r="2217">
      <c r="C2217" s="703"/>
      <c r="E2217" s="222"/>
      <c r="F2217" s="702"/>
    </row>
    <row r="2218">
      <c r="C2218" s="703"/>
      <c r="E2218" s="222"/>
      <c r="F2218" s="702"/>
    </row>
    <row r="2219">
      <c r="C2219" s="703"/>
      <c r="E2219" s="222"/>
      <c r="F2219" s="702"/>
    </row>
    <row r="2220">
      <c r="C2220" s="703"/>
      <c r="E2220" s="222"/>
      <c r="F2220" s="702"/>
    </row>
    <row r="2221">
      <c r="C2221" s="703"/>
      <c r="E2221" s="222"/>
      <c r="F2221" s="702"/>
    </row>
    <row r="2222">
      <c r="C2222" s="703"/>
      <c r="E2222" s="222"/>
      <c r="F2222" s="702"/>
    </row>
    <row r="2223">
      <c r="C2223" s="703"/>
      <c r="E2223" s="222"/>
      <c r="F2223" s="702"/>
    </row>
    <row r="2224">
      <c r="C2224" s="703"/>
      <c r="E2224" s="222"/>
      <c r="F2224" s="702"/>
    </row>
    <row r="2225">
      <c r="C2225" s="703"/>
      <c r="E2225" s="222"/>
      <c r="F2225" s="702"/>
    </row>
    <row r="2226">
      <c r="C2226" s="703"/>
      <c r="E2226" s="222"/>
      <c r="F2226" s="702"/>
    </row>
    <row r="2227">
      <c r="C2227" s="703"/>
      <c r="E2227" s="222"/>
      <c r="F2227" s="702"/>
    </row>
    <row r="2228">
      <c r="C2228" s="703"/>
      <c r="E2228" s="222"/>
      <c r="F2228" s="702"/>
    </row>
    <row r="2229">
      <c r="C2229" s="703"/>
      <c r="E2229" s="222"/>
      <c r="F2229" s="702"/>
    </row>
    <row r="2230">
      <c r="C2230" s="703"/>
      <c r="E2230" s="222"/>
      <c r="F2230" s="702"/>
    </row>
    <row r="2231">
      <c r="C2231" s="703"/>
      <c r="E2231" s="222"/>
      <c r="F2231" s="702"/>
    </row>
    <row r="2232">
      <c r="C2232" s="703"/>
      <c r="E2232" s="222"/>
      <c r="F2232" s="702"/>
    </row>
    <row r="2233">
      <c r="C2233" s="703"/>
      <c r="E2233" s="222"/>
      <c r="F2233" s="702"/>
    </row>
    <row r="2234">
      <c r="C2234" s="703"/>
      <c r="E2234" s="222"/>
      <c r="F2234" s="702"/>
    </row>
    <row r="2235">
      <c r="C2235" s="703"/>
      <c r="E2235" s="222"/>
      <c r="F2235" s="702"/>
    </row>
    <row r="2236">
      <c r="C2236" s="703"/>
      <c r="E2236" s="222"/>
      <c r="F2236" s="702"/>
    </row>
    <row r="2237">
      <c r="C2237" s="703"/>
      <c r="E2237" s="222"/>
      <c r="F2237" s="702"/>
    </row>
    <row r="2238">
      <c r="C2238" s="703"/>
      <c r="E2238" s="222"/>
      <c r="F2238" s="702"/>
    </row>
    <row r="2239">
      <c r="C2239" s="703"/>
      <c r="E2239" s="222"/>
      <c r="F2239" s="702"/>
    </row>
    <row r="2240">
      <c r="C2240" s="703"/>
      <c r="E2240" s="222"/>
      <c r="F2240" s="702"/>
    </row>
    <row r="2241">
      <c r="C2241" s="703"/>
      <c r="E2241" s="222"/>
      <c r="F2241" s="702"/>
    </row>
    <row r="2242">
      <c r="C2242" s="703"/>
      <c r="E2242" s="222"/>
      <c r="F2242" s="702"/>
    </row>
    <row r="2243">
      <c r="C2243" s="703"/>
      <c r="E2243" s="222"/>
      <c r="F2243" s="702"/>
    </row>
    <row r="2244">
      <c r="C2244" s="703"/>
      <c r="E2244" s="222"/>
      <c r="F2244" s="702"/>
    </row>
    <row r="2245">
      <c r="C2245" s="703"/>
      <c r="E2245" s="222"/>
      <c r="F2245" s="702"/>
    </row>
    <row r="2246">
      <c r="C2246" s="703"/>
      <c r="E2246" s="222"/>
      <c r="F2246" s="702"/>
    </row>
    <row r="2247">
      <c r="C2247" s="703"/>
      <c r="E2247" s="222"/>
      <c r="F2247" s="702"/>
    </row>
    <row r="2248">
      <c r="C2248" s="703"/>
      <c r="E2248" s="222"/>
      <c r="F2248" s="702"/>
    </row>
    <row r="2249">
      <c r="C2249" s="703"/>
      <c r="E2249" s="222"/>
      <c r="F2249" s="702"/>
    </row>
    <row r="2250">
      <c r="C2250" s="703"/>
      <c r="E2250" s="222"/>
      <c r="F2250" s="702"/>
    </row>
    <row r="2251">
      <c r="C2251" s="703"/>
      <c r="E2251" s="222"/>
      <c r="F2251" s="702"/>
    </row>
    <row r="2252">
      <c r="C2252" s="703"/>
      <c r="E2252" s="222"/>
      <c r="F2252" s="702"/>
    </row>
    <row r="2253">
      <c r="C2253" s="703"/>
      <c r="E2253" s="222"/>
      <c r="F2253" s="702"/>
    </row>
    <row r="2254">
      <c r="C2254" s="703"/>
      <c r="E2254" s="222"/>
      <c r="F2254" s="702"/>
    </row>
    <row r="2255">
      <c r="C2255" s="703"/>
      <c r="E2255" s="222"/>
      <c r="F2255" s="702"/>
    </row>
    <row r="2256">
      <c r="C2256" s="703"/>
      <c r="E2256" s="222"/>
      <c r="F2256" s="702"/>
    </row>
    <row r="2257">
      <c r="C2257" s="703"/>
      <c r="E2257" s="222"/>
      <c r="F2257" s="702"/>
    </row>
    <row r="2258">
      <c r="C2258" s="703"/>
      <c r="E2258" s="222"/>
      <c r="F2258" s="702"/>
    </row>
    <row r="2259">
      <c r="C2259" s="703"/>
      <c r="E2259" s="222"/>
      <c r="F2259" s="702"/>
    </row>
    <row r="2260">
      <c r="C2260" s="703"/>
      <c r="E2260" s="222"/>
      <c r="F2260" s="702"/>
    </row>
    <row r="2261">
      <c r="C2261" s="703"/>
      <c r="E2261" s="222"/>
      <c r="F2261" s="702"/>
    </row>
    <row r="2262">
      <c r="C2262" s="703"/>
      <c r="E2262" s="222"/>
      <c r="F2262" s="702"/>
    </row>
    <row r="2263">
      <c r="C2263" s="703"/>
      <c r="E2263" s="222"/>
      <c r="F2263" s="702"/>
    </row>
    <row r="2264">
      <c r="C2264" s="703"/>
      <c r="E2264" s="222"/>
      <c r="F2264" s="702"/>
    </row>
    <row r="2265">
      <c r="C2265" s="703"/>
      <c r="E2265" s="222"/>
      <c r="F2265" s="702"/>
    </row>
    <row r="2266">
      <c r="C2266" s="703"/>
      <c r="E2266" s="222"/>
      <c r="F2266" s="702"/>
    </row>
    <row r="2267">
      <c r="C2267" s="703"/>
      <c r="E2267" s="222"/>
      <c r="F2267" s="702"/>
    </row>
    <row r="2268">
      <c r="C2268" s="703"/>
      <c r="E2268" s="222"/>
      <c r="F2268" s="702"/>
    </row>
    <row r="2269">
      <c r="C2269" s="703"/>
      <c r="E2269" s="222"/>
      <c r="F2269" s="702"/>
    </row>
    <row r="2270">
      <c r="C2270" s="703"/>
      <c r="E2270" s="222"/>
      <c r="F2270" s="702"/>
    </row>
    <row r="2271">
      <c r="C2271" s="703"/>
      <c r="E2271" s="222"/>
      <c r="F2271" s="702"/>
    </row>
    <row r="2272">
      <c r="C2272" s="703"/>
      <c r="E2272" s="222"/>
      <c r="F2272" s="702"/>
    </row>
    <row r="2273">
      <c r="C2273" s="703"/>
      <c r="E2273" s="222"/>
      <c r="F2273" s="702"/>
    </row>
    <row r="2274">
      <c r="C2274" s="703"/>
      <c r="E2274" s="222"/>
      <c r="F2274" s="702"/>
    </row>
    <row r="2275">
      <c r="C2275" s="703"/>
      <c r="E2275" s="222"/>
      <c r="F2275" s="702"/>
    </row>
    <row r="2276">
      <c r="C2276" s="703"/>
      <c r="E2276" s="222"/>
      <c r="F2276" s="702"/>
    </row>
    <row r="2277">
      <c r="C2277" s="703"/>
      <c r="E2277" s="222"/>
      <c r="F2277" s="702"/>
    </row>
    <row r="2278">
      <c r="C2278" s="703"/>
      <c r="E2278" s="222"/>
      <c r="F2278" s="702"/>
    </row>
    <row r="2279">
      <c r="C2279" s="703"/>
      <c r="E2279" s="222"/>
      <c r="F2279" s="702"/>
    </row>
    <row r="2280">
      <c r="C2280" s="703"/>
      <c r="E2280" s="222"/>
      <c r="F2280" s="702"/>
    </row>
    <row r="2281">
      <c r="C2281" s="703"/>
      <c r="E2281" s="222"/>
      <c r="F2281" s="702"/>
    </row>
    <row r="2282">
      <c r="C2282" s="703"/>
      <c r="E2282" s="222"/>
      <c r="F2282" s="702"/>
    </row>
    <row r="2283">
      <c r="C2283" s="703"/>
      <c r="E2283" s="222"/>
      <c r="F2283" s="702"/>
    </row>
    <row r="2284">
      <c r="C2284" s="703"/>
      <c r="E2284" s="222"/>
      <c r="F2284" s="702"/>
    </row>
    <row r="2285">
      <c r="C2285" s="703"/>
      <c r="E2285" s="222"/>
      <c r="F2285" s="702"/>
    </row>
    <row r="2286">
      <c r="C2286" s="703"/>
      <c r="E2286" s="222"/>
      <c r="F2286" s="702"/>
    </row>
    <row r="2287">
      <c r="C2287" s="703"/>
      <c r="E2287" s="222"/>
      <c r="F2287" s="702"/>
    </row>
    <row r="2288">
      <c r="C2288" s="703"/>
      <c r="E2288" s="222"/>
      <c r="F2288" s="702"/>
    </row>
    <row r="2289">
      <c r="C2289" s="703"/>
      <c r="E2289" s="222"/>
      <c r="F2289" s="702"/>
    </row>
    <row r="2290">
      <c r="C2290" s="703"/>
      <c r="E2290" s="222"/>
      <c r="F2290" s="702"/>
    </row>
    <row r="2291">
      <c r="C2291" s="703"/>
      <c r="E2291" s="222"/>
      <c r="F2291" s="702"/>
    </row>
    <row r="2292">
      <c r="C2292" s="703"/>
      <c r="E2292" s="222"/>
      <c r="F2292" s="702"/>
    </row>
    <row r="2293">
      <c r="C2293" s="703"/>
      <c r="E2293" s="222"/>
      <c r="F2293" s="702"/>
    </row>
    <row r="2294">
      <c r="C2294" s="703"/>
      <c r="E2294" s="222"/>
      <c r="F2294" s="702"/>
    </row>
    <row r="2295">
      <c r="C2295" s="703"/>
      <c r="E2295" s="222"/>
      <c r="F2295" s="702"/>
    </row>
    <row r="2296">
      <c r="C2296" s="703"/>
      <c r="E2296" s="222"/>
      <c r="F2296" s="702"/>
    </row>
    <row r="2297">
      <c r="C2297" s="703"/>
      <c r="E2297" s="222"/>
      <c r="F2297" s="702"/>
    </row>
    <row r="2298">
      <c r="C2298" s="703"/>
      <c r="E2298" s="222"/>
      <c r="F2298" s="702"/>
    </row>
    <row r="2299">
      <c r="C2299" s="703"/>
      <c r="E2299" s="222"/>
      <c r="F2299" s="702"/>
    </row>
    <row r="2300">
      <c r="C2300" s="703"/>
      <c r="E2300" s="222"/>
      <c r="F2300" s="702"/>
    </row>
    <row r="2301">
      <c r="C2301" s="703"/>
      <c r="E2301" s="222"/>
      <c r="F2301" s="702"/>
    </row>
    <row r="2302">
      <c r="C2302" s="703"/>
      <c r="E2302" s="222"/>
      <c r="F2302" s="702"/>
    </row>
    <row r="2303">
      <c r="C2303" s="703"/>
      <c r="E2303" s="222"/>
      <c r="F2303" s="702"/>
    </row>
    <row r="2304">
      <c r="C2304" s="703"/>
      <c r="E2304" s="222"/>
      <c r="F2304" s="702"/>
    </row>
    <row r="2305">
      <c r="C2305" s="703"/>
      <c r="E2305" s="222"/>
      <c r="F2305" s="702"/>
    </row>
    <row r="2306">
      <c r="C2306" s="703"/>
      <c r="E2306" s="222"/>
      <c r="F2306" s="702"/>
    </row>
    <row r="2307">
      <c r="C2307" s="703"/>
      <c r="E2307" s="222"/>
      <c r="F2307" s="702"/>
    </row>
    <row r="2308">
      <c r="C2308" s="703"/>
      <c r="E2308" s="222"/>
      <c r="F2308" s="702"/>
    </row>
    <row r="2309">
      <c r="C2309" s="703"/>
      <c r="E2309" s="222"/>
      <c r="F2309" s="702"/>
    </row>
    <row r="2310">
      <c r="C2310" s="703"/>
      <c r="E2310" s="222"/>
      <c r="F2310" s="702"/>
    </row>
    <row r="2311">
      <c r="C2311" s="703"/>
      <c r="E2311" s="222"/>
      <c r="F2311" s="702"/>
    </row>
    <row r="2312">
      <c r="C2312" s="703"/>
      <c r="E2312" s="222"/>
      <c r="F2312" s="702"/>
    </row>
    <row r="2313">
      <c r="C2313" s="703"/>
      <c r="E2313" s="222"/>
      <c r="F2313" s="702"/>
    </row>
    <row r="2314">
      <c r="C2314" s="703"/>
      <c r="E2314" s="222"/>
      <c r="F2314" s="702"/>
    </row>
    <row r="2315">
      <c r="C2315" s="703"/>
      <c r="E2315" s="222"/>
      <c r="F2315" s="702"/>
    </row>
    <row r="2316">
      <c r="C2316" s="703"/>
      <c r="E2316" s="222"/>
      <c r="F2316" s="702"/>
    </row>
    <row r="2317">
      <c r="C2317" s="703"/>
      <c r="E2317" s="222"/>
      <c r="F2317" s="702"/>
    </row>
    <row r="2318">
      <c r="C2318" s="703"/>
      <c r="E2318" s="222"/>
      <c r="F2318" s="702"/>
    </row>
    <row r="2319">
      <c r="C2319" s="703"/>
      <c r="E2319" s="222"/>
      <c r="F2319" s="702"/>
    </row>
    <row r="2320">
      <c r="C2320" s="703"/>
      <c r="E2320" s="222"/>
      <c r="F2320" s="702"/>
    </row>
    <row r="2321">
      <c r="C2321" s="703"/>
      <c r="E2321" s="222"/>
      <c r="F2321" s="702"/>
    </row>
    <row r="2322">
      <c r="C2322" s="703"/>
      <c r="E2322" s="222"/>
      <c r="F2322" s="702"/>
    </row>
    <row r="2323">
      <c r="C2323" s="703"/>
      <c r="E2323" s="222"/>
      <c r="F2323" s="702"/>
    </row>
    <row r="2324">
      <c r="C2324" s="703"/>
      <c r="E2324" s="222"/>
      <c r="F2324" s="702"/>
    </row>
    <row r="2325">
      <c r="C2325" s="703"/>
      <c r="E2325" s="222"/>
      <c r="F2325" s="702"/>
    </row>
    <row r="2326">
      <c r="C2326" s="703"/>
      <c r="E2326" s="222"/>
      <c r="F2326" s="702"/>
    </row>
    <row r="2327">
      <c r="C2327" s="703"/>
      <c r="E2327" s="222"/>
      <c r="F2327" s="702"/>
    </row>
    <row r="2328">
      <c r="C2328" s="703"/>
      <c r="E2328" s="222"/>
      <c r="F2328" s="702"/>
    </row>
    <row r="2329">
      <c r="C2329" s="703"/>
      <c r="E2329" s="222"/>
      <c r="F2329" s="702"/>
    </row>
    <row r="2330">
      <c r="C2330" s="703"/>
      <c r="E2330" s="222"/>
      <c r="F2330" s="702"/>
    </row>
    <row r="2331">
      <c r="C2331" s="703"/>
      <c r="E2331" s="222"/>
      <c r="F2331" s="702"/>
    </row>
    <row r="2332">
      <c r="C2332" s="703"/>
      <c r="E2332" s="222"/>
      <c r="F2332" s="702"/>
    </row>
    <row r="2333">
      <c r="C2333" s="703"/>
      <c r="E2333" s="222"/>
      <c r="F2333" s="702"/>
    </row>
    <row r="2334">
      <c r="C2334" s="703"/>
      <c r="E2334" s="222"/>
      <c r="F2334" s="702"/>
    </row>
    <row r="2335">
      <c r="C2335" s="703"/>
      <c r="E2335" s="222"/>
      <c r="F2335" s="702"/>
    </row>
    <row r="2336">
      <c r="C2336" s="703"/>
      <c r="E2336" s="222"/>
      <c r="F2336" s="702"/>
    </row>
    <row r="2337">
      <c r="C2337" s="703"/>
      <c r="E2337" s="222"/>
      <c r="F2337" s="702"/>
    </row>
    <row r="2338">
      <c r="C2338" s="703"/>
      <c r="E2338" s="222"/>
      <c r="F2338" s="702"/>
    </row>
    <row r="2339">
      <c r="C2339" s="703"/>
      <c r="E2339" s="222"/>
      <c r="F2339" s="702"/>
    </row>
    <row r="2340">
      <c r="C2340" s="703"/>
      <c r="E2340" s="222"/>
      <c r="F2340" s="702"/>
    </row>
    <row r="2341">
      <c r="C2341" s="703"/>
      <c r="E2341" s="222"/>
      <c r="F2341" s="702"/>
    </row>
    <row r="2342">
      <c r="C2342" s="703"/>
      <c r="E2342" s="222"/>
      <c r="F2342" s="702"/>
    </row>
    <row r="2343">
      <c r="C2343" s="703"/>
      <c r="E2343" s="222"/>
      <c r="F2343" s="702"/>
    </row>
    <row r="2344">
      <c r="C2344" s="703"/>
      <c r="E2344" s="222"/>
      <c r="F2344" s="702"/>
    </row>
    <row r="2345">
      <c r="C2345" s="703"/>
      <c r="E2345" s="222"/>
      <c r="F2345" s="702"/>
    </row>
    <row r="2346">
      <c r="C2346" s="703"/>
      <c r="E2346" s="222"/>
      <c r="F2346" s="702"/>
    </row>
    <row r="2347">
      <c r="C2347" s="703"/>
      <c r="E2347" s="222"/>
      <c r="F2347" s="702"/>
    </row>
    <row r="2348">
      <c r="C2348" s="703"/>
      <c r="E2348" s="222"/>
      <c r="F2348" s="702"/>
    </row>
    <row r="2349">
      <c r="C2349" s="703"/>
      <c r="E2349" s="222"/>
      <c r="F2349" s="702"/>
    </row>
    <row r="2350">
      <c r="C2350" s="703"/>
      <c r="E2350" s="222"/>
      <c r="F2350" s="702"/>
    </row>
    <row r="2351">
      <c r="C2351" s="703"/>
      <c r="E2351" s="222"/>
      <c r="F2351" s="702"/>
    </row>
    <row r="2352">
      <c r="C2352" s="703"/>
      <c r="E2352" s="222"/>
      <c r="F2352" s="702"/>
    </row>
    <row r="2353">
      <c r="C2353" s="703"/>
      <c r="E2353" s="222"/>
      <c r="F2353" s="702"/>
    </row>
    <row r="2354">
      <c r="C2354" s="703"/>
      <c r="E2354" s="222"/>
      <c r="F2354" s="702"/>
    </row>
    <row r="2355">
      <c r="C2355" s="703"/>
      <c r="E2355" s="222"/>
      <c r="F2355" s="702"/>
    </row>
    <row r="2356">
      <c r="C2356" s="703"/>
      <c r="E2356" s="222"/>
      <c r="F2356" s="702"/>
    </row>
    <row r="2357">
      <c r="C2357" s="703"/>
      <c r="E2357" s="222"/>
      <c r="F2357" s="702"/>
    </row>
    <row r="2358">
      <c r="C2358" s="703"/>
      <c r="E2358" s="222"/>
      <c r="F2358" s="702"/>
    </row>
    <row r="2359">
      <c r="C2359" s="703"/>
      <c r="E2359" s="222"/>
      <c r="F2359" s="702"/>
    </row>
    <row r="2360">
      <c r="C2360" s="703"/>
      <c r="E2360" s="222"/>
      <c r="F2360" s="702"/>
    </row>
    <row r="2361">
      <c r="C2361" s="703"/>
      <c r="E2361" s="222"/>
      <c r="F2361" s="702"/>
    </row>
    <row r="2362">
      <c r="C2362" s="703"/>
      <c r="E2362" s="222"/>
      <c r="F2362" s="702"/>
    </row>
    <row r="2363">
      <c r="C2363" s="703"/>
      <c r="E2363" s="222"/>
      <c r="F2363" s="702"/>
    </row>
    <row r="2364">
      <c r="C2364" s="703"/>
      <c r="E2364" s="222"/>
      <c r="F2364" s="702"/>
    </row>
    <row r="2365">
      <c r="C2365" s="703"/>
      <c r="E2365" s="222"/>
      <c r="F2365" s="702"/>
    </row>
    <row r="2366">
      <c r="C2366" s="703"/>
      <c r="E2366" s="222"/>
      <c r="F2366" s="702"/>
    </row>
    <row r="2367">
      <c r="C2367" s="703"/>
      <c r="E2367" s="222"/>
      <c r="F2367" s="702"/>
    </row>
    <row r="2368">
      <c r="C2368" s="703"/>
      <c r="E2368" s="222"/>
      <c r="F2368" s="702"/>
    </row>
    <row r="2369">
      <c r="C2369" s="703"/>
      <c r="E2369" s="222"/>
      <c r="F2369" s="702"/>
    </row>
    <row r="2370">
      <c r="C2370" s="703"/>
      <c r="E2370" s="222"/>
      <c r="F2370" s="702"/>
    </row>
    <row r="2371">
      <c r="C2371" s="703"/>
      <c r="E2371" s="222"/>
      <c r="F2371" s="702"/>
    </row>
    <row r="2372">
      <c r="C2372" s="703"/>
      <c r="E2372" s="222"/>
      <c r="F2372" s="702"/>
    </row>
    <row r="2373">
      <c r="C2373" s="703"/>
      <c r="E2373" s="222"/>
      <c r="F2373" s="702"/>
    </row>
    <row r="2374">
      <c r="C2374" s="703"/>
      <c r="E2374" s="222"/>
      <c r="F2374" s="702"/>
    </row>
    <row r="2375">
      <c r="C2375" s="703"/>
      <c r="E2375" s="222"/>
      <c r="F2375" s="702"/>
    </row>
    <row r="2376">
      <c r="C2376" s="703"/>
      <c r="E2376" s="222"/>
      <c r="F2376" s="702"/>
    </row>
    <row r="2377">
      <c r="C2377" s="703"/>
      <c r="E2377" s="222"/>
      <c r="F2377" s="702"/>
    </row>
    <row r="2378">
      <c r="C2378" s="703"/>
      <c r="E2378" s="222"/>
      <c r="F2378" s="702"/>
    </row>
    <row r="2379">
      <c r="C2379" s="703"/>
      <c r="E2379" s="222"/>
      <c r="F2379" s="702"/>
    </row>
    <row r="2380">
      <c r="C2380" s="703"/>
      <c r="E2380" s="222"/>
      <c r="F2380" s="702"/>
    </row>
    <row r="2381">
      <c r="C2381" s="703"/>
      <c r="E2381" s="222"/>
      <c r="F2381" s="702"/>
    </row>
    <row r="2382">
      <c r="C2382" s="703"/>
      <c r="E2382" s="222"/>
      <c r="F2382" s="702"/>
    </row>
    <row r="2383">
      <c r="C2383" s="703"/>
      <c r="E2383" s="222"/>
      <c r="F2383" s="702"/>
    </row>
    <row r="2384">
      <c r="C2384" s="703"/>
      <c r="E2384" s="222"/>
      <c r="F2384" s="702"/>
    </row>
    <row r="2385">
      <c r="C2385" s="703"/>
      <c r="E2385" s="222"/>
      <c r="F2385" s="702"/>
    </row>
    <row r="2386">
      <c r="C2386" s="703"/>
      <c r="E2386" s="222"/>
      <c r="F2386" s="702"/>
    </row>
    <row r="2387">
      <c r="C2387" s="703"/>
      <c r="E2387" s="222"/>
      <c r="F2387" s="702"/>
    </row>
    <row r="2388">
      <c r="C2388" s="703"/>
      <c r="E2388" s="222"/>
      <c r="F2388" s="702"/>
    </row>
    <row r="2389">
      <c r="C2389" s="703"/>
      <c r="E2389" s="222"/>
      <c r="F2389" s="702"/>
    </row>
    <row r="2390">
      <c r="C2390" s="703"/>
      <c r="E2390" s="222"/>
      <c r="F2390" s="702"/>
    </row>
    <row r="2391">
      <c r="C2391" s="703"/>
      <c r="E2391" s="222"/>
      <c r="F2391" s="702"/>
    </row>
    <row r="2392">
      <c r="C2392" s="703"/>
      <c r="E2392" s="222"/>
      <c r="F2392" s="702"/>
    </row>
    <row r="2393">
      <c r="C2393" s="703"/>
      <c r="E2393" s="222"/>
      <c r="F2393" s="702"/>
    </row>
    <row r="2394">
      <c r="C2394" s="703"/>
      <c r="E2394" s="222"/>
      <c r="F2394" s="702"/>
    </row>
    <row r="2395">
      <c r="C2395" s="703"/>
      <c r="E2395" s="222"/>
      <c r="F2395" s="702"/>
    </row>
    <row r="2396">
      <c r="C2396" s="703"/>
      <c r="E2396" s="222"/>
      <c r="F2396" s="702"/>
    </row>
    <row r="2397">
      <c r="C2397" s="703"/>
      <c r="E2397" s="222"/>
      <c r="F2397" s="702"/>
    </row>
    <row r="2398">
      <c r="C2398" s="703"/>
      <c r="E2398" s="222"/>
      <c r="F2398" s="702"/>
    </row>
    <row r="2399">
      <c r="C2399" s="703"/>
      <c r="E2399" s="222"/>
      <c r="F2399" s="702"/>
    </row>
    <row r="2400">
      <c r="C2400" s="703"/>
      <c r="E2400" s="222"/>
      <c r="F2400" s="702"/>
    </row>
    <row r="2401">
      <c r="C2401" s="703"/>
      <c r="E2401" s="222"/>
      <c r="F2401" s="702"/>
    </row>
    <row r="2402">
      <c r="C2402" s="703"/>
      <c r="E2402" s="222"/>
      <c r="F2402" s="702"/>
    </row>
    <row r="2403">
      <c r="C2403" s="703"/>
      <c r="E2403" s="222"/>
      <c r="F2403" s="702"/>
    </row>
    <row r="2404">
      <c r="C2404" s="703"/>
      <c r="E2404" s="222"/>
      <c r="F2404" s="702"/>
    </row>
    <row r="2405">
      <c r="C2405" s="703"/>
      <c r="E2405" s="222"/>
      <c r="F2405" s="702"/>
    </row>
    <row r="2406">
      <c r="C2406" s="703"/>
      <c r="E2406" s="222"/>
      <c r="F2406" s="702"/>
    </row>
    <row r="2407">
      <c r="C2407" s="703"/>
      <c r="E2407" s="222"/>
      <c r="F2407" s="702"/>
    </row>
    <row r="2408">
      <c r="C2408" s="703"/>
      <c r="E2408" s="222"/>
      <c r="F2408" s="702"/>
    </row>
    <row r="2409">
      <c r="C2409" s="703"/>
      <c r="E2409" s="222"/>
      <c r="F2409" s="702"/>
    </row>
    <row r="2410">
      <c r="C2410" s="703"/>
      <c r="E2410" s="222"/>
      <c r="F2410" s="702"/>
    </row>
    <row r="2411">
      <c r="C2411" s="703"/>
      <c r="E2411" s="222"/>
      <c r="F2411" s="702"/>
    </row>
    <row r="2412">
      <c r="C2412" s="703"/>
      <c r="E2412" s="222"/>
      <c r="F2412" s="702"/>
    </row>
    <row r="2413">
      <c r="C2413" s="703"/>
      <c r="E2413" s="222"/>
      <c r="F2413" s="702"/>
    </row>
    <row r="2414">
      <c r="C2414" s="703"/>
      <c r="E2414" s="222"/>
      <c r="F2414" s="702"/>
    </row>
    <row r="2415">
      <c r="C2415" s="703"/>
      <c r="E2415" s="222"/>
      <c r="F2415" s="702"/>
    </row>
    <row r="2416">
      <c r="C2416" s="703"/>
      <c r="E2416" s="222"/>
      <c r="F2416" s="702"/>
    </row>
    <row r="2417">
      <c r="C2417" s="703"/>
      <c r="E2417" s="222"/>
      <c r="F2417" s="702"/>
    </row>
    <row r="2418">
      <c r="C2418" s="703"/>
      <c r="E2418" s="222"/>
      <c r="F2418" s="702"/>
    </row>
    <row r="2419">
      <c r="C2419" s="703"/>
      <c r="E2419" s="222"/>
      <c r="F2419" s="702"/>
    </row>
    <row r="2420">
      <c r="C2420" s="703"/>
      <c r="E2420" s="222"/>
      <c r="F2420" s="702"/>
    </row>
    <row r="2421">
      <c r="C2421" s="703"/>
      <c r="E2421" s="222"/>
      <c r="F2421" s="702"/>
    </row>
    <row r="2422">
      <c r="C2422" s="703"/>
      <c r="E2422" s="222"/>
      <c r="F2422" s="702"/>
    </row>
    <row r="2423">
      <c r="C2423" s="703"/>
      <c r="E2423" s="222"/>
      <c r="F2423" s="702"/>
    </row>
    <row r="2424">
      <c r="C2424" s="703"/>
      <c r="E2424" s="222"/>
      <c r="F2424" s="702"/>
    </row>
    <row r="2425">
      <c r="C2425" s="703"/>
      <c r="E2425" s="222"/>
      <c r="F2425" s="702"/>
    </row>
    <row r="2426">
      <c r="C2426" s="703"/>
      <c r="E2426" s="222"/>
      <c r="F2426" s="702"/>
    </row>
    <row r="2427">
      <c r="C2427" s="703"/>
      <c r="E2427" s="222"/>
      <c r="F2427" s="702"/>
    </row>
    <row r="2428">
      <c r="C2428" s="703"/>
      <c r="E2428" s="222"/>
      <c r="F2428" s="702"/>
    </row>
    <row r="2429">
      <c r="C2429" s="703"/>
      <c r="E2429" s="222"/>
      <c r="F2429" s="702"/>
    </row>
    <row r="2430">
      <c r="C2430" s="703"/>
      <c r="E2430" s="222"/>
      <c r="F2430" s="702"/>
    </row>
    <row r="2431">
      <c r="C2431" s="703"/>
      <c r="E2431" s="222"/>
      <c r="F2431" s="702"/>
    </row>
    <row r="2432">
      <c r="C2432" s="703"/>
      <c r="E2432" s="222"/>
      <c r="F2432" s="702"/>
    </row>
    <row r="2433">
      <c r="C2433" s="703"/>
      <c r="E2433" s="222"/>
      <c r="F2433" s="702"/>
    </row>
    <row r="2434">
      <c r="C2434" s="703"/>
      <c r="E2434" s="222"/>
      <c r="F2434" s="702"/>
    </row>
    <row r="2435">
      <c r="C2435" s="703"/>
      <c r="E2435" s="222"/>
      <c r="F2435" s="702"/>
    </row>
    <row r="2436">
      <c r="C2436" s="703"/>
      <c r="E2436" s="222"/>
      <c r="F2436" s="702"/>
    </row>
    <row r="2437">
      <c r="C2437" s="703"/>
      <c r="E2437" s="222"/>
      <c r="F2437" s="702"/>
    </row>
    <row r="2438">
      <c r="C2438" s="703"/>
      <c r="E2438" s="222"/>
      <c r="F2438" s="702"/>
    </row>
    <row r="2439">
      <c r="C2439" s="703"/>
      <c r="E2439" s="222"/>
      <c r="F2439" s="702"/>
    </row>
    <row r="2440">
      <c r="C2440" s="703"/>
      <c r="E2440" s="222"/>
      <c r="F2440" s="702"/>
    </row>
    <row r="2441">
      <c r="C2441" s="703"/>
      <c r="E2441" s="222"/>
      <c r="F2441" s="702"/>
    </row>
    <row r="2442">
      <c r="C2442" s="703"/>
      <c r="E2442" s="222"/>
      <c r="F2442" s="702"/>
    </row>
    <row r="2443">
      <c r="C2443" s="703"/>
      <c r="E2443" s="222"/>
      <c r="F2443" s="702"/>
    </row>
    <row r="2444">
      <c r="C2444" s="703"/>
      <c r="E2444" s="222"/>
      <c r="F2444" s="702"/>
    </row>
    <row r="2445">
      <c r="C2445" s="703"/>
      <c r="E2445" s="222"/>
      <c r="F2445" s="702"/>
    </row>
    <row r="2446">
      <c r="C2446" s="703"/>
      <c r="E2446" s="222"/>
      <c r="F2446" s="702"/>
    </row>
    <row r="2447">
      <c r="C2447" s="703"/>
      <c r="E2447" s="222"/>
      <c r="F2447" s="702"/>
    </row>
    <row r="2448">
      <c r="C2448" s="703"/>
      <c r="E2448" s="222"/>
      <c r="F2448" s="702"/>
    </row>
    <row r="2449">
      <c r="C2449" s="703"/>
      <c r="E2449" s="222"/>
      <c r="F2449" s="702"/>
    </row>
    <row r="2450">
      <c r="C2450" s="703"/>
      <c r="E2450" s="222"/>
      <c r="F2450" s="702"/>
    </row>
    <row r="2451">
      <c r="C2451" s="703"/>
      <c r="E2451" s="222"/>
      <c r="F2451" s="702"/>
    </row>
    <row r="2452">
      <c r="C2452" s="703"/>
      <c r="E2452" s="222"/>
      <c r="F2452" s="702"/>
    </row>
    <row r="2453">
      <c r="C2453" s="703"/>
      <c r="E2453" s="222"/>
      <c r="F2453" s="702"/>
    </row>
    <row r="2454">
      <c r="C2454" s="703"/>
      <c r="E2454" s="222"/>
      <c r="F2454" s="702"/>
    </row>
    <row r="2455">
      <c r="C2455" s="703"/>
      <c r="E2455" s="222"/>
      <c r="F2455" s="702"/>
    </row>
    <row r="2456">
      <c r="C2456" s="703"/>
      <c r="E2456" s="222"/>
      <c r="F2456" s="702"/>
    </row>
    <row r="2457">
      <c r="C2457" s="703"/>
      <c r="E2457" s="222"/>
      <c r="F2457" s="702"/>
    </row>
    <row r="2458">
      <c r="C2458" s="703"/>
      <c r="E2458" s="222"/>
      <c r="F2458" s="702"/>
    </row>
    <row r="2459">
      <c r="C2459" s="703"/>
      <c r="E2459" s="222"/>
      <c r="F2459" s="702"/>
    </row>
    <row r="2460">
      <c r="C2460" s="703"/>
      <c r="E2460" s="222"/>
      <c r="F2460" s="702"/>
    </row>
    <row r="2461">
      <c r="C2461" s="703"/>
      <c r="E2461" s="222"/>
      <c r="F2461" s="702"/>
    </row>
    <row r="2462">
      <c r="C2462" s="703"/>
      <c r="E2462" s="222"/>
      <c r="F2462" s="702"/>
    </row>
    <row r="2463">
      <c r="C2463" s="703"/>
      <c r="E2463" s="222"/>
      <c r="F2463" s="702"/>
    </row>
    <row r="2464">
      <c r="C2464" s="703"/>
      <c r="E2464" s="222"/>
      <c r="F2464" s="702"/>
    </row>
    <row r="2465">
      <c r="C2465" s="703"/>
      <c r="E2465" s="222"/>
      <c r="F2465" s="702"/>
    </row>
    <row r="2466">
      <c r="C2466" s="703"/>
      <c r="E2466" s="222"/>
      <c r="F2466" s="702"/>
    </row>
    <row r="2467">
      <c r="C2467" s="703"/>
      <c r="E2467" s="222"/>
      <c r="F2467" s="702"/>
    </row>
    <row r="2468">
      <c r="C2468" s="703"/>
      <c r="E2468" s="222"/>
      <c r="F2468" s="702"/>
    </row>
    <row r="2469">
      <c r="C2469" s="703"/>
      <c r="E2469" s="222"/>
      <c r="F2469" s="702"/>
    </row>
    <row r="2470">
      <c r="C2470" s="703"/>
      <c r="E2470" s="222"/>
      <c r="F2470" s="702"/>
    </row>
    <row r="2471">
      <c r="C2471" s="703"/>
      <c r="E2471" s="222"/>
      <c r="F2471" s="702"/>
    </row>
    <row r="2472">
      <c r="C2472" s="703"/>
      <c r="E2472" s="222"/>
      <c r="F2472" s="702"/>
    </row>
    <row r="2473">
      <c r="C2473" s="703"/>
      <c r="E2473" s="222"/>
      <c r="F2473" s="702"/>
    </row>
    <row r="2474">
      <c r="C2474" s="703"/>
      <c r="E2474" s="222"/>
      <c r="F2474" s="702"/>
    </row>
    <row r="2475">
      <c r="C2475" s="703"/>
      <c r="E2475" s="222"/>
      <c r="F2475" s="702"/>
    </row>
    <row r="2476">
      <c r="C2476" s="703"/>
      <c r="E2476" s="222"/>
      <c r="F2476" s="702"/>
    </row>
    <row r="2477">
      <c r="C2477" s="703"/>
      <c r="E2477" s="222"/>
      <c r="F2477" s="702"/>
    </row>
    <row r="2478">
      <c r="C2478" s="703"/>
      <c r="E2478" s="222"/>
      <c r="F2478" s="702"/>
    </row>
    <row r="2479">
      <c r="C2479" s="703"/>
      <c r="E2479" s="222"/>
      <c r="F2479" s="702"/>
    </row>
    <row r="2480">
      <c r="C2480" s="703"/>
      <c r="E2480" s="222"/>
      <c r="F2480" s="702"/>
    </row>
    <row r="2481">
      <c r="C2481" s="703"/>
      <c r="E2481" s="222"/>
      <c r="F2481" s="702"/>
    </row>
    <row r="2482">
      <c r="C2482" s="703"/>
      <c r="E2482" s="222"/>
      <c r="F2482" s="702"/>
    </row>
    <row r="2483">
      <c r="C2483" s="703"/>
      <c r="E2483" s="222"/>
      <c r="F2483" s="702"/>
    </row>
    <row r="2484">
      <c r="C2484" s="703"/>
      <c r="E2484" s="222"/>
      <c r="F2484" s="702"/>
    </row>
    <row r="2485">
      <c r="C2485" s="703"/>
      <c r="E2485" s="222"/>
      <c r="F2485" s="702"/>
    </row>
    <row r="2486">
      <c r="C2486" s="703"/>
      <c r="E2486" s="222"/>
      <c r="F2486" s="702"/>
    </row>
    <row r="2487">
      <c r="C2487" s="703"/>
      <c r="E2487" s="222"/>
      <c r="F2487" s="702"/>
    </row>
    <row r="2488">
      <c r="C2488" s="703"/>
      <c r="E2488" s="222"/>
      <c r="F2488" s="702"/>
    </row>
    <row r="2489">
      <c r="C2489" s="703"/>
      <c r="E2489" s="222"/>
      <c r="F2489" s="702"/>
    </row>
    <row r="2490">
      <c r="C2490" s="703"/>
      <c r="E2490" s="222"/>
      <c r="F2490" s="702"/>
    </row>
    <row r="2491">
      <c r="C2491" s="703"/>
      <c r="E2491" s="222"/>
      <c r="F2491" s="702"/>
    </row>
    <row r="2492">
      <c r="C2492" s="703"/>
      <c r="E2492" s="222"/>
      <c r="F2492" s="702"/>
    </row>
    <row r="2493">
      <c r="C2493" s="703"/>
      <c r="E2493" s="222"/>
      <c r="F2493" s="702"/>
    </row>
    <row r="2494">
      <c r="C2494" s="703"/>
      <c r="E2494" s="222"/>
      <c r="F2494" s="702"/>
    </row>
    <row r="2495">
      <c r="C2495" s="703"/>
      <c r="E2495" s="222"/>
      <c r="F2495" s="702"/>
    </row>
    <row r="2496">
      <c r="C2496" s="703"/>
      <c r="E2496" s="222"/>
      <c r="F2496" s="702"/>
    </row>
    <row r="2497">
      <c r="C2497" s="703"/>
      <c r="E2497" s="222"/>
      <c r="F2497" s="702"/>
    </row>
    <row r="2498">
      <c r="C2498" s="703"/>
      <c r="E2498" s="222"/>
      <c r="F2498" s="702"/>
    </row>
    <row r="2499">
      <c r="C2499" s="703"/>
      <c r="E2499" s="222"/>
      <c r="F2499" s="702"/>
    </row>
    <row r="2500">
      <c r="C2500" s="703"/>
      <c r="E2500" s="222"/>
      <c r="F2500" s="702"/>
    </row>
    <row r="2501">
      <c r="C2501" s="703"/>
      <c r="E2501" s="222"/>
      <c r="F2501" s="702"/>
    </row>
    <row r="2502">
      <c r="C2502" s="703"/>
      <c r="E2502" s="222"/>
      <c r="F2502" s="702"/>
    </row>
    <row r="2503">
      <c r="C2503" s="703"/>
      <c r="E2503" s="222"/>
      <c r="F2503" s="702"/>
    </row>
    <row r="2504">
      <c r="C2504" s="703"/>
      <c r="E2504" s="222"/>
      <c r="F2504" s="702"/>
    </row>
    <row r="2505">
      <c r="C2505" s="703"/>
      <c r="E2505" s="222"/>
      <c r="F2505" s="702"/>
    </row>
    <row r="2506">
      <c r="C2506" s="703"/>
      <c r="E2506" s="222"/>
      <c r="F2506" s="702"/>
    </row>
    <row r="2507">
      <c r="C2507" s="703"/>
      <c r="E2507" s="222"/>
      <c r="F2507" s="702"/>
    </row>
    <row r="2508">
      <c r="C2508" s="703"/>
      <c r="E2508" s="222"/>
      <c r="F2508" s="702"/>
    </row>
    <row r="2509">
      <c r="C2509" s="703"/>
      <c r="E2509" s="222"/>
      <c r="F2509" s="702"/>
    </row>
    <row r="2510">
      <c r="C2510" s="703"/>
      <c r="E2510" s="222"/>
      <c r="F2510" s="702"/>
    </row>
    <row r="2511">
      <c r="C2511" s="703"/>
      <c r="E2511" s="222"/>
      <c r="F2511" s="702"/>
    </row>
    <row r="2512">
      <c r="C2512" s="703"/>
      <c r="E2512" s="222"/>
      <c r="F2512" s="702"/>
    </row>
    <row r="2513">
      <c r="C2513" s="703"/>
      <c r="E2513" s="222"/>
      <c r="F2513" s="702"/>
    </row>
    <row r="2514">
      <c r="C2514" s="703"/>
      <c r="E2514" s="222"/>
      <c r="F2514" s="702"/>
    </row>
    <row r="2515">
      <c r="C2515" s="703"/>
      <c r="E2515" s="222"/>
      <c r="F2515" s="702"/>
    </row>
    <row r="2516">
      <c r="C2516" s="703"/>
      <c r="E2516" s="222"/>
      <c r="F2516" s="702"/>
    </row>
    <row r="2517">
      <c r="C2517" s="703"/>
      <c r="E2517" s="222"/>
      <c r="F2517" s="702"/>
    </row>
    <row r="2518">
      <c r="C2518" s="703"/>
      <c r="E2518" s="222"/>
      <c r="F2518" s="702"/>
    </row>
    <row r="2519">
      <c r="C2519" s="703"/>
      <c r="E2519" s="222"/>
      <c r="F2519" s="702"/>
    </row>
    <row r="2520">
      <c r="C2520" s="703"/>
      <c r="E2520" s="222"/>
      <c r="F2520" s="702"/>
    </row>
    <row r="2521">
      <c r="C2521" s="703"/>
      <c r="E2521" s="222"/>
      <c r="F2521" s="702"/>
    </row>
    <row r="2522">
      <c r="C2522" s="703"/>
      <c r="E2522" s="222"/>
      <c r="F2522" s="702"/>
    </row>
    <row r="2523">
      <c r="C2523" s="703"/>
      <c r="E2523" s="222"/>
      <c r="F2523" s="702"/>
    </row>
    <row r="2524">
      <c r="C2524" s="703"/>
      <c r="E2524" s="222"/>
      <c r="F2524" s="702"/>
    </row>
    <row r="2525">
      <c r="C2525" s="703"/>
      <c r="E2525" s="222"/>
      <c r="F2525" s="702"/>
    </row>
    <row r="2526">
      <c r="C2526" s="703"/>
      <c r="E2526" s="222"/>
      <c r="F2526" s="702"/>
    </row>
    <row r="2527">
      <c r="C2527" s="703"/>
      <c r="E2527" s="222"/>
      <c r="F2527" s="702"/>
    </row>
    <row r="2528">
      <c r="C2528" s="703"/>
      <c r="E2528" s="222"/>
      <c r="F2528" s="702"/>
    </row>
    <row r="2529">
      <c r="C2529" s="703"/>
      <c r="E2529" s="222"/>
      <c r="F2529" s="702"/>
    </row>
    <row r="2530">
      <c r="C2530" s="703"/>
      <c r="E2530" s="222"/>
      <c r="F2530" s="702"/>
    </row>
    <row r="2531">
      <c r="C2531" s="703"/>
      <c r="E2531" s="222"/>
      <c r="F2531" s="702"/>
    </row>
    <row r="2532">
      <c r="C2532" s="703"/>
      <c r="E2532" s="222"/>
      <c r="F2532" s="702"/>
    </row>
    <row r="2533">
      <c r="C2533" s="703"/>
      <c r="E2533" s="222"/>
      <c r="F2533" s="702"/>
    </row>
    <row r="2534">
      <c r="C2534" s="703"/>
      <c r="E2534" s="222"/>
      <c r="F2534" s="702"/>
    </row>
    <row r="2535">
      <c r="C2535" s="703"/>
      <c r="E2535" s="222"/>
      <c r="F2535" s="702"/>
    </row>
    <row r="2536">
      <c r="C2536" s="703"/>
      <c r="E2536" s="222"/>
      <c r="F2536" s="702"/>
    </row>
    <row r="2537">
      <c r="C2537" s="703"/>
      <c r="E2537" s="222"/>
      <c r="F2537" s="702"/>
    </row>
    <row r="2538">
      <c r="C2538" s="703"/>
      <c r="E2538" s="222"/>
      <c r="F2538" s="702"/>
    </row>
    <row r="2539">
      <c r="C2539" s="703"/>
      <c r="E2539" s="222"/>
      <c r="F2539" s="702"/>
    </row>
    <row r="2540">
      <c r="C2540" s="703"/>
      <c r="E2540" s="222"/>
      <c r="F2540" s="702"/>
    </row>
    <row r="2541">
      <c r="C2541" s="703"/>
      <c r="E2541" s="222"/>
      <c r="F2541" s="702"/>
    </row>
    <row r="2542">
      <c r="C2542" s="703"/>
      <c r="E2542" s="222"/>
      <c r="F2542" s="702"/>
    </row>
    <row r="2543">
      <c r="C2543" s="703"/>
      <c r="E2543" s="222"/>
      <c r="F2543" s="702"/>
    </row>
    <row r="2544">
      <c r="C2544" s="703"/>
      <c r="E2544" s="222"/>
      <c r="F2544" s="702"/>
    </row>
    <row r="2545">
      <c r="C2545" s="703"/>
      <c r="E2545" s="222"/>
      <c r="F2545" s="702"/>
    </row>
    <row r="2546">
      <c r="C2546" s="703"/>
      <c r="E2546" s="222"/>
      <c r="F2546" s="702"/>
    </row>
    <row r="2547">
      <c r="C2547" s="703"/>
      <c r="E2547" s="222"/>
      <c r="F2547" s="702"/>
    </row>
    <row r="2548">
      <c r="C2548" s="703"/>
      <c r="E2548" s="222"/>
      <c r="F2548" s="702"/>
    </row>
    <row r="2549">
      <c r="C2549" s="703"/>
      <c r="E2549" s="222"/>
      <c r="F2549" s="702"/>
    </row>
    <row r="2550">
      <c r="C2550" s="703"/>
      <c r="E2550" s="222"/>
      <c r="F2550" s="702"/>
    </row>
    <row r="2551">
      <c r="C2551" s="703"/>
      <c r="E2551" s="222"/>
      <c r="F2551" s="702"/>
    </row>
    <row r="2552">
      <c r="C2552" s="703"/>
      <c r="E2552" s="222"/>
      <c r="F2552" s="702"/>
    </row>
    <row r="2553">
      <c r="C2553" s="703"/>
      <c r="E2553" s="222"/>
      <c r="F2553" s="702"/>
    </row>
    <row r="2554">
      <c r="C2554" s="703"/>
      <c r="E2554" s="222"/>
      <c r="F2554" s="702"/>
    </row>
    <row r="2555">
      <c r="C2555" s="703"/>
      <c r="E2555" s="222"/>
      <c r="F2555" s="702"/>
    </row>
    <row r="2556">
      <c r="C2556" s="703"/>
      <c r="E2556" s="222"/>
      <c r="F2556" s="702"/>
    </row>
    <row r="2557">
      <c r="C2557" s="703"/>
      <c r="E2557" s="222"/>
      <c r="F2557" s="702"/>
    </row>
    <row r="2558">
      <c r="C2558" s="703"/>
      <c r="E2558" s="222"/>
      <c r="F2558" s="702"/>
    </row>
    <row r="2559">
      <c r="C2559" s="703"/>
      <c r="E2559" s="222"/>
      <c r="F2559" s="702"/>
    </row>
    <row r="2560">
      <c r="C2560" s="703"/>
      <c r="E2560" s="222"/>
      <c r="F2560" s="702"/>
    </row>
    <row r="2561">
      <c r="C2561" s="703"/>
      <c r="E2561" s="222"/>
      <c r="F2561" s="702"/>
    </row>
    <row r="2562">
      <c r="C2562" s="703"/>
      <c r="E2562" s="222"/>
      <c r="F2562" s="702"/>
    </row>
    <row r="2563">
      <c r="C2563" s="703"/>
      <c r="E2563" s="222"/>
      <c r="F2563" s="702"/>
    </row>
    <row r="2564">
      <c r="C2564" s="703"/>
      <c r="E2564" s="222"/>
      <c r="F2564" s="702"/>
    </row>
    <row r="2565">
      <c r="C2565" s="703"/>
      <c r="E2565" s="222"/>
      <c r="F2565" s="702"/>
    </row>
    <row r="2566">
      <c r="C2566" s="703"/>
      <c r="E2566" s="222"/>
      <c r="F2566" s="702"/>
    </row>
    <row r="2567">
      <c r="C2567" s="703"/>
      <c r="E2567" s="222"/>
      <c r="F2567" s="702"/>
    </row>
    <row r="2568">
      <c r="C2568" s="703"/>
      <c r="E2568" s="222"/>
      <c r="F2568" s="702"/>
    </row>
    <row r="2569">
      <c r="C2569" s="703"/>
      <c r="E2569" s="222"/>
      <c r="F2569" s="702"/>
    </row>
    <row r="2570">
      <c r="C2570" s="703"/>
      <c r="E2570" s="222"/>
      <c r="F2570" s="702"/>
    </row>
    <row r="2571">
      <c r="C2571" s="703"/>
      <c r="E2571" s="222"/>
      <c r="F2571" s="702"/>
    </row>
    <row r="2572">
      <c r="C2572" s="703"/>
      <c r="E2572" s="222"/>
      <c r="F2572" s="702"/>
    </row>
    <row r="2573">
      <c r="C2573" s="703"/>
      <c r="E2573" s="222"/>
      <c r="F2573" s="702"/>
    </row>
    <row r="2574">
      <c r="C2574" s="703"/>
      <c r="E2574" s="222"/>
      <c r="F2574" s="702"/>
    </row>
    <row r="2575">
      <c r="C2575" s="703"/>
      <c r="E2575" s="222"/>
      <c r="F2575" s="702"/>
    </row>
    <row r="2576">
      <c r="C2576" s="703"/>
      <c r="E2576" s="222"/>
      <c r="F2576" s="702"/>
    </row>
    <row r="2577">
      <c r="C2577" s="703"/>
      <c r="E2577" s="222"/>
      <c r="F2577" s="702"/>
    </row>
    <row r="2578">
      <c r="C2578" s="703"/>
      <c r="E2578" s="222"/>
      <c r="F2578" s="702"/>
    </row>
    <row r="2579">
      <c r="C2579" s="703"/>
      <c r="E2579" s="222"/>
      <c r="F2579" s="702"/>
    </row>
    <row r="2580">
      <c r="C2580" s="703"/>
      <c r="E2580" s="222"/>
      <c r="F2580" s="702"/>
    </row>
    <row r="2581">
      <c r="C2581" s="703"/>
      <c r="E2581" s="222"/>
      <c r="F2581" s="702"/>
    </row>
    <row r="2582">
      <c r="C2582" s="703"/>
      <c r="E2582" s="222"/>
      <c r="F2582" s="702"/>
    </row>
    <row r="2583">
      <c r="C2583" s="703"/>
      <c r="E2583" s="222"/>
      <c r="F2583" s="702"/>
    </row>
    <row r="2584">
      <c r="C2584" s="703"/>
      <c r="E2584" s="222"/>
      <c r="F2584" s="702"/>
    </row>
    <row r="2585">
      <c r="C2585" s="703"/>
      <c r="E2585" s="222"/>
      <c r="F2585" s="702"/>
    </row>
    <row r="2586">
      <c r="C2586" s="703"/>
      <c r="E2586" s="222"/>
      <c r="F2586" s="702"/>
    </row>
    <row r="2587">
      <c r="C2587" s="703"/>
      <c r="E2587" s="222"/>
      <c r="F2587" s="702"/>
    </row>
    <row r="2588">
      <c r="C2588" s="703"/>
      <c r="E2588" s="222"/>
      <c r="F2588" s="702"/>
    </row>
    <row r="2589">
      <c r="C2589" s="703"/>
      <c r="E2589" s="222"/>
      <c r="F2589" s="702"/>
    </row>
    <row r="2590">
      <c r="C2590" s="703"/>
      <c r="E2590" s="222"/>
      <c r="F2590" s="702"/>
    </row>
    <row r="2591">
      <c r="C2591" s="703"/>
      <c r="E2591" s="222"/>
      <c r="F2591" s="702"/>
    </row>
    <row r="2592">
      <c r="C2592" s="703"/>
      <c r="E2592" s="222"/>
      <c r="F2592" s="702"/>
    </row>
    <row r="2593">
      <c r="C2593" s="703"/>
      <c r="E2593" s="222"/>
      <c r="F2593" s="702"/>
    </row>
    <row r="2594">
      <c r="C2594" s="703"/>
      <c r="E2594" s="222"/>
      <c r="F2594" s="702"/>
    </row>
    <row r="2595">
      <c r="C2595" s="703"/>
      <c r="E2595" s="222"/>
      <c r="F2595" s="702"/>
    </row>
    <row r="2596">
      <c r="C2596" s="703"/>
      <c r="E2596" s="222"/>
      <c r="F2596" s="702"/>
    </row>
    <row r="2597">
      <c r="C2597" s="703"/>
      <c r="E2597" s="222"/>
      <c r="F2597" s="702"/>
    </row>
    <row r="2598">
      <c r="C2598" s="703"/>
      <c r="E2598" s="222"/>
      <c r="F2598" s="702"/>
    </row>
    <row r="2599">
      <c r="C2599" s="703"/>
      <c r="E2599" s="222"/>
      <c r="F2599" s="702"/>
    </row>
    <row r="2600">
      <c r="C2600" s="703"/>
      <c r="E2600" s="222"/>
      <c r="F2600" s="702"/>
    </row>
    <row r="2601">
      <c r="C2601" s="703"/>
      <c r="E2601" s="222"/>
      <c r="F2601" s="702"/>
    </row>
    <row r="2602">
      <c r="C2602" s="703"/>
      <c r="E2602" s="222"/>
      <c r="F2602" s="702"/>
    </row>
    <row r="2603">
      <c r="C2603" s="703"/>
      <c r="E2603" s="222"/>
      <c r="F2603" s="702"/>
    </row>
    <row r="2604">
      <c r="C2604" s="703"/>
      <c r="E2604" s="222"/>
      <c r="F2604" s="702"/>
    </row>
    <row r="2605">
      <c r="C2605" s="703"/>
      <c r="E2605" s="222"/>
      <c r="F2605" s="702"/>
    </row>
    <row r="2606">
      <c r="C2606" s="703"/>
      <c r="E2606" s="222"/>
      <c r="F2606" s="702"/>
    </row>
    <row r="2607">
      <c r="C2607" s="703"/>
      <c r="E2607" s="222"/>
      <c r="F2607" s="702"/>
    </row>
    <row r="2608">
      <c r="C2608" s="703"/>
      <c r="E2608" s="222"/>
      <c r="F2608" s="702"/>
    </row>
    <row r="2609">
      <c r="C2609" s="703"/>
      <c r="E2609" s="222"/>
      <c r="F2609" s="702"/>
    </row>
    <row r="2610">
      <c r="C2610" s="703"/>
      <c r="E2610" s="222"/>
      <c r="F2610" s="702"/>
    </row>
    <row r="2611">
      <c r="C2611" s="703"/>
      <c r="E2611" s="222"/>
      <c r="F2611" s="702"/>
    </row>
    <row r="2612">
      <c r="C2612" s="703"/>
      <c r="E2612" s="222"/>
      <c r="F2612" s="702"/>
    </row>
    <row r="2613">
      <c r="C2613" s="703"/>
      <c r="E2613" s="222"/>
      <c r="F2613" s="702"/>
    </row>
    <row r="2614">
      <c r="C2614" s="703"/>
      <c r="E2614" s="222"/>
      <c r="F2614" s="702"/>
    </row>
    <row r="2615">
      <c r="C2615" s="703"/>
      <c r="E2615" s="222"/>
      <c r="F2615" s="702"/>
    </row>
    <row r="2616">
      <c r="C2616" s="703"/>
      <c r="E2616" s="222"/>
      <c r="F2616" s="702"/>
    </row>
    <row r="2617">
      <c r="C2617" s="703"/>
      <c r="E2617" s="222"/>
      <c r="F2617" s="702"/>
    </row>
    <row r="2618">
      <c r="C2618" s="703"/>
      <c r="E2618" s="222"/>
      <c r="F2618" s="702"/>
    </row>
    <row r="2619">
      <c r="C2619" s="703"/>
      <c r="E2619" s="222"/>
      <c r="F2619" s="702"/>
    </row>
    <row r="2620">
      <c r="C2620" s="703"/>
      <c r="E2620" s="222"/>
      <c r="F2620" s="702"/>
    </row>
    <row r="2621">
      <c r="C2621" s="703"/>
      <c r="E2621" s="222"/>
      <c r="F2621" s="702"/>
    </row>
    <row r="2622">
      <c r="C2622" s="703"/>
      <c r="E2622" s="222"/>
      <c r="F2622" s="702"/>
    </row>
    <row r="2623">
      <c r="C2623" s="703"/>
      <c r="E2623" s="222"/>
      <c r="F2623" s="702"/>
    </row>
    <row r="2624">
      <c r="C2624" s="703"/>
      <c r="E2624" s="222"/>
      <c r="F2624" s="702"/>
    </row>
    <row r="2625">
      <c r="C2625" s="703"/>
      <c r="E2625" s="222"/>
      <c r="F2625" s="702"/>
    </row>
    <row r="2626">
      <c r="C2626" s="703"/>
      <c r="E2626" s="222"/>
      <c r="F2626" s="702"/>
    </row>
    <row r="2627">
      <c r="C2627" s="703"/>
      <c r="E2627" s="222"/>
      <c r="F2627" s="702"/>
    </row>
    <row r="2628">
      <c r="C2628" s="703"/>
      <c r="E2628" s="222"/>
      <c r="F2628" s="702"/>
    </row>
    <row r="2629">
      <c r="C2629" s="703"/>
      <c r="E2629" s="222"/>
      <c r="F2629" s="702"/>
    </row>
    <row r="2630">
      <c r="C2630" s="703"/>
      <c r="E2630" s="222"/>
      <c r="F2630" s="702"/>
    </row>
    <row r="2631">
      <c r="C2631" s="703"/>
      <c r="E2631" s="222"/>
      <c r="F2631" s="702"/>
    </row>
    <row r="2632">
      <c r="C2632" s="703"/>
      <c r="E2632" s="222"/>
      <c r="F2632" s="702"/>
    </row>
    <row r="2633">
      <c r="C2633" s="703"/>
      <c r="E2633" s="222"/>
      <c r="F2633" s="702"/>
    </row>
    <row r="2634">
      <c r="C2634" s="703"/>
      <c r="E2634" s="222"/>
      <c r="F2634" s="702"/>
    </row>
    <row r="2635">
      <c r="C2635" s="703"/>
      <c r="E2635" s="222"/>
      <c r="F2635" s="702"/>
    </row>
    <row r="2636">
      <c r="C2636" s="703"/>
      <c r="E2636" s="222"/>
      <c r="F2636" s="702"/>
    </row>
    <row r="2637">
      <c r="C2637" s="703"/>
      <c r="E2637" s="222"/>
      <c r="F2637" s="702"/>
    </row>
    <row r="2638">
      <c r="C2638" s="703"/>
      <c r="E2638" s="222"/>
      <c r="F2638" s="702"/>
    </row>
    <row r="2639">
      <c r="C2639" s="703"/>
      <c r="E2639" s="222"/>
      <c r="F2639" s="702"/>
    </row>
    <row r="2640">
      <c r="C2640" s="703"/>
      <c r="E2640" s="222"/>
      <c r="F2640" s="702"/>
    </row>
    <row r="2641">
      <c r="C2641" s="703"/>
      <c r="E2641" s="222"/>
      <c r="F2641" s="702"/>
    </row>
    <row r="2642">
      <c r="C2642" s="703"/>
      <c r="E2642" s="222"/>
      <c r="F2642" s="702"/>
    </row>
    <row r="2643">
      <c r="C2643" s="703"/>
      <c r="E2643" s="222"/>
      <c r="F2643" s="702"/>
    </row>
    <row r="2644">
      <c r="C2644" s="703"/>
      <c r="E2644" s="222"/>
      <c r="F2644" s="702"/>
    </row>
    <row r="2645">
      <c r="C2645" s="703"/>
      <c r="E2645" s="222"/>
      <c r="F2645" s="702"/>
    </row>
    <row r="2646">
      <c r="C2646" s="703"/>
      <c r="E2646" s="222"/>
      <c r="F2646" s="702"/>
    </row>
    <row r="2647">
      <c r="C2647" s="703"/>
      <c r="E2647" s="222"/>
      <c r="F2647" s="702"/>
    </row>
    <row r="2648">
      <c r="C2648" s="703"/>
      <c r="E2648" s="222"/>
      <c r="F2648" s="702"/>
    </row>
    <row r="2649">
      <c r="C2649" s="703"/>
      <c r="E2649" s="222"/>
      <c r="F2649" s="702"/>
    </row>
    <row r="2650">
      <c r="C2650" s="703"/>
      <c r="E2650" s="222"/>
      <c r="F2650" s="702"/>
    </row>
    <row r="2651">
      <c r="C2651" s="703"/>
      <c r="E2651" s="222"/>
      <c r="F2651" s="702"/>
    </row>
    <row r="2652">
      <c r="C2652" s="703"/>
      <c r="E2652" s="222"/>
      <c r="F2652" s="702"/>
    </row>
    <row r="2653">
      <c r="C2653" s="703"/>
      <c r="E2653" s="222"/>
      <c r="F2653" s="702"/>
    </row>
    <row r="2654">
      <c r="C2654" s="703"/>
      <c r="E2654" s="222"/>
      <c r="F2654" s="702"/>
    </row>
    <row r="2655">
      <c r="C2655" s="703"/>
      <c r="E2655" s="222"/>
      <c r="F2655" s="702"/>
    </row>
    <row r="2656">
      <c r="C2656" s="703"/>
      <c r="E2656" s="222"/>
      <c r="F2656" s="702"/>
    </row>
    <row r="2657">
      <c r="C2657" s="703"/>
      <c r="E2657" s="222"/>
      <c r="F2657" s="702"/>
    </row>
    <row r="2658">
      <c r="C2658" s="703"/>
      <c r="E2658" s="222"/>
      <c r="F2658" s="702"/>
    </row>
    <row r="2659">
      <c r="C2659" s="703"/>
      <c r="E2659" s="222"/>
      <c r="F2659" s="702"/>
    </row>
    <row r="2660">
      <c r="C2660" s="703"/>
      <c r="E2660" s="222"/>
      <c r="F2660" s="702"/>
    </row>
    <row r="2661">
      <c r="C2661" s="703"/>
      <c r="E2661" s="222"/>
      <c r="F2661" s="702"/>
    </row>
    <row r="2662">
      <c r="C2662" s="703"/>
      <c r="E2662" s="222"/>
      <c r="F2662" s="702"/>
    </row>
    <row r="2663">
      <c r="C2663" s="703"/>
      <c r="E2663" s="222"/>
      <c r="F2663" s="702"/>
    </row>
    <row r="2664">
      <c r="C2664" s="703"/>
      <c r="E2664" s="222"/>
      <c r="F2664" s="702"/>
    </row>
    <row r="2665">
      <c r="C2665" s="703"/>
      <c r="E2665" s="222"/>
      <c r="F2665" s="702"/>
    </row>
    <row r="2666">
      <c r="C2666" s="703"/>
      <c r="E2666" s="222"/>
      <c r="F2666" s="702"/>
    </row>
    <row r="2667">
      <c r="C2667" s="703"/>
      <c r="E2667" s="222"/>
      <c r="F2667" s="702"/>
    </row>
    <row r="2668">
      <c r="C2668" s="703"/>
      <c r="E2668" s="222"/>
      <c r="F2668" s="702"/>
    </row>
    <row r="2669">
      <c r="C2669" s="703"/>
      <c r="E2669" s="222"/>
      <c r="F2669" s="702"/>
    </row>
    <row r="2670">
      <c r="C2670" s="703"/>
      <c r="E2670" s="222"/>
      <c r="F2670" s="702"/>
    </row>
    <row r="2671">
      <c r="C2671" s="703"/>
      <c r="E2671" s="222"/>
      <c r="F2671" s="702"/>
    </row>
    <row r="2672">
      <c r="C2672" s="703"/>
      <c r="E2672" s="222"/>
      <c r="F2672" s="702"/>
    </row>
    <row r="2673">
      <c r="C2673" s="703"/>
      <c r="E2673" s="222"/>
      <c r="F2673" s="702"/>
    </row>
    <row r="2674">
      <c r="C2674" s="703"/>
      <c r="E2674" s="222"/>
      <c r="F2674" s="702"/>
    </row>
    <row r="2675">
      <c r="C2675" s="703"/>
      <c r="E2675" s="222"/>
      <c r="F2675" s="702"/>
    </row>
    <row r="2676">
      <c r="C2676" s="703"/>
      <c r="E2676" s="222"/>
      <c r="F2676" s="702"/>
    </row>
    <row r="2677">
      <c r="C2677" s="703"/>
      <c r="E2677" s="222"/>
      <c r="F2677" s="702"/>
    </row>
    <row r="2678">
      <c r="C2678" s="703"/>
      <c r="E2678" s="222"/>
      <c r="F2678" s="702"/>
    </row>
    <row r="2679">
      <c r="C2679" s="703"/>
      <c r="E2679" s="222"/>
      <c r="F2679" s="702"/>
    </row>
    <row r="2680">
      <c r="C2680" s="703"/>
      <c r="E2680" s="222"/>
      <c r="F2680" s="702"/>
    </row>
    <row r="2681">
      <c r="C2681" s="703"/>
      <c r="E2681" s="222"/>
      <c r="F2681" s="702"/>
    </row>
    <row r="2682">
      <c r="C2682" s="703"/>
      <c r="E2682" s="222"/>
      <c r="F2682" s="702"/>
    </row>
    <row r="2683">
      <c r="C2683" s="703"/>
      <c r="E2683" s="222"/>
      <c r="F2683" s="702"/>
    </row>
    <row r="2684">
      <c r="C2684" s="703"/>
      <c r="E2684" s="222"/>
      <c r="F2684" s="702"/>
    </row>
    <row r="2685">
      <c r="C2685" s="703"/>
      <c r="E2685" s="222"/>
      <c r="F2685" s="702"/>
    </row>
    <row r="2686">
      <c r="C2686" s="703"/>
      <c r="E2686" s="222"/>
      <c r="F2686" s="702"/>
    </row>
    <row r="2687">
      <c r="C2687" s="703"/>
      <c r="E2687" s="222"/>
      <c r="F2687" s="702"/>
    </row>
    <row r="2688">
      <c r="C2688" s="703"/>
      <c r="E2688" s="222"/>
      <c r="F2688" s="702"/>
    </row>
    <row r="2689">
      <c r="C2689" s="703"/>
      <c r="E2689" s="222"/>
      <c r="F2689" s="702"/>
    </row>
    <row r="2690">
      <c r="C2690" s="703"/>
      <c r="E2690" s="222"/>
      <c r="F2690" s="702"/>
    </row>
    <row r="2691">
      <c r="C2691" s="703"/>
      <c r="E2691" s="222"/>
      <c r="F2691" s="702"/>
    </row>
    <row r="2692">
      <c r="C2692" s="703"/>
      <c r="E2692" s="222"/>
      <c r="F2692" s="702"/>
    </row>
    <row r="2693">
      <c r="C2693" s="703"/>
      <c r="E2693" s="222"/>
      <c r="F2693" s="702"/>
    </row>
    <row r="2694">
      <c r="C2694" s="703"/>
      <c r="E2694" s="222"/>
      <c r="F2694" s="702"/>
    </row>
    <row r="2695">
      <c r="C2695" s="703"/>
      <c r="E2695" s="222"/>
      <c r="F2695" s="702"/>
    </row>
    <row r="2696">
      <c r="C2696" s="703"/>
      <c r="E2696" s="222"/>
      <c r="F2696" s="702"/>
    </row>
    <row r="2697">
      <c r="C2697" s="703"/>
      <c r="E2697" s="222"/>
      <c r="F2697" s="702"/>
    </row>
    <row r="2698">
      <c r="C2698" s="703"/>
      <c r="E2698" s="222"/>
      <c r="F2698" s="702"/>
    </row>
    <row r="2699">
      <c r="C2699" s="703"/>
      <c r="E2699" s="222"/>
      <c r="F2699" s="702"/>
    </row>
    <row r="2700">
      <c r="C2700" s="703"/>
      <c r="E2700" s="222"/>
      <c r="F2700" s="702"/>
    </row>
    <row r="2701">
      <c r="C2701" s="703"/>
      <c r="E2701" s="222"/>
      <c r="F2701" s="702"/>
    </row>
    <row r="2702">
      <c r="C2702" s="703"/>
      <c r="E2702" s="222"/>
      <c r="F2702" s="702"/>
    </row>
    <row r="2703">
      <c r="C2703" s="703"/>
      <c r="E2703" s="222"/>
      <c r="F2703" s="702"/>
    </row>
    <row r="2704">
      <c r="C2704" s="703"/>
      <c r="E2704" s="222"/>
      <c r="F2704" s="702"/>
    </row>
    <row r="2705">
      <c r="C2705" s="703"/>
      <c r="E2705" s="222"/>
      <c r="F2705" s="702"/>
    </row>
    <row r="2706">
      <c r="C2706" s="703"/>
      <c r="E2706" s="222"/>
      <c r="F2706" s="702"/>
    </row>
    <row r="2707">
      <c r="C2707" s="703"/>
      <c r="E2707" s="222"/>
      <c r="F2707" s="702"/>
    </row>
    <row r="2708">
      <c r="C2708" s="703"/>
      <c r="E2708" s="222"/>
      <c r="F2708" s="702"/>
    </row>
    <row r="2709">
      <c r="C2709" s="703"/>
      <c r="E2709" s="222"/>
      <c r="F2709" s="702"/>
    </row>
    <row r="2710">
      <c r="C2710" s="703"/>
      <c r="E2710" s="222"/>
      <c r="F2710" s="702"/>
    </row>
    <row r="2711">
      <c r="C2711" s="703"/>
      <c r="E2711" s="222"/>
      <c r="F2711" s="702"/>
    </row>
    <row r="2712">
      <c r="C2712" s="703"/>
      <c r="E2712" s="222"/>
      <c r="F2712" s="702"/>
    </row>
    <row r="2713">
      <c r="C2713" s="703"/>
      <c r="E2713" s="222"/>
      <c r="F2713" s="702"/>
    </row>
    <row r="2714">
      <c r="C2714" s="703"/>
      <c r="E2714" s="222"/>
      <c r="F2714" s="702"/>
    </row>
    <row r="2715">
      <c r="C2715" s="703"/>
      <c r="E2715" s="222"/>
      <c r="F2715" s="702"/>
    </row>
    <row r="2716">
      <c r="C2716" s="703"/>
      <c r="E2716" s="222"/>
      <c r="F2716" s="702"/>
    </row>
    <row r="2717">
      <c r="C2717" s="703"/>
      <c r="E2717" s="222"/>
      <c r="F2717" s="702"/>
    </row>
    <row r="2718">
      <c r="C2718" s="703"/>
      <c r="E2718" s="222"/>
      <c r="F2718" s="702"/>
    </row>
    <row r="2719">
      <c r="C2719" s="703"/>
      <c r="E2719" s="222"/>
      <c r="F2719" s="702"/>
    </row>
    <row r="2720">
      <c r="C2720" s="703"/>
      <c r="E2720" s="222"/>
      <c r="F2720" s="702"/>
    </row>
    <row r="2721">
      <c r="C2721" s="703"/>
      <c r="E2721" s="222"/>
      <c r="F2721" s="702"/>
    </row>
    <row r="2722">
      <c r="C2722" s="703"/>
      <c r="E2722" s="222"/>
      <c r="F2722" s="702"/>
    </row>
    <row r="2723">
      <c r="C2723" s="703"/>
      <c r="E2723" s="222"/>
      <c r="F2723" s="702"/>
    </row>
    <row r="2724">
      <c r="C2724" s="703"/>
      <c r="E2724" s="222"/>
      <c r="F2724" s="702"/>
    </row>
    <row r="2725">
      <c r="C2725" s="703"/>
      <c r="E2725" s="222"/>
      <c r="F2725" s="702"/>
    </row>
    <row r="2726">
      <c r="C2726" s="703"/>
      <c r="E2726" s="222"/>
      <c r="F2726" s="702"/>
    </row>
    <row r="2727">
      <c r="C2727" s="703"/>
      <c r="E2727" s="222"/>
      <c r="F2727" s="702"/>
    </row>
    <row r="2728">
      <c r="C2728" s="703"/>
      <c r="E2728" s="222"/>
      <c r="F2728" s="702"/>
    </row>
    <row r="2729">
      <c r="C2729" s="703"/>
      <c r="E2729" s="222"/>
      <c r="F2729" s="702"/>
    </row>
    <row r="2730">
      <c r="C2730" s="703"/>
      <c r="E2730" s="222"/>
      <c r="F2730" s="702"/>
    </row>
    <row r="2731">
      <c r="C2731" s="703"/>
      <c r="E2731" s="222"/>
      <c r="F2731" s="702"/>
    </row>
    <row r="2732">
      <c r="C2732" s="703"/>
      <c r="E2732" s="222"/>
      <c r="F2732" s="702"/>
    </row>
    <row r="2733">
      <c r="C2733" s="703"/>
      <c r="E2733" s="222"/>
      <c r="F2733" s="702"/>
    </row>
    <row r="2734">
      <c r="C2734" s="703"/>
      <c r="E2734" s="222"/>
      <c r="F2734" s="702"/>
    </row>
    <row r="2735">
      <c r="C2735" s="703"/>
      <c r="E2735" s="222"/>
      <c r="F2735" s="702"/>
    </row>
    <row r="2736">
      <c r="C2736" s="703"/>
      <c r="E2736" s="222"/>
      <c r="F2736" s="702"/>
    </row>
    <row r="2737">
      <c r="C2737" s="703"/>
      <c r="E2737" s="222"/>
      <c r="F2737" s="702"/>
    </row>
    <row r="2738">
      <c r="C2738" s="703"/>
      <c r="E2738" s="222"/>
      <c r="F2738" s="702"/>
    </row>
    <row r="2739">
      <c r="C2739" s="703"/>
      <c r="E2739" s="222"/>
      <c r="F2739" s="702"/>
    </row>
    <row r="2740">
      <c r="C2740" s="703"/>
      <c r="E2740" s="222"/>
      <c r="F2740" s="702"/>
    </row>
    <row r="2741">
      <c r="C2741" s="703"/>
      <c r="E2741" s="222"/>
      <c r="F2741" s="702"/>
    </row>
    <row r="2742">
      <c r="C2742" s="703"/>
      <c r="E2742" s="222"/>
      <c r="F2742" s="702"/>
    </row>
    <row r="2743">
      <c r="C2743" s="703"/>
      <c r="E2743" s="222"/>
      <c r="F2743" s="702"/>
    </row>
    <row r="2744">
      <c r="C2744" s="703"/>
      <c r="E2744" s="222"/>
      <c r="F2744" s="702"/>
    </row>
    <row r="2745">
      <c r="C2745" s="703"/>
      <c r="E2745" s="222"/>
      <c r="F2745" s="702"/>
    </row>
    <row r="2746">
      <c r="C2746" s="703"/>
      <c r="E2746" s="222"/>
      <c r="F2746" s="702"/>
    </row>
    <row r="2747">
      <c r="C2747" s="703"/>
      <c r="E2747" s="222"/>
      <c r="F2747" s="702"/>
    </row>
    <row r="2748">
      <c r="C2748" s="703"/>
      <c r="E2748" s="222"/>
      <c r="F2748" s="702"/>
    </row>
    <row r="2749">
      <c r="C2749" s="703"/>
      <c r="E2749" s="222"/>
      <c r="F2749" s="702"/>
    </row>
    <row r="2750">
      <c r="C2750" s="703"/>
      <c r="E2750" s="222"/>
      <c r="F2750" s="702"/>
    </row>
    <row r="2751">
      <c r="C2751" s="703"/>
      <c r="E2751" s="222"/>
      <c r="F2751" s="702"/>
    </row>
    <row r="2752">
      <c r="C2752" s="703"/>
      <c r="E2752" s="222"/>
      <c r="F2752" s="702"/>
    </row>
    <row r="2753">
      <c r="C2753" s="703"/>
      <c r="E2753" s="222"/>
      <c r="F2753" s="702"/>
    </row>
    <row r="2754">
      <c r="C2754" s="703"/>
      <c r="E2754" s="222"/>
      <c r="F2754" s="702"/>
    </row>
    <row r="2755">
      <c r="C2755" s="703"/>
      <c r="E2755" s="222"/>
      <c r="F2755" s="702"/>
    </row>
    <row r="2756">
      <c r="C2756" s="703"/>
      <c r="E2756" s="222"/>
      <c r="F2756" s="702"/>
    </row>
    <row r="2757">
      <c r="C2757" s="703"/>
      <c r="E2757" s="222"/>
      <c r="F2757" s="702"/>
    </row>
    <row r="2758">
      <c r="C2758" s="703"/>
      <c r="E2758" s="222"/>
      <c r="F2758" s="702"/>
    </row>
    <row r="2759">
      <c r="C2759" s="703"/>
      <c r="E2759" s="222"/>
      <c r="F2759" s="702"/>
    </row>
    <row r="2760">
      <c r="C2760" s="703"/>
      <c r="E2760" s="222"/>
      <c r="F2760" s="702"/>
    </row>
    <row r="2761">
      <c r="C2761" s="703"/>
      <c r="E2761" s="222"/>
      <c r="F2761" s="702"/>
    </row>
    <row r="2762">
      <c r="C2762" s="703"/>
      <c r="E2762" s="222"/>
      <c r="F2762" s="702"/>
    </row>
    <row r="2763">
      <c r="C2763" s="703"/>
      <c r="E2763" s="222"/>
      <c r="F2763" s="702"/>
    </row>
    <row r="2764">
      <c r="C2764" s="703"/>
      <c r="E2764" s="222"/>
      <c r="F2764" s="702"/>
    </row>
    <row r="2765">
      <c r="C2765" s="703"/>
      <c r="E2765" s="222"/>
      <c r="F2765" s="702"/>
    </row>
    <row r="2766">
      <c r="C2766" s="703"/>
      <c r="E2766" s="222"/>
      <c r="F2766" s="702"/>
    </row>
    <row r="2767">
      <c r="C2767" s="703"/>
      <c r="E2767" s="222"/>
      <c r="F2767" s="702"/>
    </row>
    <row r="2768">
      <c r="C2768" s="703"/>
      <c r="E2768" s="222"/>
      <c r="F2768" s="702"/>
    </row>
    <row r="2769">
      <c r="C2769" s="703"/>
      <c r="E2769" s="222"/>
      <c r="F2769" s="702"/>
    </row>
    <row r="2770">
      <c r="C2770" s="703"/>
      <c r="E2770" s="222"/>
      <c r="F2770" s="702"/>
    </row>
    <row r="2771">
      <c r="C2771" s="703"/>
      <c r="E2771" s="222"/>
      <c r="F2771" s="702"/>
    </row>
    <row r="2772">
      <c r="C2772" s="703"/>
      <c r="E2772" s="222"/>
      <c r="F2772" s="702"/>
    </row>
    <row r="2773">
      <c r="C2773" s="703"/>
      <c r="E2773" s="222"/>
      <c r="F2773" s="702"/>
    </row>
    <row r="2774">
      <c r="C2774" s="703"/>
      <c r="E2774" s="222"/>
      <c r="F2774" s="702"/>
    </row>
    <row r="2775">
      <c r="C2775" s="703"/>
      <c r="E2775" s="222"/>
      <c r="F2775" s="702"/>
    </row>
    <row r="2776">
      <c r="C2776" s="703"/>
      <c r="E2776" s="222"/>
      <c r="F2776" s="702"/>
    </row>
    <row r="2777">
      <c r="C2777" s="703"/>
      <c r="E2777" s="222"/>
      <c r="F2777" s="702"/>
    </row>
    <row r="2778">
      <c r="C2778" s="703"/>
      <c r="E2778" s="222"/>
      <c r="F2778" s="702"/>
    </row>
    <row r="2779">
      <c r="C2779" s="703"/>
      <c r="E2779" s="222"/>
      <c r="F2779" s="702"/>
    </row>
    <row r="2780">
      <c r="C2780" s="703"/>
      <c r="E2780" s="222"/>
      <c r="F2780" s="702"/>
    </row>
    <row r="2781">
      <c r="C2781" s="703"/>
      <c r="E2781" s="222"/>
      <c r="F2781" s="702"/>
    </row>
    <row r="2782">
      <c r="C2782" s="703"/>
      <c r="E2782" s="222"/>
      <c r="F2782" s="702"/>
    </row>
    <row r="2783">
      <c r="C2783" s="703"/>
      <c r="E2783" s="222"/>
      <c r="F2783" s="702"/>
    </row>
    <row r="2784">
      <c r="C2784" s="703"/>
      <c r="E2784" s="222"/>
      <c r="F2784" s="702"/>
    </row>
    <row r="2785">
      <c r="C2785" s="703"/>
      <c r="E2785" s="222"/>
      <c r="F2785" s="702"/>
    </row>
    <row r="2786">
      <c r="C2786" s="703"/>
      <c r="E2786" s="222"/>
      <c r="F2786" s="702"/>
    </row>
    <row r="2787">
      <c r="C2787" s="703"/>
      <c r="E2787" s="222"/>
      <c r="F2787" s="702"/>
    </row>
    <row r="2788">
      <c r="C2788" s="703"/>
      <c r="E2788" s="222"/>
      <c r="F2788" s="702"/>
    </row>
    <row r="2789">
      <c r="C2789" s="703"/>
      <c r="E2789" s="222"/>
      <c r="F2789" s="702"/>
    </row>
    <row r="2790">
      <c r="C2790" s="703"/>
      <c r="E2790" s="222"/>
      <c r="F2790" s="702"/>
    </row>
    <row r="2791">
      <c r="C2791" s="703"/>
      <c r="E2791" s="222"/>
      <c r="F2791" s="702"/>
    </row>
    <row r="2792">
      <c r="C2792" s="703"/>
      <c r="E2792" s="222"/>
      <c r="F2792" s="702"/>
    </row>
    <row r="2793">
      <c r="C2793" s="703"/>
      <c r="E2793" s="222"/>
      <c r="F2793" s="702"/>
    </row>
    <row r="2794">
      <c r="C2794" s="703"/>
      <c r="E2794" s="222"/>
      <c r="F2794" s="702"/>
    </row>
    <row r="2795">
      <c r="C2795" s="703"/>
      <c r="E2795" s="222"/>
      <c r="F2795" s="702"/>
    </row>
    <row r="2796">
      <c r="C2796" s="703"/>
      <c r="E2796" s="222"/>
      <c r="F2796" s="702"/>
    </row>
    <row r="2797">
      <c r="C2797" s="703"/>
      <c r="E2797" s="222"/>
      <c r="F2797" s="702"/>
    </row>
    <row r="2798">
      <c r="C2798" s="703"/>
      <c r="E2798" s="222"/>
      <c r="F2798" s="702"/>
    </row>
    <row r="2799">
      <c r="C2799" s="703"/>
      <c r="E2799" s="222"/>
      <c r="F2799" s="702"/>
    </row>
    <row r="2800">
      <c r="C2800" s="703"/>
      <c r="E2800" s="222"/>
      <c r="F2800" s="702"/>
    </row>
    <row r="2801">
      <c r="C2801" s="703"/>
      <c r="E2801" s="222"/>
      <c r="F2801" s="702"/>
    </row>
    <row r="2802">
      <c r="C2802" s="703"/>
      <c r="E2802" s="222"/>
      <c r="F2802" s="702"/>
    </row>
    <row r="2803">
      <c r="C2803" s="703"/>
      <c r="E2803" s="222"/>
      <c r="F2803" s="702"/>
    </row>
    <row r="2804">
      <c r="C2804" s="703"/>
      <c r="E2804" s="222"/>
      <c r="F2804" s="702"/>
    </row>
    <row r="2805">
      <c r="C2805" s="703"/>
      <c r="E2805" s="222"/>
      <c r="F2805" s="702"/>
    </row>
    <row r="2806">
      <c r="C2806" s="703"/>
      <c r="E2806" s="222"/>
      <c r="F2806" s="702"/>
    </row>
    <row r="2807">
      <c r="C2807" s="703"/>
      <c r="E2807" s="222"/>
      <c r="F2807" s="702"/>
    </row>
    <row r="2808">
      <c r="C2808" s="703"/>
      <c r="E2808" s="222"/>
      <c r="F2808" s="702"/>
    </row>
    <row r="2809">
      <c r="C2809" s="703"/>
      <c r="E2809" s="222"/>
      <c r="F2809" s="702"/>
    </row>
    <row r="2810">
      <c r="C2810" s="703"/>
      <c r="E2810" s="222"/>
      <c r="F2810" s="702"/>
    </row>
    <row r="2811">
      <c r="C2811" s="703"/>
      <c r="E2811" s="222"/>
      <c r="F2811" s="702"/>
    </row>
    <row r="2812">
      <c r="C2812" s="703"/>
      <c r="E2812" s="222"/>
      <c r="F2812" s="702"/>
    </row>
    <row r="2813">
      <c r="C2813" s="703"/>
      <c r="E2813" s="222"/>
      <c r="F2813" s="702"/>
    </row>
    <row r="2814">
      <c r="C2814" s="703"/>
      <c r="E2814" s="222"/>
      <c r="F2814" s="702"/>
    </row>
    <row r="2815">
      <c r="C2815" s="703"/>
      <c r="E2815" s="222"/>
      <c r="F2815" s="702"/>
    </row>
    <row r="2816">
      <c r="C2816" s="703"/>
      <c r="E2816" s="222"/>
      <c r="F2816" s="702"/>
    </row>
    <row r="2817">
      <c r="C2817" s="703"/>
      <c r="E2817" s="222"/>
      <c r="F2817" s="702"/>
    </row>
    <row r="2818">
      <c r="C2818" s="703"/>
      <c r="E2818" s="222"/>
      <c r="F2818" s="702"/>
    </row>
    <row r="2819">
      <c r="C2819" s="703"/>
      <c r="E2819" s="222"/>
      <c r="F2819" s="702"/>
    </row>
    <row r="2820">
      <c r="C2820" s="703"/>
      <c r="E2820" s="222"/>
      <c r="F2820" s="702"/>
    </row>
    <row r="2821">
      <c r="C2821" s="703"/>
      <c r="E2821" s="222"/>
      <c r="F2821" s="702"/>
    </row>
    <row r="2822">
      <c r="C2822" s="703"/>
      <c r="E2822" s="222"/>
      <c r="F2822" s="702"/>
    </row>
    <row r="2823">
      <c r="C2823" s="703"/>
      <c r="E2823" s="222"/>
      <c r="F2823" s="702"/>
    </row>
    <row r="2824">
      <c r="C2824" s="703"/>
      <c r="E2824" s="222"/>
      <c r="F2824" s="702"/>
    </row>
    <row r="2825">
      <c r="C2825" s="703"/>
      <c r="E2825" s="222"/>
      <c r="F2825" s="702"/>
    </row>
    <row r="2826">
      <c r="C2826" s="703"/>
      <c r="E2826" s="222"/>
      <c r="F2826" s="702"/>
    </row>
    <row r="2827">
      <c r="C2827" s="703"/>
      <c r="E2827" s="222"/>
      <c r="F2827" s="702"/>
    </row>
    <row r="2828">
      <c r="C2828" s="703"/>
      <c r="E2828" s="222"/>
      <c r="F2828" s="702"/>
    </row>
    <row r="2829">
      <c r="C2829" s="703"/>
      <c r="E2829" s="222"/>
      <c r="F2829" s="702"/>
    </row>
    <row r="2830">
      <c r="C2830" s="703"/>
      <c r="E2830" s="222"/>
      <c r="F2830" s="702"/>
    </row>
    <row r="2831">
      <c r="C2831" s="703"/>
      <c r="E2831" s="222"/>
      <c r="F2831" s="702"/>
    </row>
    <row r="2832">
      <c r="C2832" s="703"/>
      <c r="E2832" s="222"/>
      <c r="F2832" s="702"/>
    </row>
    <row r="2833">
      <c r="C2833" s="703"/>
      <c r="E2833" s="222"/>
      <c r="F2833" s="702"/>
    </row>
    <row r="2834">
      <c r="C2834" s="703"/>
      <c r="E2834" s="222"/>
      <c r="F2834" s="702"/>
    </row>
    <row r="2835">
      <c r="C2835" s="703"/>
      <c r="E2835" s="222"/>
      <c r="F2835" s="702"/>
    </row>
    <row r="2836">
      <c r="C2836" s="703"/>
      <c r="E2836" s="222"/>
      <c r="F2836" s="702"/>
    </row>
    <row r="2837">
      <c r="C2837" s="703"/>
      <c r="E2837" s="222"/>
      <c r="F2837" s="702"/>
    </row>
    <row r="2838">
      <c r="C2838" s="703"/>
      <c r="E2838" s="222"/>
      <c r="F2838" s="702"/>
    </row>
    <row r="2839">
      <c r="C2839" s="703"/>
      <c r="E2839" s="222"/>
      <c r="F2839" s="702"/>
    </row>
    <row r="2840">
      <c r="C2840" s="703"/>
      <c r="E2840" s="222"/>
      <c r="F2840" s="702"/>
    </row>
    <row r="2841">
      <c r="C2841" s="703"/>
      <c r="E2841" s="222"/>
      <c r="F2841" s="702"/>
    </row>
    <row r="2842">
      <c r="C2842" s="703"/>
      <c r="E2842" s="222"/>
      <c r="F2842" s="702"/>
    </row>
    <row r="2843">
      <c r="C2843" s="703"/>
      <c r="E2843" s="222"/>
      <c r="F2843" s="702"/>
    </row>
    <row r="2844">
      <c r="C2844" s="703"/>
      <c r="E2844" s="222"/>
      <c r="F2844" s="702"/>
    </row>
    <row r="2845">
      <c r="C2845" s="703"/>
      <c r="E2845" s="222"/>
      <c r="F2845" s="702"/>
    </row>
    <row r="2846">
      <c r="C2846" s="703"/>
      <c r="E2846" s="222"/>
      <c r="F2846" s="702"/>
    </row>
    <row r="2847">
      <c r="C2847" s="703"/>
      <c r="E2847" s="222"/>
      <c r="F2847" s="702"/>
    </row>
    <row r="2848">
      <c r="C2848" s="703"/>
      <c r="E2848" s="222"/>
      <c r="F2848" s="702"/>
    </row>
    <row r="2849">
      <c r="C2849" s="703"/>
      <c r="E2849" s="222"/>
      <c r="F2849" s="702"/>
    </row>
    <row r="2850">
      <c r="C2850" s="703"/>
      <c r="E2850" s="222"/>
      <c r="F2850" s="702"/>
    </row>
    <row r="2851">
      <c r="C2851" s="703"/>
      <c r="E2851" s="222"/>
      <c r="F2851" s="702"/>
    </row>
    <row r="2852">
      <c r="C2852" s="703"/>
      <c r="E2852" s="222"/>
      <c r="F2852" s="702"/>
    </row>
    <row r="2853">
      <c r="C2853" s="703"/>
      <c r="E2853" s="222"/>
      <c r="F2853" s="702"/>
    </row>
    <row r="2854">
      <c r="C2854" s="703"/>
      <c r="E2854" s="222"/>
      <c r="F2854" s="702"/>
    </row>
    <row r="2855">
      <c r="C2855" s="703"/>
      <c r="E2855" s="222"/>
      <c r="F2855" s="702"/>
    </row>
    <row r="2856">
      <c r="C2856" s="703"/>
      <c r="E2856" s="222"/>
      <c r="F2856" s="702"/>
    </row>
    <row r="2857">
      <c r="C2857" s="703"/>
      <c r="E2857" s="222"/>
      <c r="F2857" s="702"/>
    </row>
    <row r="2858">
      <c r="C2858" s="703"/>
      <c r="E2858" s="222"/>
      <c r="F2858" s="702"/>
    </row>
    <row r="2859">
      <c r="C2859" s="703"/>
      <c r="E2859" s="222"/>
      <c r="F2859" s="702"/>
    </row>
    <row r="2860">
      <c r="C2860" s="703"/>
      <c r="E2860" s="222"/>
      <c r="F2860" s="702"/>
    </row>
    <row r="2861">
      <c r="C2861" s="703"/>
      <c r="E2861" s="222"/>
      <c r="F2861" s="702"/>
    </row>
    <row r="2862">
      <c r="C2862" s="703"/>
      <c r="E2862" s="222"/>
      <c r="F2862" s="702"/>
    </row>
    <row r="2863">
      <c r="C2863" s="703"/>
      <c r="E2863" s="222"/>
      <c r="F2863" s="702"/>
    </row>
    <row r="2864">
      <c r="C2864" s="703"/>
      <c r="E2864" s="222"/>
      <c r="F2864" s="702"/>
    </row>
    <row r="2865">
      <c r="C2865" s="703"/>
      <c r="E2865" s="222"/>
      <c r="F2865" s="702"/>
    </row>
    <row r="2866">
      <c r="C2866" s="703"/>
      <c r="E2866" s="222"/>
      <c r="F2866" s="702"/>
    </row>
    <row r="2867">
      <c r="C2867" s="703"/>
      <c r="E2867" s="222"/>
      <c r="F2867" s="702"/>
    </row>
    <row r="2868">
      <c r="C2868" s="703"/>
      <c r="E2868" s="222"/>
      <c r="F2868" s="702"/>
    </row>
    <row r="2869">
      <c r="C2869" s="703"/>
      <c r="E2869" s="222"/>
      <c r="F2869" s="702"/>
    </row>
    <row r="2870">
      <c r="C2870" s="703"/>
      <c r="E2870" s="222"/>
      <c r="F2870" s="702"/>
    </row>
    <row r="2871">
      <c r="C2871" s="703"/>
      <c r="E2871" s="222"/>
      <c r="F2871" s="702"/>
    </row>
    <row r="2872">
      <c r="C2872" s="703"/>
      <c r="E2872" s="222"/>
      <c r="F2872" s="702"/>
    </row>
    <row r="2873">
      <c r="C2873" s="703"/>
      <c r="E2873" s="222"/>
      <c r="F2873" s="702"/>
    </row>
    <row r="2874">
      <c r="C2874" s="703"/>
      <c r="E2874" s="222"/>
      <c r="F2874" s="702"/>
    </row>
    <row r="2875">
      <c r="C2875" s="703"/>
      <c r="E2875" s="222"/>
      <c r="F2875" s="702"/>
    </row>
    <row r="2876">
      <c r="C2876" s="703"/>
      <c r="E2876" s="222"/>
      <c r="F2876" s="702"/>
    </row>
    <row r="2877">
      <c r="C2877" s="703"/>
      <c r="E2877" s="222"/>
      <c r="F2877" s="702"/>
    </row>
    <row r="2878">
      <c r="C2878" s="703"/>
      <c r="E2878" s="222"/>
      <c r="F2878" s="702"/>
    </row>
    <row r="2879">
      <c r="C2879" s="703"/>
      <c r="E2879" s="222"/>
      <c r="F2879" s="702"/>
    </row>
    <row r="2880">
      <c r="C2880" s="703"/>
      <c r="E2880" s="222"/>
      <c r="F2880" s="702"/>
    </row>
    <row r="2881">
      <c r="C2881" s="703"/>
      <c r="E2881" s="222"/>
      <c r="F2881" s="702"/>
    </row>
    <row r="2882">
      <c r="C2882" s="703"/>
      <c r="E2882" s="222"/>
      <c r="F2882" s="702"/>
    </row>
    <row r="2883">
      <c r="C2883" s="703"/>
      <c r="E2883" s="222"/>
      <c r="F2883" s="702"/>
    </row>
    <row r="2884">
      <c r="C2884" s="703"/>
      <c r="E2884" s="222"/>
      <c r="F2884" s="702"/>
    </row>
    <row r="2885">
      <c r="C2885" s="703"/>
      <c r="E2885" s="222"/>
      <c r="F2885" s="702"/>
    </row>
    <row r="2886">
      <c r="C2886" s="703"/>
      <c r="E2886" s="222"/>
      <c r="F2886" s="702"/>
    </row>
    <row r="2887">
      <c r="C2887" s="703"/>
      <c r="E2887" s="222"/>
      <c r="F2887" s="702"/>
    </row>
    <row r="2888">
      <c r="C2888" s="703"/>
      <c r="E2888" s="222"/>
      <c r="F2888" s="702"/>
    </row>
    <row r="2889">
      <c r="C2889" s="703"/>
      <c r="E2889" s="222"/>
      <c r="F2889" s="702"/>
    </row>
    <row r="2890">
      <c r="C2890" s="703"/>
      <c r="E2890" s="222"/>
      <c r="F2890" s="702"/>
    </row>
    <row r="2891">
      <c r="C2891" s="703"/>
      <c r="E2891" s="222"/>
      <c r="F2891" s="702"/>
    </row>
    <row r="2892">
      <c r="C2892" s="703"/>
      <c r="E2892" s="222"/>
      <c r="F2892" s="702"/>
    </row>
    <row r="2893">
      <c r="C2893" s="703"/>
      <c r="E2893" s="222"/>
      <c r="F2893" s="702"/>
    </row>
    <row r="2894">
      <c r="C2894" s="703"/>
      <c r="E2894" s="222"/>
      <c r="F2894" s="702"/>
    </row>
    <row r="2895">
      <c r="C2895" s="703"/>
      <c r="E2895" s="222"/>
      <c r="F2895" s="702"/>
    </row>
    <row r="2896">
      <c r="C2896" s="703"/>
      <c r="E2896" s="222"/>
      <c r="F2896" s="702"/>
    </row>
    <row r="2897">
      <c r="C2897" s="703"/>
      <c r="E2897" s="222"/>
      <c r="F2897" s="702"/>
    </row>
    <row r="2898">
      <c r="C2898" s="703"/>
      <c r="E2898" s="222"/>
      <c r="F2898" s="702"/>
    </row>
    <row r="2899">
      <c r="C2899" s="703"/>
      <c r="E2899" s="222"/>
      <c r="F2899" s="702"/>
    </row>
    <row r="2900">
      <c r="C2900" s="703"/>
      <c r="E2900" s="222"/>
      <c r="F2900" s="702"/>
    </row>
    <row r="2901">
      <c r="C2901" s="703"/>
      <c r="E2901" s="222"/>
      <c r="F2901" s="702"/>
    </row>
    <row r="2902">
      <c r="C2902" s="703"/>
      <c r="E2902" s="222"/>
      <c r="F2902" s="702"/>
    </row>
    <row r="2903">
      <c r="C2903" s="703"/>
      <c r="E2903" s="222"/>
      <c r="F2903" s="702"/>
    </row>
    <row r="2904">
      <c r="C2904" s="703"/>
      <c r="E2904" s="222"/>
      <c r="F2904" s="702"/>
    </row>
    <row r="2905">
      <c r="C2905" s="703"/>
      <c r="E2905" s="222"/>
      <c r="F2905" s="702"/>
    </row>
    <row r="2906">
      <c r="C2906" s="703"/>
      <c r="E2906" s="222"/>
      <c r="F2906" s="702"/>
    </row>
    <row r="2907">
      <c r="C2907" s="703"/>
      <c r="E2907" s="222"/>
      <c r="F2907" s="702"/>
    </row>
    <row r="2908">
      <c r="C2908" s="703"/>
      <c r="E2908" s="222"/>
      <c r="F2908" s="702"/>
    </row>
    <row r="2909">
      <c r="C2909" s="703"/>
      <c r="E2909" s="222"/>
      <c r="F2909" s="702"/>
    </row>
    <row r="2910">
      <c r="C2910" s="703"/>
      <c r="E2910" s="222"/>
      <c r="F2910" s="702"/>
    </row>
    <row r="2911">
      <c r="C2911" s="703"/>
      <c r="E2911" s="222"/>
      <c r="F2911" s="702"/>
    </row>
    <row r="2912">
      <c r="C2912" s="703"/>
      <c r="E2912" s="222"/>
      <c r="F2912" s="702"/>
    </row>
    <row r="2913">
      <c r="C2913" s="703"/>
      <c r="E2913" s="222"/>
      <c r="F2913" s="702"/>
    </row>
    <row r="2914">
      <c r="C2914" s="703"/>
      <c r="E2914" s="222"/>
      <c r="F2914" s="702"/>
    </row>
    <row r="2915">
      <c r="C2915" s="703"/>
      <c r="E2915" s="222"/>
      <c r="F2915" s="702"/>
    </row>
    <row r="2916">
      <c r="C2916" s="703"/>
      <c r="E2916" s="222"/>
      <c r="F2916" s="702"/>
    </row>
    <row r="2917">
      <c r="C2917" s="703"/>
      <c r="E2917" s="222"/>
      <c r="F2917" s="702"/>
    </row>
    <row r="2918">
      <c r="C2918" s="703"/>
      <c r="E2918" s="222"/>
      <c r="F2918" s="702"/>
    </row>
    <row r="2919">
      <c r="C2919" s="703"/>
      <c r="E2919" s="222"/>
      <c r="F2919" s="702"/>
    </row>
    <row r="2920">
      <c r="C2920" s="703"/>
      <c r="E2920" s="222"/>
      <c r="F2920" s="702"/>
    </row>
    <row r="2921">
      <c r="C2921" s="703"/>
      <c r="E2921" s="222"/>
      <c r="F2921" s="702"/>
    </row>
    <row r="2922">
      <c r="C2922" s="703"/>
      <c r="E2922" s="222"/>
      <c r="F2922" s="702"/>
    </row>
    <row r="2923">
      <c r="C2923" s="703"/>
      <c r="E2923" s="222"/>
      <c r="F2923" s="702"/>
    </row>
    <row r="2924">
      <c r="C2924" s="703"/>
      <c r="E2924" s="222"/>
      <c r="F2924" s="702"/>
    </row>
    <row r="2925">
      <c r="C2925" s="703"/>
      <c r="E2925" s="222"/>
      <c r="F2925" s="702"/>
    </row>
    <row r="2926">
      <c r="C2926" s="703"/>
      <c r="E2926" s="222"/>
      <c r="F2926" s="702"/>
    </row>
    <row r="2927">
      <c r="C2927" s="703"/>
      <c r="E2927" s="222"/>
      <c r="F2927" s="702"/>
    </row>
    <row r="2928">
      <c r="C2928" s="703"/>
      <c r="E2928" s="222"/>
      <c r="F2928" s="702"/>
    </row>
    <row r="2929">
      <c r="C2929" s="703"/>
      <c r="E2929" s="222"/>
      <c r="F2929" s="702"/>
    </row>
    <row r="2930">
      <c r="C2930" s="703"/>
      <c r="E2930" s="222"/>
      <c r="F2930" s="702"/>
    </row>
    <row r="2931">
      <c r="C2931" s="703"/>
      <c r="E2931" s="222"/>
      <c r="F2931" s="702"/>
    </row>
    <row r="2932">
      <c r="C2932" s="703"/>
      <c r="E2932" s="222"/>
      <c r="F2932" s="702"/>
    </row>
    <row r="2933">
      <c r="C2933" s="703"/>
      <c r="E2933" s="222"/>
      <c r="F2933" s="702"/>
    </row>
    <row r="2934">
      <c r="C2934" s="703"/>
      <c r="E2934" s="222"/>
      <c r="F2934" s="702"/>
    </row>
    <row r="2935">
      <c r="C2935" s="703"/>
      <c r="E2935" s="222"/>
      <c r="F2935" s="702"/>
    </row>
    <row r="2936">
      <c r="C2936" s="703"/>
      <c r="E2936" s="222"/>
      <c r="F2936" s="702"/>
    </row>
    <row r="2937">
      <c r="C2937" s="703"/>
      <c r="E2937" s="222"/>
      <c r="F2937" s="702"/>
    </row>
    <row r="2938">
      <c r="C2938" s="703"/>
      <c r="E2938" s="222"/>
      <c r="F2938" s="702"/>
    </row>
    <row r="2939">
      <c r="C2939" s="703"/>
      <c r="E2939" s="222"/>
      <c r="F2939" s="702"/>
    </row>
    <row r="2940">
      <c r="C2940" s="703"/>
      <c r="E2940" s="222"/>
      <c r="F2940" s="702"/>
    </row>
    <row r="2941">
      <c r="C2941" s="703"/>
      <c r="E2941" s="222"/>
      <c r="F2941" s="702"/>
    </row>
    <row r="2942">
      <c r="C2942" s="703"/>
      <c r="E2942" s="222"/>
      <c r="F2942" s="702"/>
    </row>
    <row r="2943">
      <c r="C2943" s="703"/>
      <c r="E2943" s="222"/>
      <c r="F2943" s="702"/>
    </row>
    <row r="2944">
      <c r="C2944" s="703"/>
      <c r="E2944" s="222"/>
      <c r="F2944" s="702"/>
    </row>
    <row r="2945">
      <c r="C2945" s="703"/>
      <c r="E2945" s="222"/>
      <c r="F2945" s="702"/>
    </row>
    <row r="2946">
      <c r="C2946" s="703"/>
      <c r="E2946" s="222"/>
      <c r="F2946" s="702"/>
    </row>
    <row r="2947">
      <c r="C2947" s="703"/>
      <c r="E2947" s="222"/>
      <c r="F2947" s="702"/>
    </row>
    <row r="2948">
      <c r="C2948" s="703"/>
      <c r="E2948" s="222"/>
      <c r="F2948" s="702"/>
    </row>
    <row r="2949">
      <c r="C2949" s="703"/>
      <c r="E2949" s="222"/>
      <c r="F2949" s="702"/>
    </row>
    <row r="2950">
      <c r="C2950" s="703"/>
      <c r="E2950" s="222"/>
      <c r="F2950" s="702"/>
    </row>
    <row r="2951">
      <c r="C2951" s="703"/>
      <c r="E2951" s="222"/>
      <c r="F2951" s="702"/>
    </row>
    <row r="2952">
      <c r="C2952" s="703"/>
      <c r="E2952" s="222"/>
      <c r="F2952" s="702"/>
    </row>
    <row r="2953">
      <c r="C2953" s="703"/>
      <c r="E2953" s="222"/>
      <c r="F2953" s="702"/>
    </row>
    <row r="2954">
      <c r="C2954" s="703"/>
      <c r="E2954" s="222"/>
      <c r="F2954" s="702"/>
    </row>
    <row r="2955">
      <c r="C2955" s="703"/>
      <c r="E2955" s="222"/>
      <c r="F2955" s="702"/>
    </row>
    <row r="2956">
      <c r="C2956" s="703"/>
      <c r="E2956" s="222"/>
      <c r="F2956" s="702"/>
    </row>
    <row r="2957">
      <c r="C2957" s="703"/>
      <c r="E2957" s="222"/>
      <c r="F2957" s="702"/>
    </row>
    <row r="2958">
      <c r="C2958" s="703"/>
      <c r="E2958" s="222"/>
      <c r="F2958" s="702"/>
    </row>
    <row r="2959">
      <c r="C2959" s="703"/>
      <c r="E2959" s="222"/>
      <c r="F2959" s="702"/>
    </row>
    <row r="2960">
      <c r="C2960" s="703"/>
      <c r="E2960" s="222"/>
      <c r="F2960" s="702"/>
    </row>
    <row r="2961">
      <c r="C2961" s="703"/>
      <c r="E2961" s="222"/>
      <c r="F2961" s="702"/>
    </row>
    <row r="2962">
      <c r="C2962" s="703"/>
      <c r="E2962" s="222"/>
      <c r="F2962" s="702"/>
    </row>
    <row r="2963">
      <c r="C2963" s="703"/>
      <c r="E2963" s="222"/>
      <c r="F2963" s="702"/>
    </row>
    <row r="2964">
      <c r="C2964" s="703"/>
      <c r="E2964" s="222"/>
      <c r="F2964" s="702"/>
    </row>
    <row r="2965">
      <c r="C2965" s="703"/>
      <c r="E2965" s="222"/>
      <c r="F2965" s="702"/>
    </row>
    <row r="2966">
      <c r="C2966" s="703"/>
      <c r="E2966" s="222"/>
      <c r="F2966" s="702"/>
    </row>
    <row r="2967">
      <c r="C2967" s="703"/>
      <c r="E2967" s="222"/>
      <c r="F2967" s="702"/>
    </row>
    <row r="2968">
      <c r="C2968" s="703"/>
      <c r="E2968" s="222"/>
      <c r="F2968" s="702"/>
    </row>
    <row r="2969">
      <c r="C2969" s="703"/>
      <c r="E2969" s="222"/>
      <c r="F2969" s="702"/>
    </row>
    <row r="2970">
      <c r="C2970" s="703"/>
      <c r="E2970" s="222"/>
      <c r="F2970" s="702"/>
    </row>
    <row r="2971">
      <c r="C2971" s="703"/>
      <c r="E2971" s="222"/>
      <c r="F2971" s="702"/>
    </row>
    <row r="2972">
      <c r="C2972" s="703"/>
      <c r="E2972" s="222"/>
      <c r="F2972" s="702"/>
    </row>
    <row r="2973">
      <c r="C2973" s="703"/>
      <c r="E2973" s="222"/>
      <c r="F2973" s="702"/>
    </row>
    <row r="2974">
      <c r="C2974" s="703"/>
      <c r="E2974" s="222"/>
      <c r="F2974" s="702"/>
    </row>
    <row r="2975">
      <c r="C2975" s="703"/>
      <c r="E2975" s="222"/>
      <c r="F2975" s="702"/>
    </row>
    <row r="2976">
      <c r="C2976" s="703"/>
      <c r="E2976" s="222"/>
      <c r="F2976" s="702"/>
    </row>
    <row r="2977">
      <c r="C2977" s="703"/>
      <c r="E2977" s="222"/>
      <c r="F2977" s="702"/>
    </row>
    <row r="2978">
      <c r="C2978" s="703"/>
      <c r="E2978" s="222"/>
      <c r="F2978" s="702"/>
    </row>
    <row r="2979">
      <c r="C2979" s="703"/>
      <c r="E2979" s="222"/>
      <c r="F2979" s="702"/>
    </row>
    <row r="2980">
      <c r="C2980" s="703"/>
      <c r="E2980" s="222"/>
      <c r="F2980" s="702"/>
    </row>
    <row r="2981">
      <c r="C2981" s="703"/>
      <c r="E2981" s="222"/>
      <c r="F2981" s="702"/>
    </row>
    <row r="2982">
      <c r="C2982" s="703"/>
      <c r="E2982" s="222"/>
      <c r="F2982" s="702"/>
    </row>
    <row r="2983">
      <c r="C2983" s="703"/>
      <c r="E2983" s="222"/>
      <c r="F2983" s="702"/>
    </row>
    <row r="2984">
      <c r="C2984" s="703"/>
      <c r="E2984" s="222"/>
      <c r="F2984" s="702"/>
    </row>
    <row r="2985">
      <c r="C2985" s="703"/>
      <c r="E2985" s="222"/>
      <c r="F2985" s="702"/>
    </row>
    <row r="2986">
      <c r="C2986" s="703"/>
      <c r="E2986" s="222"/>
      <c r="F2986" s="702"/>
    </row>
    <row r="2987">
      <c r="C2987" s="703"/>
      <c r="E2987" s="222"/>
      <c r="F2987" s="702"/>
    </row>
    <row r="2988">
      <c r="C2988" s="703"/>
      <c r="E2988" s="222"/>
      <c r="F2988" s="702"/>
    </row>
    <row r="2989">
      <c r="C2989" s="703"/>
      <c r="E2989" s="222"/>
      <c r="F2989" s="702"/>
    </row>
  </sheetData>
  <conditionalFormatting sqref="C1:F2989">
    <cfRule type="expression" dxfId="4" priority="1">
      <formula>$C1=TRUE</formula>
    </cfRule>
  </conditionalFormatting>
  <conditionalFormatting sqref="C1:C2989">
    <cfRule type="expression" dxfId="5" priority="2">
      <formula>$F1="Description"</formula>
    </cfRule>
  </conditionalFormatting>
  <conditionalFormatting sqref="C1:F2989">
    <cfRule type="expression" dxfId="6" priority="3">
      <formula>$F1="Description"</formula>
    </cfRule>
  </conditionalFormatting>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outlinePr summaryBelow="0" summaryRight="0"/>
  </sheetPr>
  <sheetViews>
    <sheetView workbookViewId="0"/>
  </sheetViews>
  <sheetFormatPr customHeight="1" defaultColWidth="12.63" defaultRowHeight="15.75"/>
  <cols>
    <col customWidth="1" min="2" max="2" width="12.5"/>
    <col customWidth="1" min="3" max="3" width="12.25"/>
    <col customWidth="1" min="4" max="4" width="2.63"/>
    <col customWidth="1" min="5" max="5" width="9.5"/>
    <col customWidth="1" min="6" max="6" width="2.63"/>
    <col customWidth="1" min="7" max="7" width="23.88"/>
    <col customWidth="1" min="8" max="8" width="145.63"/>
    <col customWidth="1" min="9" max="10" width="22.63"/>
  </cols>
  <sheetData>
    <row r="1">
      <c r="A1" s="700" t="s">
        <v>7552</v>
      </c>
      <c r="C1" s="705" t="str">
        <f>IFERROR(__xludf.DUMMYFUNCTION("IF(ISBLANK(A2), {"""","""","""", """", """", """"}, {{A2, """", ""Criteria"", """", ""Adv/Item"", ""Description""}; IFERROR(FILTER({Advancements!$G$2:$G2989, Advancements!$C$2:$D2989, Advancements!$H$2:$J2989}, Advancements!$S$2:$S2989=A2), {"""", """", "&amp;""""", """", """", """"});IFERROR({FILTER({ItemsBlocks!$C$2:$C2989,ItemsBlocks!$A$2:$A2989,ItemsBlocks!$F$2:$F2989,ItemsBlocks!$D$2:$E2989,IFERROR(ROW(ItemsBlocks!$A$2:$A2989)/0,"""")}, ItemsBlocks!$B$2:$B2989=A2);{"""","""","""","""", """", """"}}, {"""","&amp;" """","""", """", """", """"})})"),"Mob Misc.")</f>
        <v>Mob Misc.</v>
      </c>
      <c r="D1" s="706" t="str">
        <f>IFERROR(__xludf.DUMMYFUNCTION("""COMPUTED_VALUE"""),"")</f>
        <v/>
      </c>
      <c r="E1" s="221" t="str">
        <f>IFERROR(__xludf.DUMMYFUNCTION("""COMPUTED_VALUE"""),"Criteria")</f>
        <v>Criteria</v>
      </c>
      <c r="F1" s="222" t="str">
        <f>IFERROR(__xludf.DUMMYFUNCTION("""COMPUTED_VALUE"""),"")</f>
        <v/>
      </c>
      <c r="G1" s="702" t="str">
        <f>IFERROR(__xludf.DUMMYFUNCTION("""COMPUTED_VALUE"""),"Adv/Item")</f>
        <v>Adv/Item</v>
      </c>
      <c r="H1" s="222" t="str">
        <f>IFERROR(__xludf.DUMMYFUNCTION("""COMPUTED_VALUE"""),"Description")</f>
        <v>Description</v>
      </c>
      <c r="J1" s="208"/>
    </row>
    <row r="2">
      <c r="A2" s="371" t="s">
        <v>1948</v>
      </c>
      <c r="C2" s="703" t="b">
        <f>IFERROR(__xludf.DUMMYFUNCTION("""COMPUTED_VALUE"""),FALSE)</f>
        <v>0</v>
      </c>
      <c r="D2" s="51"/>
      <c r="E2" s="221"/>
      <c r="F2" s="222" t="str">
        <f>IFERROR(__xludf.DUMMYFUNCTION("""COMPUTED_VALUE"""),"")</f>
        <v/>
      </c>
      <c r="G2" s="222" t="str">
        <f>IFERROR(__xludf.DUMMYFUNCTION("""COMPUTED_VALUE"""),"It's High Noon")</f>
        <v>It's High Noon</v>
      </c>
      <c r="H2" s="222" t="str">
        <f>IFERROR(__xludf.DUMMYFUNCTION("""COMPUTED_VALUE"""),"Snipe a Husk from 50 blocks away while riding a Horse (Kill a Husk with a projectile from at least 50 blocks away while you are riding a Horse)")</f>
        <v>Snipe a Husk from 50 blocks away while riding a Horse (Kill a Husk with a projectile from at least 50 blocks away while you are riding a Horse)</v>
      </c>
    </row>
    <row r="3">
      <c r="C3" s="703" t="b">
        <f>IFERROR(__xludf.DUMMYFUNCTION("""COMPUTED_VALUE"""),FALSE)</f>
        <v>0</v>
      </c>
      <c r="D3" s="51"/>
      <c r="E3" s="221"/>
      <c r="F3" s="222" t="str">
        <f>IFERROR(__xludf.DUMMYFUNCTION("""COMPUTED_VALUE"""),"")</f>
        <v/>
      </c>
      <c r="G3" s="702" t="str">
        <f>IFERROR(__xludf.DUMMYFUNCTION("""COMPUTED_VALUE"""),"The High Road")</f>
        <v>The High Road</v>
      </c>
      <c r="H3" s="222" t="str">
        <f>IFERROR(__xludf.DUMMYFUNCTION("""COMPUTED_VALUE"""),"Kill a hostile monster with a melee attack while riding a Camel (The same mobs as what triggers ""Monster Hunter"" can be killed for this advancement)")</f>
        <v>Kill a hostile monster with a melee attack while riding a Camel (The same mobs as what triggers "Monster Hunter" can be killed for this advancement)</v>
      </c>
    </row>
    <row r="4">
      <c r="C4" s="703" t="b">
        <f>IFERROR(__xludf.DUMMYFUNCTION("""COMPUTED_VALUE"""),FALSE)</f>
        <v>0</v>
      </c>
      <c r="D4" s="51"/>
      <c r="E4" s="221"/>
      <c r="F4" s="51" t="str">
        <f>IFERROR(__xludf.DUMMYFUNCTION("""COMPUTED_VALUE"""),"")</f>
        <v/>
      </c>
      <c r="G4" s="702" t="str">
        <f>IFERROR(__xludf.DUMMYFUNCTION("""COMPUTED_VALUE"""),"Blackberry Market")</f>
        <v>Blackberry Market</v>
      </c>
      <c r="H4" s="222" t="str">
        <f>IFERROR(__xludf.DUMMYFUNCTION("""COMPUTED_VALUE"""),"Trade some sweet berries to a Fox with an emerald in their mouth (Have a fox with an Emerald in its mouth pick up Sweet Berries that you dropped)")</f>
        <v>Trade some sweet berries to a Fox with an emerald in their mouth (Have a fox with an Emerald in its mouth pick up Sweet Berries that you dropped)</v>
      </c>
    </row>
    <row r="5">
      <c r="C5" s="704" t="b">
        <f>IFERROR(__xludf.DUMMYFUNCTION("""COMPUTED_VALUE"""),FALSE)</f>
        <v>0</v>
      </c>
      <c r="D5" s="51"/>
      <c r="E5" s="221"/>
      <c r="F5" s="222" t="str">
        <f>IFERROR(__xludf.DUMMYFUNCTION("""COMPUTED_VALUE"""),"")</f>
        <v/>
      </c>
      <c r="G5" s="702" t="str">
        <f>IFERROR(__xludf.DUMMYFUNCTION("""COMPUTED_VALUE"""),"Foxy Thievery")</f>
        <v>Foxy Thievery</v>
      </c>
      <c r="H5" s="222" t="str">
        <f>IFERROR(__xludf.DUMMYFUNCTION("""COMPUTED_VALUE"""),"Give a fox a Totem of Undying (Have a fox pick up a Totem of Undying that you dropped)")</f>
        <v>Give a fox a Totem of Undying (Have a fox pick up a Totem of Undying that you dropped)</v>
      </c>
    </row>
    <row r="6">
      <c r="C6" s="704" t="b">
        <f>IFERROR(__xludf.DUMMYFUNCTION("""COMPUTED_VALUE"""),FALSE)</f>
        <v>0</v>
      </c>
      <c r="D6" s="51"/>
      <c r="E6" s="221"/>
      <c r="F6" s="222" t="str">
        <f>IFERROR(__xludf.DUMMYFUNCTION("""COMPUTED_VALUE"""),"")</f>
        <v/>
      </c>
      <c r="G6" s="702" t="str">
        <f>IFERROR(__xludf.DUMMYFUNCTION("""COMPUTED_VALUE"""),"Dead Really Don’t Die")</f>
        <v>Dead Really Don’t Die</v>
      </c>
      <c r="H6" s="222" t="str">
        <f>IFERROR(__xludf.DUMMYFUNCTION("""COMPUTED_VALUE"""),"Give a zombie a Totem... so that you have to kill it twice (Have a zombie pick up a Totem of Undying that you dropped)")</f>
        <v>Give a zombie a Totem... so that you have to kill it twice (Have a zombie pick up a Totem of Undying that you dropped)</v>
      </c>
    </row>
    <row r="7">
      <c r="C7" s="703" t="b">
        <f>IFERROR(__xludf.DUMMYFUNCTION("""COMPUTED_VALUE"""),FALSE)</f>
        <v>0</v>
      </c>
      <c r="D7" s="51"/>
      <c r="E7" s="221"/>
      <c r="F7" s="222" t="str">
        <f>IFERROR(__xludf.DUMMYFUNCTION("""COMPUTED_VALUE"""),"")</f>
        <v/>
      </c>
      <c r="G7" s="702" t="str">
        <f>IFERROR(__xludf.DUMMYFUNCTION("""COMPUTED_VALUE"""),"Freezing")</f>
        <v>Freezing</v>
      </c>
      <c r="H7" s="222" t="str">
        <f>IFERROR(__xludf.DUMMYFUNCTION("""COMPUTED_VALUE"""),"Bring a husk to a tundra biome and then kill it (Kill a husk in a snowy tundra or ice spikes biome above y-level 56)")</f>
        <v>Bring a husk to a tundra biome and then kill it (Kill a husk in a snowy tundra or ice spikes biome above y-level 56)</v>
      </c>
    </row>
    <row r="8">
      <c r="C8" s="703" t="b">
        <f>IFERROR(__xludf.DUMMYFUNCTION("""COMPUTED_VALUE"""),FALSE)</f>
        <v>0</v>
      </c>
      <c r="D8" s="51"/>
      <c r="E8" s="221"/>
      <c r="F8" s="222" t="str">
        <f>IFERROR(__xludf.DUMMYFUNCTION("""COMPUTED_VALUE"""),"")</f>
        <v/>
      </c>
      <c r="G8" s="702" t="str">
        <f>IFERROR(__xludf.DUMMYFUNCTION("""COMPUTED_VALUE"""),"Custom Boss Fight!")</f>
        <v>Custom Boss Fight!</v>
      </c>
      <c r="H8" s="222" t="str">
        <f>IFERROR(__xludf.DUMMYFUNCTION("""COMPUTED_VALUE"""),"Give a zombie full diamond armor and a diamond sword... then kill it")</f>
        <v>Give a zombie full diamond armor and a diamond sword... then kill it</v>
      </c>
    </row>
    <row r="9">
      <c r="C9" s="703" t="b">
        <f>IFERROR(__xludf.DUMMYFUNCTION("""COMPUTED_VALUE"""),FALSE)</f>
        <v>0</v>
      </c>
      <c r="D9" s="51"/>
      <c r="E9" s="221"/>
      <c r="F9" s="222" t="str">
        <f>IFERROR(__xludf.DUMMYFUNCTION("""COMPUTED_VALUE"""),"")</f>
        <v/>
      </c>
      <c r="G9" s="702" t="str">
        <f>IFERROR(__xludf.DUMMYFUNCTION("""COMPUTED_VALUE"""),"Trick or Treat!")</f>
        <v>Trick or Treat!</v>
      </c>
      <c r="H9" s="222" t="str">
        <f>IFERROR(__xludf.DUMMYFUNCTION("""COMPUTED_VALUE"""),"Defeat a mob wearing a pumpkin")</f>
        <v>Defeat a mob wearing a pumpkin</v>
      </c>
    </row>
    <row r="10">
      <c r="C10" s="703" t="b">
        <f>IFERROR(__xludf.DUMMYFUNCTION("""COMPUTED_VALUE"""),FALSE)</f>
        <v>0</v>
      </c>
      <c r="D10" s="51"/>
      <c r="E10" s="221"/>
      <c r="F10" s="222" t="str">
        <f>IFERROR(__xludf.DUMMYFUNCTION("""COMPUTED_VALUE"""),"")</f>
        <v/>
      </c>
      <c r="G10" s="702" t="str">
        <f>IFERROR(__xludf.DUMMYFUNCTION("""COMPUTED_VALUE"""),"Melting")</f>
        <v>Melting</v>
      </c>
      <c r="H10" s="222" t="str">
        <f>IFERROR(__xludf.DUMMYFUNCTION("""COMPUTED_VALUE"""),"Bring a stray to a desert biome and then kill it (Kill a stray in a desert biome above y-level 56)")</f>
        <v>Bring a stray to a desert biome and then kill it (Kill a stray in a desert biome above y-level 56)</v>
      </c>
    </row>
    <row r="11">
      <c r="C11" s="703" t="b">
        <f>IFERROR(__xludf.DUMMYFUNCTION("""COMPUTED_VALUE"""),FALSE)</f>
        <v>0</v>
      </c>
      <c r="D11" s="51"/>
      <c r="E11" s="221"/>
      <c r="F11" s="222" t="str">
        <f>IFERROR(__xludf.DUMMYFUNCTION("""COMPUTED_VALUE"""),"")</f>
        <v/>
      </c>
      <c r="G11" s="702" t="str">
        <f>IFERROR(__xludf.DUMMYFUNCTION("""COMPUTED_VALUE"""),"The Ghastly Eyes")</f>
        <v>The Ghastly Eyes</v>
      </c>
      <c r="H11" s="222" t="str">
        <f>IFERROR(__xludf.DUMMYFUNCTION("""COMPUTED_VALUE"""),"Kill an invisible spider (Kill an invisible spider or cave spider)")</f>
        <v>Kill an invisible spider (Kill an invisible spider or cave spider)</v>
      </c>
    </row>
    <row r="12">
      <c r="C12" s="703" t="b">
        <f>IFERROR(__xludf.DUMMYFUNCTION("""COMPUTED_VALUE"""),FALSE)</f>
        <v>0</v>
      </c>
      <c r="D12" s="51"/>
      <c r="E12" s="221"/>
      <c r="F12" s="51" t="str">
        <f>IFERROR(__xludf.DUMMYFUNCTION("""COMPUTED_VALUE"""),"")</f>
        <v/>
      </c>
      <c r="G12" s="702" t="str">
        <f>IFERROR(__xludf.DUMMYFUNCTION("""COMPUTED_VALUE"""),"Camouflage")</f>
        <v>Camouflage</v>
      </c>
      <c r="H12" s="222" t="str">
        <f>IFERROR(__xludf.DUMMYFUNCTION("""COMPUTED_VALUE"""),"Kill a mob while wearing the same type of mob head (This works for: Creepers, Zombies, Skeletons, Wither Skeletons and Piglins)")</f>
        <v>Kill a mob while wearing the same type of mob head (This works for: Creepers, Zombies, Skeletons, Wither Skeletons and Piglins)</v>
      </c>
    </row>
    <row r="13">
      <c r="C13" s="703" t="b">
        <f>IFERROR(__xludf.DUMMYFUNCTION("""COMPUTED_VALUE"""),FALSE)</f>
        <v>0</v>
      </c>
      <c r="D13" s="51"/>
      <c r="E13" s="221"/>
      <c r="F13" s="222" t="str">
        <f>IFERROR(__xludf.DUMMYFUNCTION("""COMPUTED_VALUE"""),"")</f>
        <v/>
      </c>
      <c r="G13" s="702" t="str">
        <f>IFERROR(__xludf.DUMMYFUNCTION("""COMPUTED_VALUE"""),"Point Blank")</f>
        <v>Point Blank</v>
      </c>
      <c r="H13" s="222" t="str">
        <f>IFERROR(__xludf.DUMMYFUNCTION("""COMPUTED_VALUE"""),"Shoot a mob at point-blank range (Shoot a mob with an arrow from less than 2 blocks away)")</f>
        <v>Shoot a mob at point-blank range (Shoot a mob with an arrow from less than 2 blocks away)</v>
      </c>
    </row>
    <row r="14">
      <c r="C14" s="703" t="b">
        <f>IFERROR(__xludf.DUMMYFUNCTION("""COMPUTED_VALUE"""),FALSE)</f>
        <v>0</v>
      </c>
      <c r="D14" s="51"/>
      <c r="E14" s="221"/>
      <c r="F14" s="222" t="str">
        <f>IFERROR(__xludf.DUMMYFUNCTION("""COMPUTED_VALUE"""),"")</f>
        <v/>
      </c>
      <c r="G14" s="702" t="str">
        <f>IFERROR(__xludf.DUMMYFUNCTION("""COMPUTED_VALUE"""),"Bow Spammer")</f>
        <v>Bow Spammer</v>
      </c>
      <c r="H14" s="222" t="str">
        <f>IFERROR(__xludf.DUMMYFUNCTION("""COMPUTED_VALUE"""),"Take out a mob by bow-spamming (Deal less than 1 damage with an arrow)")</f>
        <v>Take out a mob by bow-spamming (Deal less than 1 damage with an arrow)</v>
      </c>
    </row>
    <row r="15">
      <c r="C15" s="703" t="b">
        <f>IFERROR(__xludf.DUMMYFUNCTION("""COMPUTED_VALUE"""),FALSE)</f>
        <v>0</v>
      </c>
      <c r="D15" s="51"/>
      <c r="E15" s="221"/>
      <c r="F15" s="222" t="str">
        <f>IFERROR(__xludf.DUMMYFUNCTION("""COMPUTED_VALUE"""),"")</f>
        <v/>
      </c>
      <c r="G15" s="702" t="str">
        <f>IFERROR(__xludf.DUMMYFUNCTION("""COMPUTED_VALUE"""),"Sniper Duel")</f>
        <v>Sniper Duel</v>
      </c>
      <c r="H15" s="222" t="str">
        <f>IFERROR(__xludf.DUMMYFUNCTION("""COMPUTED_VALUE"""),"Kill a skeleton with an arrow from more than 50 metres (Kill a skeleton or stray with an arrow from at least 50 metres)")</f>
        <v>Kill a skeleton with an arrow from more than 50 metres (Kill a skeleton or stray with an arrow from at least 50 metres)</v>
      </c>
    </row>
    <row r="16">
      <c r="C16" s="703" t="b">
        <f>IFERROR(__xludf.DUMMYFUNCTION("""COMPUTED_VALUE"""),FALSE)</f>
        <v>0</v>
      </c>
      <c r="D16" s="51"/>
      <c r="E16" s="221"/>
      <c r="F16" s="222" t="str">
        <f>IFERROR(__xludf.DUMMYFUNCTION("""COMPUTED_VALUE"""),"")</f>
        <v/>
      </c>
      <c r="G16" s="702" t="str">
        <f>IFERROR(__xludf.DUMMYFUNCTION("""COMPUTED_VALUE"""),"Multiclassed")</f>
        <v>Multiclassed</v>
      </c>
      <c r="H16" s="222" t="str">
        <f>IFERROR(__xludf.DUMMYFUNCTION("""COMPUTED_VALUE"""),"Hit a mob with every type of weapon (See requirement notes below)")</f>
        <v>Hit a mob with every type of weapon (See requirement notes below)</v>
      </c>
    </row>
    <row r="17">
      <c r="C17" s="703" t="b">
        <f>IFERROR(__xludf.DUMMYFUNCTION("""COMPUTED_VALUE"""),FALSE)</f>
        <v>0</v>
      </c>
      <c r="D17" s="51"/>
      <c r="E17" s="221"/>
      <c r="F17" s="222" t="str">
        <f>IFERROR(__xludf.DUMMYFUNCTION("""COMPUTED_VALUE"""),"")</f>
        <v/>
      </c>
      <c r="G17" s="702" t="str">
        <f>IFERROR(__xludf.DUMMYFUNCTION("""COMPUTED_VALUE"""),"King of the Sea")</f>
        <v>King of the Sea</v>
      </c>
      <c r="H17" s="222" t="str">
        <f>IFERROR(__xludf.DUMMYFUNCTION("""COMPUTED_VALUE"""),"Kill a Drowned using a trident from at least 30 metres")</f>
        <v>Kill a Drowned using a trident from at least 30 metres</v>
      </c>
    </row>
    <row r="18">
      <c r="C18" s="221" t="b">
        <f>IFERROR(__xludf.DUMMYFUNCTION("""COMPUTED_VALUE"""),FALSE)</f>
        <v>0</v>
      </c>
      <c r="D18" s="51"/>
      <c r="E18" s="221"/>
      <c r="F18" s="222" t="str">
        <f>IFERROR(__xludf.DUMMYFUNCTION("""COMPUTED_VALUE"""),"")</f>
        <v/>
      </c>
      <c r="G18" s="702" t="str">
        <f>IFERROR(__xludf.DUMMYFUNCTION("""COMPUTED_VALUE"""),"A snowball's chance in hell")</f>
        <v>A snowball's chance in hell</v>
      </c>
      <c r="H18" s="222" t="str">
        <f>IFERROR(__xludf.DUMMYFUNCTION("""COMPUTED_VALUE"""),"Defeat a Blaze using snowballs (Kill a blaze with a thrown snowball)")</f>
        <v>Defeat a Blaze using snowballs (Kill a blaze with a thrown snowball)</v>
      </c>
    </row>
    <row r="19">
      <c r="C19" s="703" t="b">
        <f>IFERROR(__xludf.DUMMYFUNCTION("""COMPUTED_VALUE"""),FALSE)</f>
        <v>0</v>
      </c>
      <c r="D19" s="51"/>
      <c r="E19" s="221"/>
      <c r="F19" s="222" t="str">
        <f>IFERROR(__xludf.DUMMYFUNCTION("""COMPUTED_VALUE"""),"")</f>
        <v/>
      </c>
      <c r="G19" s="702" t="str">
        <f>IFERROR(__xludf.DUMMYFUNCTION("""COMPUTED_VALUE"""),"Backfire")</f>
        <v>Backfire</v>
      </c>
      <c r="H19" s="222" t="str">
        <f>IFERROR(__xludf.DUMMYFUNCTION("""COMPUTED_VALUE"""),"Kill a Blaze using a Blaze Rod while both you and it are on fire")</f>
        <v>Kill a Blaze using a Blaze Rod while both you and it are on fire</v>
      </c>
    </row>
    <row r="20">
      <c r="C20" s="703" t="b">
        <f>IFERROR(__xludf.DUMMYFUNCTION("""COMPUTED_VALUE"""),FALSE)</f>
        <v>0</v>
      </c>
      <c r="D20" s="51"/>
      <c r="E20" s="221"/>
      <c r="F20" s="222" t="str">
        <f>IFERROR(__xludf.DUMMYFUNCTION("""COMPUTED_VALUE"""),"")</f>
        <v/>
      </c>
      <c r="G20" s="702" t="str">
        <f>IFERROR(__xludf.DUMMYFUNCTION("""COMPUTED_VALUE"""),"There's yolk on my head")</f>
        <v>There's yolk on my head</v>
      </c>
      <c r="H20" s="222" t="str">
        <f>IFERROR(__xludf.DUMMYFUNCTION("""COMPUTED_VALUE"""),"Catapult an egg onto a zombie's head (Hit a zombie with a thrown egg)")</f>
        <v>Catapult an egg onto a zombie's head (Hit a zombie with a thrown egg)</v>
      </c>
    </row>
    <row r="21">
      <c r="C21" s="703" t="b">
        <f>IFERROR(__xludf.DUMMYFUNCTION("""COMPUTED_VALUE"""),FALSE)</f>
        <v>0</v>
      </c>
      <c r="D21" s="51"/>
      <c r="E21" s="221"/>
      <c r="F21" s="222" t="str">
        <f>IFERROR(__xludf.DUMMYFUNCTION("""COMPUTED_VALUE"""),"")</f>
        <v/>
      </c>
      <c r="G21" s="702" t="str">
        <f>IFERROR(__xludf.DUMMYFUNCTION("""COMPUTED_VALUE"""),"Rock, Paper, Shears!")</f>
        <v>Rock, Paper, Shears!</v>
      </c>
      <c r="H21" s="222" t="str">
        <f>IFERROR(__xludf.DUMMYFUNCTION("""COMPUTED_VALUE"""),"Beat a zombie at rock, paper, shears (See requirement notes below)")</f>
        <v>Beat a zombie at rock, paper, shears (See requirement notes below)</v>
      </c>
    </row>
    <row r="22">
      <c r="C22" s="703" t="b">
        <f>IFERROR(__xludf.DUMMYFUNCTION("""COMPUTED_VALUE"""),FALSE)</f>
        <v>0</v>
      </c>
      <c r="D22" s="51"/>
      <c r="E22" s="221"/>
      <c r="F22" s="222" t="str">
        <f>IFERROR(__xludf.DUMMYFUNCTION("""COMPUTED_VALUE"""),"")</f>
        <v/>
      </c>
      <c r="G22" s="702" t="str">
        <f>IFERROR(__xludf.DUMMYFUNCTION("""COMPUTED_VALUE"""),"Bullseye")</f>
        <v>Bullseye</v>
      </c>
      <c r="H22" s="222" t="str">
        <f>IFERROR(__xludf.DUMMYFUNCTION("""COMPUTED_VALUE"""),"Hit the bullseye of a Target Block with an arrow (Output a signal strength of 15 on a Target using an arrow from 30 blocks away)")</f>
        <v>Hit the bullseye of a Target Block with an arrow (Output a signal strength of 15 on a Target using an arrow from 30 blocks away)</v>
      </c>
    </row>
    <row r="23">
      <c r="C23" s="703" t="b">
        <f>IFERROR(__xludf.DUMMYFUNCTION("""COMPUTED_VALUE"""),FALSE)</f>
        <v>0</v>
      </c>
      <c r="D23" s="51"/>
      <c r="E23" s="221"/>
      <c r="F23" s="222" t="str">
        <f>IFERROR(__xludf.DUMMYFUNCTION("""COMPUTED_VALUE"""),"")</f>
        <v/>
      </c>
      <c r="G23" s="702" t="str">
        <f>IFERROR(__xludf.DUMMYFUNCTION("""COMPUTED_VALUE"""),"Hot Reels!")</f>
        <v>Hot Reels!</v>
      </c>
      <c r="H23" s="222" t="str">
        <f>IFERROR(__xludf.DUMMYFUNCTION("""COMPUTED_VALUE"""),"Reel in a Strider using a Fishing Rod (Hook a Strider with a Fishing Rod then right-click to reel it in)")</f>
        <v>Reel in a Strider using a Fishing Rod (Hook a Strider with a Fishing Rod then right-click to reel it in)</v>
      </c>
    </row>
    <row r="24">
      <c r="C24" s="703" t="b">
        <f>IFERROR(__xludf.DUMMYFUNCTION("""COMPUTED_VALUE"""),FALSE)</f>
        <v>0</v>
      </c>
      <c r="D24" s="51"/>
      <c r="E24" s="221"/>
      <c r="F24" s="222" t="str">
        <f>IFERROR(__xludf.DUMMYFUNCTION("""COMPUTED_VALUE"""),"")</f>
        <v/>
      </c>
      <c r="G24" s="702" t="str">
        <f>IFERROR(__xludf.DUMMYFUNCTION("""COMPUTED_VALUE"""),"Dogfight")</f>
        <v>Dogfight</v>
      </c>
      <c r="H24" s="222" t="str">
        <f>IFERROR(__xludf.DUMMYFUNCTION("""COMPUTED_VALUE"""),"Kill a Skeleton or Stray while both you and it have levitation")</f>
        <v>Kill a Skeleton or Stray while both you and it have levitation</v>
      </c>
    </row>
    <row r="25">
      <c r="C25" s="703" t="b">
        <f>IFERROR(__xludf.DUMMYFUNCTION("""COMPUTED_VALUE"""),FALSE)</f>
        <v>0</v>
      </c>
      <c r="D25" s="51"/>
      <c r="E25" s="221"/>
      <c r="F25" s="222" t="str">
        <f>IFERROR(__xludf.DUMMYFUNCTION("""COMPUTED_VALUE"""),"")</f>
        <v/>
      </c>
      <c r="G25" s="702" t="str">
        <f>IFERROR(__xludf.DUMMYFUNCTION("""COMPUTED_VALUE"""),"Diver's Dozen")</f>
        <v>Diver's Dozen</v>
      </c>
      <c r="H25" s="222" t="str">
        <f>IFERROR(__xludf.DUMMYFUNCTION("""COMPUTED_VALUE"""),"Kill 12 mobs while airborne using Elytra. Stopping flight or touching liquid will reset your progress")</f>
        <v>Kill 12 mobs while airborne using Elytra. Stopping flight or touching liquid will reset your progress</v>
      </c>
    </row>
    <row r="26">
      <c r="C26" s="703" t="str">
        <f>IFERROR(__xludf.DUMMYFUNCTION("""COMPUTED_VALUE"""),"")</f>
        <v/>
      </c>
      <c r="D26" s="51" t="str">
        <f>IFERROR(__xludf.DUMMYFUNCTION("""COMPUTED_VALUE"""),"")</f>
        <v/>
      </c>
      <c r="E26" s="221" t="str">
        <f>IFERROR(__xludf.DUMMYFUNCTION("""COMPUTED_VALUE"""),"")</f>
        <v/>
      </c>
      <c r="F26" s="222" t="str">
        <f>IFERROR(__xludf.DUMMYFUNCTION("""COMPUTED_VALUE"""),"")</f>
        <v/>
      </c>
      <c r="G26" s="702" t="str">
        <f>IFERROR(__xludf.DUMMYFUNCTION("""COMPUTED_VALUE"""),"")</f>
        <v/>
      </c>
      <c r="H26" s="222" t="str">
        <f>IFERROR(__xludf.DUMMYFUNCTION("""COMPUTED_VALUE"""),"")</f>
        <v/>
      </c>
    </row>
    <row r="27">
      <c r="C27" s="703"/>
      <c r="E27" s="221"/>
      <c r="F27" s="222"/>
      <c r="G27" s="702"/>
      <c r="H27" s="222"/>
    </row>
    <row r="28">
      <c r="C28" s="703"/>
      <c r="E28" s="221"/>
      <c r="F28" s="222"/>
      <c r="G28" s="702"/>
      <c r="H28" s="222"/>
    </row>
    <row r="29">
      <c r="C29" s="703"/>
      <c r="E29" s="221"/>
      <c r="F29" s="222"/>
      <c r="G29" s="702"/>
      <c r="H29" s="222"/>
    </row>
    <row r="30">
      <c r="C30" s="703"/>
      <c r="E30" s="221"/>
      <c r="F30" s="222"/>
      <c r="G30" s="702"/>
      <c r="H30" s="222"/>
    </row>
    <row r="31">
      <c r="C31" s="703"/>
      <c r="E31" s="221"/>
      <c r="F31" s="707"/>
      <c r="G31" s="702"/>
      <c r="H31" s="222"/>
    </row>
    <row r="32">
      <c r="C32" s="703"/>
      <c r="E32" s="221"/>
      <c r="F32" s="222"/>
      <c r="G32" s="702"/>
      <c r="H32" s="222"/>
    </row>
    <row r="33">
      <c r="C33" s="703"/>
      <c r="E33" s="221"/>
      <c r="F33" s="222"/>
      <c r="G33" s="702"/>
      <c r="H33" s="222"/>
    </row>
    <row r="34">
      <c r="C34" s="703"/>
      <c r="E34" s="221"/>
      <c r="F34" s="222"/>
      <c r="G34" s="702"/>
      <c r="H34" s="222"/>
    </row>
    <row r="35">
      <c r="C35" s="703"/>
      <c r="E35" s="221"/>
      <c r="F35" s="222"/>
      <c r="G35" s="702"/>
      <c r="H35" s="222"/>
    </row>
    <row r="36">
      <c r="C36" s="703"/>
      <c r="E36" s="221"/>
      <c r="F36" s="707"/>
      <c r="G36" s="702"/>
      <c r="H36" s="222"/>
    </row>
    <row r="37">
      <c r="C37" s="703"/>
      <c r="E37" s="221"/>
      <c r="F37" s="222"/>
      <c r="G37" s="702"/>
      <c r="H37" s="222"/>
    </row>
    <row r="38">
      <c r="C38" s="703"/>
      <c r="E38" s="221"/>
      <c r="F38" s="222"/>
      <c r="G38" s="702"/>
      <c r="H38" s="222"/>
    </row>
    <row r="39">
      <c r="C39" s="703"/>
      <c r="E39" s="221"/>
      <c r="F39" s="222"/>
      <c r="G39" s="702"/>
      <c r="H39" s="222"/>
    </row>
    <row r="40">
      <c r="C40" s="703"/>
      <c r="E40" s="221"/>
      <c r="F40" s="222"/>
      <c r="G40" s="702"/>
      <c r="H40" s="222"/>
    </row>
    <row r="41">
      <c r="C41" s="703"/>
      <c r="E41" s="221"/>
      <c r="F41" s="222"/>
      <c r="G41" s="702"/>
      <c r="H41" s="222"/>
    </row>
    <row r="42">
      <c r="C42" s="703"/>
      <c r="E42" s="221"/>
      <c r="F42" s="222"/>
      <c r="G42" s="702"/>
      <c r="H42" s="222"/>
    </row>
    <row r="43">
      <c r="C43" s="703"/>
      <c r="E43" s="221"/>
      <c r="F43" s="222"/>
      <c r="G43" s="702"/>
      <c r="H43" s="222"/>
    </row>
    <row r="44">
      <c r="C44" s="703"/>
      <c r="E44" s="221"/>
      <c r="F44" s="222"/>
      <c r="G44" s="702"/>
      <c r="H44" s="222"/>
    </row>
    <row r="45">
      <c r="C45" s="703"/>
      <c r="E45" s="221"/>
      <c r="F45" s="222"/>
      <c r="G45" s="702"/>
      <c r="H45" s="222"/>
    </row>
    <row r="46">
      <c r="C46" s="703"/>
      <c r="E46" s="221"/>
      <c r="F46" s="222"/>
      <c r="G46" s="702"/>
      <c r="H46" s="222"/>
    </row>
    <row r="47">
      <c r="C47" s="703"/>
      <c r="E47" s="221"/>
      <c r="F47" s="222"/>
      <c r="G47" s="702"/>
      <c r="H47" s="222"/>
    </row>
    <row r="48">
      <c r="C48" s="703"/>
      <c r="E48" s="221"/>
      <c r="F48" s="222"/>
      <c r="G48" s="702"/>
      <c r="H48" s="222"/>
    </row>
    <row r="49">
      <c r="C49" s="703"/>
      <c r="E49" s="221"/>
      <c r="F49" s="222"/>
      <c r="G49" s="702"/>
      <c r="H49" s="222"/>
    </row>
    <row r="50">
      <c r="C50" s="703"/>
      <c r="E50" s="221"/>
      <c r="F50" s="222"/>
      <c r="G50" s="702"/>
      <c r="H50" s="222"/>
    </row>
    <row r="51">
      <c r="C51" s="703"/>
      <c r="E51" s="221"/>
      <c r="F51" s="222"/>
      <c r="G51" s="702"/>
      <c r="H51" s="222"/>
    </row>
    <row r="52">
      <c r="C52" s="703"/>
      <c r="E52" s="221"/>
      <c r="F52" s="222"/>
      <c r="G52" s="702"/>
      <c r="H52" s="222"/>
    </row>
    <row r="53">
      <c r="C53" s="703"/>
      <c r="E53" s="221"/>
      <c r="F53" s="222"/>
      <c r="G53" s="702"/>
      <c r="H53" s="222"/>
    </row>
    <row r="54">
      <c r="C54" s="703"/>
      <c r="E54" s="221"/>
      <c r="F54" s="222"/>
      <c r="G54" s="702"/>
      <c r="H54" s="222"/>
    </row>
    <row r="55">
      <c r="C55" s="703"/>
      <c r="E55" s="221"/>
      <c r="F55" s="222"/>
      <c r="G55" s="702"/>
      <c r="H55" s="222"/>
    </row>
    <row r="56">
      <c r="C56" s="703"/>
      <c r="E56" s="221"/>
      <c r="F56" s="222"/>
      <c r="G56" s="702"/>
      <c r="H56" s="222"/>
    </row>
    <row r="57">
      <c r="C57" s="703"/>
      <c r="E57" s="221"/>
      <c r="F57" s="222"/>
      <c r="G57" s="702"/>
      <c r="H57" s="222"/>
    </row>
    <row r="58">
      <c r="C58" s="703"/>
      <c r="E58" s="221"/>
      <c r="F58" s="222"/>
      <c r="G58" s="702"/>
      <c r="H58" s="222"/>
    </row>
    <row r="59">
      <c r="C59" s="703"/>
      <c r="E59" s="221"/>
      <c r="F59" s="222"/>
      <c r="G59" s="702"/>
      <c r="H59" s="222"/>
    </row>
    <row r="60">
      <c r="C60" s="703"/>
      <c r="E60" s="221"/>
      <c r="F60" s="222"/>
      <c r="G60" s="702"/>
      <c r="H60" s="222"/>
    </row>
    <row r="61">
      <c r="C61" s="703"/>
      <c r="E61" s="221"/>
      <c r="F61" s="222"/>
      <c r="G61" s="702"/>
      <c r="H61" s="222"/>
    </row>
    <row r="62">
      <c r="C62" s="703"/>
      <c r="E62" s="221"/>
      <c r="F62" s="222"/>
      <c r="G62" s="702"/>
      <c r="H62" s="222"/>
    </row>
    <row r="63">
      <c r="C63" s="703"/>
      <c r="E63" s="221"/>
      <c r="F63" s="222"/>
      <c r="G63" s="702"/>
      <c r="H63" s="222"/>
    </row>
    <row r="64">
      <c r="C64" s="703"/>
      <c r="E64" s="221"/>
      <c r="F64" s="222"/>
      <c r="G64" s="702"/>
      <c r="H64" s="222"/>
    </row>
    <row r="65">
      <c r="C65" s="703"/>
      <c r="E65" s="221"/>
      <c r="F65" s="222"/>
      <c r="G65" s="702"/>
      <c r="H65" s="222"/>
    </row>
    <row r="66">
      <c r="C66" s="703"/>
      <c r="E66" s="221"/>
      <c r="F66" s="222"/>
      <c r="G66" s="702"/>
      <c r="H66" s="222"/>
    </row>
    <row r="67">
      <c r="C67" s="703"/>
      <c r="E67" s="221"/>
      <c r="F67" s="222"/>
      <c r="G67" s="702"/>
      <c r="H67" s="222"/>
    </row>
    <row r="68">
      <c r="C68" s="703"/>
      <c r="E68" s="221"/>
      <c r="F68" s="222"/>
      <c r="G68" s="702"/>
      <c r="H68" s="222"/>
    </row>
    <row r="69">
      <c r="C69" s="703"/>
      <c r="E69" s="221"/>
      <c r="F69" s="222"/>
      <c r="G69" s="702"/>
      <c r="H69" s="222"/>
    </row>
    <row r="70">
      <c r="C70" s="703"/>
      <c r="E70" s="221"/>
      <c r="F70" s="222"/>
      <c r="G70" s="702"/>
      <c r="H70" s="222"/>
    </row>
    <row r="71">
      <c r="C71" s="703"/>
      <c r="E71" s="221"/>
      <c r="F71" s="222"/>
      <c r="G71" s="702"/>
      <c r="H71" s="222"/>
    </row>
    <row r="72">
      <c r="C72" s="703"/>
      <c r="E72" s="221"/>
      <c r="F72" s="222"/>
      <c r="G72" s="702"/>
      <c r="H72" s="222"/>
    </row>
    <row r="73">
      <c r="C73" s="703"/>
      <c r="E73" s="221"/>
      <c r="F73" s="222"/>
      <c r="G73" s="702"/>
      <c r="H73" s="222"/>
    </row>
    <row r="74">
      <c r="C74" s="703"/>
      <c r="E74" s="221"/>
      <c r="F74" s="222"/>
      <c r="G74" s="702"/>
      <c r="H74" s="222"/>
    </row>
    <row r="75">
      <c r="C75" s="703"/>
      <c r="E75" s="221"/>
      <c r="F75" s="222"/>
      <c r="G75" s="702"/>
      <c r="H75" s="222"/>
    </row>
    <row r="76">
      <c r="C76" s="703"/>
      <c r="E76" s="221"/>
      <c r="F76" s="222"/>
      <c r="G76" s="702"/>
      <c r="H76" s="222"/>
    </row>
    <row r="77">
      <c r="C77" s="703"/>
      <c r="E77" s="221"/>
      <c r="F77" s="222"/>
      <c r="H77" s="222"/>
    </row>
    <row r="78">
      <c r="C78" s="703"/>
      <c r="E78" s="221"/>
      <c r="F78" s="222"/>
      <c r="G78" s="702"/>
      <c r="H78" s="222"/>
    </row>
    <row r="79">
      <c r="C79" s="703"/>
      <c r="E79" s="221"/>
      <c r="F79" s="222"/>
      <c r="G79" s="702"/>
      <c r="H79" s="222"/>
    </row>
    <row r="80">
      <c r="C80" s="703"/>
      <c r="E80" s="221"/>
      <c r="F80" s="222"/>
      <c r="G80" s="702"/>
      <c r="H80" s="222"/>
    </row>
    <row r="81">
      <c r="C81" s="703"/>
      <c r="E81" s="221"/>
      <c r="F81" s="222"/>
      <c r="G81" s="702"/>
      <c r="H81" s="222"/>
    </row>
    <row r="82">
      <c r="C82" s="703"/>
      <c r="E82" s="221"/>
      <c r="F82" s="222"/>
      <c r="G82" s="702"/>
      <c r="H82" s="222"/>
    </row>
    <row r="83">
      <c r="C83" s="703"/>
      <c r="E83" s="221"/>
      <c r="F83" s="222"/>
      <c r="G83" s="702"/>
      <c r="H83" s="222"/>
    </row>
    <row r="84">
      <c r="C84" s="703"/>
      <c r="E84" s="221"/>
      <c r="F84" s="222"/>
      <c r="G84" s="702"/>
      <c r="H84" s="222"/>
    </row>
    <row r="85">
      <c r="C85" s="703"/>
      <c r="E85" s="221"/>
      <c r="F85" s="222"/>
      <c r="G85" s="702"/>
      <c r="H85" s="222"/>
    </row>
    <row r="86">
      <c r="C86" s="703"/>
      <c r="E86" s="221"/>
      <c r="F86" s="222"/>
      <c r="G86" s="702"/>
      <c r="H86" s="222"/>
    </row>
    <row r="87">
      <c r="C87" s="703"/>
      <c r="E87" s="221"/>
      <c r="F87" s="222"/>
      <c r="G87" s="702"/>
      <c r="H87" s="222"/>
    </row>
    <row r="88">
      <c r="C88" s="703"/>
      <c r="E88" s="221"/>
      <c r="F88" s="222"/>
      <c r="G88" s="702"/>
      <c r="H88" s="222"/>
    </row>
    <row r="89">
      <c r="C89" s="703"/>
      <c r="E89" s="221"/>
      <c r="F89" s="222"/>
      <c r="G89" s="702"/>
      <c r="H89" s="222"/>
    </row>
    <row r="90">
      <c r="C90" s="703"/>
      <c r="E90" s="221"/>
      <c r="F90" s="222"/>
      <c r="G90" s="702"/>
      <c r="H90" s="222"/>
    </row>
    <row r="91">
      <c r="C91" s="703"/>
      <c r="E91" s="221"/>
      <c r="F91" s="222"/>
      <c r="G91" s="702"/>
      <c r="H91" s="222"/>
    </row>
    <row r="92">
      <c r="C92" s="703"/>
      <c r="E92" s="221"/>
      <c r="F92" s="222"/>
      <c r="G92" s="702"/>
      <c r="H92" s="222"/>
    </row>
    <row r="93">
      <c r="C93" s="703"/>
      <c r="E93" s="221"/>
      <c r="F93" s="222"/>
      <c r="G93" s="702"/>
      <c r="H93" s="222"/>
    </row>
    <row r="94">
      <c r="C94" s="703"/>
      <c r="E94" s="221"/>
      <c r="F94" s="222"/>
      <c r="G94" s="702"/>
      <c r="H94" s="222"/>
    </row>
    <row r="95">
      <c r="C95" s="703"/>
      <c r="E95" s="221"/>
      <c r="F95" s="222"/>
      <c r="G95" s="702"/>
      <c r="H95" s="222"/>
    </row>
    <row r="96">
      <c r="C96" s="703"/>
      <c r="E96" s="221"/>
      <c r="F96" s="222"/>
      <c r="G96" s="702"/>
      <c r="H96" s="222"/>
    </row>
    <row r="97">
      <c r="C97" s="703"/>
      <c r="E97" s="221"/>
      <c r="F97" s="222"/>
      <c r="G97" s="702"/>
      <c r="H97" s="222"/>
    </row>
    <row r="98">
      <c r="C98" s="703"/>
      <c r="E98" s="221"/>
      <c r="F98" s="222"/>
      <c r="G98" s="702"/>
      <c r="H98" s="222"/>
    </row>
    <row r="99">
      <c r="C99" s="703"/>
      <c r="E99" s="221"/>
      <c r="F99" s="222"/>
      <c r="G99" s="702"/>
      <c r="H99" s="222"/>
    </row>
    <row r="100">
      <c r="C100" s="703"/>
      <c r="E100" s="221"/>
      <c r="F100" s="222"/>
      <c r="G100" s="702"/>
      <c r="H100" s="222"/>
    </row>
    <row r="101">
      <c r="C101" s="703"/>
      <c r="E101" s="221"/>
      <c r="F101" s="222"/>
      <c r="G101" s="702"/>
      <c r="H101" s="222"/>
    </row>
    <row r="102">
      <c r="C102" s="703"/>
      <c r="E102" s="221"/>
      <c r="F102" s="222"/>
      <c r="G102" s="702"/>
      <c r="H102" s="222"/>
    </row>
    <row r="103">
      <c r="C103" s="703"/>
      <c r="E103" s="221"/>
      <c r="F103" s="222"/>
      <c r="G103" s="702"/>
      <c r="H103" s="222"/>
    </row>
    <row r="104">
      <c r="C104" s="703"/>
      <c r="E104" s="221"/>
      <c r="F104" s="222"/>
      <c r="G104" s="702"/>
      <c r="H104" s="222"/>
    </row>
    <row r="105">
      <c r="C105" s="703"/>
      <c r="E105" s="221"/>
      <c r="F105" s="222"/>
      <c r="G105" s="702"/>
      <c r="H105" s="222"/>
    </row>
    <row r="106">
      <c r="C106" s="703"/>
      <c r="E106" s="221"/>
      <c r="F106" s="222"/>
      <c r="G106" s="702"/>
      <c r="H106" s="222"/>
    </row>
    <row r="107">
      <c r="C107" s="703"/>
      <c r="E107" s="221"/>
      <c r="F107" s="222"/>
      <c r="G107" s="702"/>
      <c r="H107" s="222"/>
    </row>
    <row r="108">
      <c r="C108" s="703"/>
      <c r="E108" s="221"/>
      <c r="F108" s="222"/>
      <c r="G108" s="702"/>
      <c r="H108" s="222"/>
    </row>
    <row r="109">
      <c r="C109" s="703"/>
      <c r="E109" s="221"/>
      <c r="F109" s="222"/>
      <c r="G109" s="702"/>
      <c r="H109" s="222"/>
    </row>
    <row r="110">
      <c r="C110" s="703"/>
      <c r="E110" s="221"/>
      <c r="F110" s="222"/>
      <c r="G110" s="702"/>
      <c r="H110" s="222"/>
    </row>
    <row r="111">
      <c r="C111" s="703"/>
      <c r="E111" s="221"/>
      <c r="F111" s="222"/>
      <c r="G111" s="702"/>
      <c r="H111" s="222"/>
    </row>
    <row r="112">
      <c r="C112" s="703"/>
      <c r="E112" s="221"/>
      <c r="F112" s="222"/>
      <c r="G112" s="702"/>
      <c r="H112" s="222"/>
    </row>
    <row r="113">
      <c r="C113" s="703"/>
      <c r="E113" s="221"/>
      <c r="F113" s="222"/>
      <c r="G113" s="702"/>
      <c r="H113" s="222"/>
    </row>
    <row r="114">
      <c r="C114" s="703"/>
      <c r="E114" s="221"/>
      <c r="F114" s="222"/>
      <c r="G114" s="702"/>
      <c r="H114" s="222"/>
    </row>
    <row r="115">
      <c r="C115" s="703"/>
      <c r="E115" s="221"/>
      <c r="F115" s="222"/>
      <c r="G115" s="702"/>
      <c r="H115" s="222"/>
    </row>
    <row r="116">
      <c r="C116" s="703"/>
      <c r="E116" s="221"/>
      <c r="F116" s="222"/>
      <c r="G116" s="702"/>
      <c r="H116" s="222"/>
    </row>
    <row r="117">
      <c r="C117" s="703"/>
      <c r="E117" s="221"/>
      <c r="F117" s="222"/>
      <c r="G117" s="702"/>
      <c r="H117" s="222"/>
    </row>
    <row r="118">
      <c r="C118" s="703"/>
      <c r="E118" s="221"/>
      <c r="F118" s="222"/>
      <c r="G118" s="702"/>
      <c r="H118" s="222"/>
    </row>
    <row r="119">
      <c r="C119" s="703"/>
      <c r="E119" s="221"/>
      <c r="F119" s="222"/>
      <c r="G119" s="702"/>
      <c r="H119" s="222"/>
    </row>
    <row r="120">
      <c r="C120" s="703"/>
      <c r="E120" s="221"/>
      <c r="F120" s="222"/>
      <c r="G120" s="702"/>
      <c r="H120" s="222"/>
    </row>
    <row r="121">
      <c r="C121" s="703"/>
      <c r="E121" s="221"/>
      <c r="F121" s="222"/>
      <c r="G121" s="702"/>
      <c r="H121" s="222"/>
    </row>
    <row r="122">
      <c r="C122" s="703"/>
      <c r="E122" s="221"/>
      <c r="F122" s="222"/>
      <c r="G122" s="702"/>
      <c r="H122" s="222"/>
    </row>
    <row r="123">
      <c r="C123" s="703"/>
      <c r="E123" s="221"/>
      <c r="F123" s="222"/>
      <c r="G123" s="702"/>
      <c r="H123" s="222"/>
    </row>
    <row r="124">
      <c r="C124" s="703"/>
      <c r="E124" s="221"/>
      <c r="F124" s="222"/>
      <c r="G124" s="702"/>
      <c r="H124" s="222"/>
    </row>
    <row r="125">
      <c r="C125" s="703"/>
      <c r="E125" s="221"/>
      <c r="F125" s="222"/>
      <c r="G125" s="702"/>
      <c r="H125" s="222"/>
    </row>
    <row r="126">
      <c r="C126" s="703"/>
      <c r="E126" s="221"/>
      <c r="F126" s="222"/>
      <c r="G126" s="702"/>
      <c r="H126" s="222"/>
    </row>
    <row r="127">
      <c r="C127" s="703"/>
      <c r="E127" s="221"/>
      <c r="F127" s="222"/>
      <c r="G127" s="702"/>
      <c r="H127" s="222"/>
    </row>
    <row r="128">
      <c r="C128" s="703"/>
      <c r="E128" s="221"/>
      <c r="F128" s="222"/>
      <c r="G128" s="702"/>
      <c r="H128" s="222"/>
    </row>
    <row r="129">
      <c r="C129" s="703"/>
      <c r="E129" s="221"/>
      <c r="F129" s="222"/>
      <c r="G129" s="702"/>
      <c r="H129" s="222"/>
    </row>
    <row r="130">
      <c r="C130" s="703"/>
      <c r="E130" s="221"/>
      <c r="F130" s="222"/>
      <c r="G130" s="702"/>
      <c r="H130" s="222"/>
    </row>
    <row r="131">
      <c r="C131" s="703"/>
      <c r="E131" s="221"/>
      <c r="F131" s="222"/>
      <c r="G131" s="702"/>
      <c r="H131" s="222"/>
    </row>
    <row r="132">
      <c r="C132" s="703"/>
      <c r="E132" s="221"/>
      <c r="F132" s="222"/>
      <c r="G132" s="702"/>
      <c r="H132" s="222"/>
    </row>
    <row r="133">
      <c r="C133" s="703"/>
      <c r="E133" s="221"/>
      <c r="F133" s="222"/>
      <c r="G133" s="702"/>
      <c r="H133" s="222"/>
    </row>
    <row r="134">
      <c r="C134" s="703"/>
      <c r="E134" s="221"/>
      <c r="F134" s="222"/>
      <c r="G134" s="702"/>
      <c r="H134" s="222"/>
    </row>
    <row r="135">
      <c r="C135" s="703"/>
      <c r="E135" s="221"/>
      <c r="F135" s="222"/>
      <c r="G135" s="702"/>
      <c r="H135" s="222"/>
    </row>
    <row r="136">
      <c r="C136" s="703"/>
      <c r="E136" s="221"/>
      <c r="F136" s="222"/>
      <c r="G136" s="702"/>
      <c r="H136" s="222"/>
    </row>
    <row r="137">
      <c r="C137" s="703"/>
      <c r="E137" s="221"/>
      <c r="F137" s="222"/>
      <c r="G137" s="702"/>
      <c r="H137" s="222"/>
    </row>
    <row r="138">
      <c r="C138" s="703"/>
      <c r="E138" s="221"/>
      <c r="F138" s="222"/>
      <c r="G138" s="702"/>
      <c r="H138" s="222"/>
    </row>
    <row r="139">
      <c r="C139" s="703"/>
      <c r="E139" s="221"/>
      <c r="F139" s="222"/>
      <c r="G139" s="702"/>
      <c r="H139" s="222"/>
    </row>
    <row r="140">
      <c r="C140" s="703"/>
      <c r="E140" s="221"/>
      <c r="F140" s="222"/>
      <c r="G140" s="702"/>
      <c r="H140" s="222"/>
    </row>
    <row r="141">
      <c r="C141" s="703"/>
      <c r="E141" s="221"/>
      <c r="F141" s="222"/>
      <c r="G141" s="702"/>
      <c r="H141" s="222"/>
    </row>
    <row r="142">
      <c r="C142" s="703"/>
      <c r="E142" s="221"/>
      <c r="F142" s="222"/>
      <c r="G142" s="702"/>
      <c r="H142" s="222"/>
    </row>
    <row r="143">
      <c r="C143" s="703"/>
      <c r="E143" s="221"/>
      <c r="F143" s="222"/>
      <c r="G143" s="702"/>
      <c r="H143" s="222"/>
    </row>
    <row r="144">
      <c r="C144" s="703"/>
      <c r="E144" s="221"/>
      <c r="F144" s="222"/>
      <c r="G144" s="702"/>
      <c r="H144" s="222"/>
    </row>
    <row r="145">
      <c r="C145" s="703"/>
      <c r="E145" s="221"/>
      <c r="F145" s="222"/>
      <c r="G145" s="702"/>
      <c r="H145" s="222"/>
    </row>
    <row r="146">
      <c r="C146" s="703"/>
      <c r="E146" s="221"/>
      <c r="F146" s="222"/>
      <c r="G146" s="702"/>
      <c r="H146" s="222"/>
    </row>
    <row r="147">
      <c r="C147" s="703"/>
      <c r="E147" s="221"/>
      <c r="F147" s="222"/>
      <c r="G147" s="702"/>
      <c r="H147" s="222"/>
    </row>
    <row r="148">
      <c r="C148" s="703"/>
      <c r="E148" s="221"/>
      <c r="F148" s="222"/>
      <c r="G148" s="702"/>
      <c r="H148" s="222"/>
    </row>
    <row r="149">
      <c r="C149" s="703"/>
      <c r="E149" s="221"/>
      <c r="F149" s="222"/>
      <c r="G149" s="702"/>
      <c r="H149" s="222"/>
    </row>
    <row r="150">
      <c r="C150" s="703"/>
      <c r="E150" s="221"/>
      <c r="F150" s="222"/>
      <c r="G150" s="702"/>
      <c r="H150" s="222"/>
    </row>
    <row r="151">
      <c r="C151" s="703"/>
      <c r="E151" s="221"/>
      <c r="F151" s="222"/>
      <c r="G151" s="702"/>
      <c r="H151" s="222"/>
    </row>
    <row r="152">
      <c r="C152" s="703"/>
      <c r="E152" s="221"/>
      <c r="F152" s="222"/>
      <c r="G152" s="702"/>
      <c r="H152" s="222"/>
    </row>
    <row r="153">
      <c r="C153" s="703"/>
      <c r="E153" s="221"/>
      <c r="F153" s="222"/>
      <c r="G153" s="702"/>
      <c r="H153" s="222"/>
    </row>
    <row r="154">
      <c r="C154" s="703"/>
      <c r="E154" s="221"/>
      <c r="F154" s="222"/>
      <c r="G154" s="702"/>
      <c r="H154" s="222"/>
    </row>
    <row r="155">
      <c r="C155" s="703"/>
      <c r="E155" s="221"/>
      <c r="F155" s="222"/>
      <c r="G155" s="702"/>
      <c r="H155" s="222"/>
    </row>
    <row r="156">
      <c r="C156" s="703"/>
      <c r="E156" s="221"/>
      <c r="F156" s="222"/>
      <c r="G156" s="702"/>
      <c r="H156" s="222"/>
    </row>
    <row r="157">
      <c r="C157" s="703"/>
      <c r="E157" s="221"/>
      <c r="F157" s="222"/>
      <c r="G157" s="702"/>
      <c r="H157" s="222"/>
    </row>
    <row r="158">
      <c r="C158" s="703"/>
      <c r="E158" s="221"/>
      <c r="F158" s="222"/>
      <c r="G158" s="702"/>
      <c r="H158" s="222"/>
    </row>
    <row r="159">
      <c r="C159" s="703"/>
      <c r="E159" s="221"/>
      <c r="F159" s="222"/>
      <c r="G159" s="702"/>
      <c r="H159" s="222"/>
    </row>
    <row r="160">
      <c r="C160" s="703"/>
      <c r="E160" s="221"/>
      <c r="F160" s="222"/>
      <c r="G160" s="702"/>
      <c r="H160" s="222"/>
    </row>
    <row r="161">
      <c r="C161" s="703"/>
      <c r="E161" s="221"/>
      <c r="F161" s="222"/>
      <c r="G161" s="702"/>
      <c r="H161" s="222"/>
    </row>
    <row r="162">
      <c r="C162" s="703"/>
      <c r="E162" s="221"/>
      <c r="F162" s="222"/>
      <c r="G162" s="702"/>
      <c r="H162" s="222"/>
    </row>
    <row r="163">
      <c r="C163" s="703"/>
      <c r="E163" s="221"/>
      <c r="F163" s="222"/>
      <c r="G163" s="702"/>
      <c r="H163" s="222"/>
    </row>
    <row r="164">
      <c r="C164" s="703"/>
      <c r="E164" s="221"/>
      <c r="F164" s="222"/>
      <c r="G164" s="702"/>
      <c r="H164" s="222"/>
    </row>
    <row r="165">
      <c r="C165" s="703"/>
      <c r="E165" s="221"/>
      <c r="F165" s="222"/>
      <c r="G165" s="702"/>
      <c r="H165" s="222"/>
    </row>
    <row r="166">
      <c r="C166" s="703"/>
      <c r="E166" s="221"/>
      <c r="F166" s="222"/>
      <c r="G166" s="702"/>
      <c r="H166" s="222"/>
    </row>
    <row r="167">
      <c r="C167" s="703"/>
      <c r="E167" s="221"/>
      <c r="F167" s="222"/>
      <c r="G167" s="702"/>
      <c r="H167" s="222"/>
    </row>
    <row r="168">
      <c r="C168" s="703"/>
      <c r="E168" s="221"/>
      <c r="F168" s="222"/>
      <c r="G168" s="702"/>
      <c r="H168" s="222"/>
    </row>
    <row r="169">
      <c r="C169" s="703"/>
      <c r="E169" s="221"/>
      <c r="F169" s="222"/>
      <c r="G169" s="702"/>
      <c r="H169" s="222"/>
    </row>
    <row r="170">
      <c r="C170" s="703"/>
      <c r="E170" s="221"/>
      <c r="F170" s="222"/>
      <c r="G170" s="702"/>
      <c r="H170" s="222"/>
    </row>
    <row r="171">
      <c r="C171" s="703"/>
      <c r="E171" s="221"/>
      <c r="F171" s="222"/>
      <c r="G171" s="702"/>
      <c r="H171" s="222"/>
    </row>
    <row r="172">
      <c r="C172" s="703"/>
      <c r="E172" s="221"/>
      <c r="F172" s="222"/>
      <c r="G172" s="702"/>
      <c r="H172" s="222"/>
    </row>
    <row r="173">
      <c r="C173" s="703"/>
      <c r="E173" s="221"/>
      <c r="F173" s="222"/>
      <c r="G173" s="702"/>
      <c r="H173" s="222"/>
    </row>
    <row r="174">
      <c r="C174" s="703"/>
      <c r="E174" s="221"/>
      <c r="F174" s="222"/>
      <c r="G174" s="702"/>
      <c r="H174" s="222"/>
    </row>
    <row r="175">
      <c r="C175" s="703"/>
      <c r="E175" s="221"/>
      <c r="F175" s="222"/>
      <c r="G175" s="702"/>
      <c r="H175" s="222"/>
    </row>
    <row r="176">
      <c r="C176" s="703"/>
      <c r="E176" s="221"/>
      <c r="F176" s="222"/>
      <c r="G176" s="702"/>
      <c r="H176" s="222"/>
    </row>
    <row r="177">
      <c r="C177" s="703"/>
      <c r="E177" s="221"/>
      <c r="F177" s="222"/>
      <c r="G177" s="702"/>
      <c r="H177" s="222"/>
    </row>
    <row r="178">
      <c r="C178" s="703"/>
      <c r="E178" s="221"/>
      <c r="F178" s="222"/>
      <c r="G178" s="702"/>
      <c r="H178" s="222"/>
    </row>
    <row r="179">
      <c r="C179" s="703"/>
      <c r="E179" s="221"/>
      <c r="F179" s="222"/>
      <c r="G179" s="702"/>
      <c r="H179" s="222"/>
    </row>
    <row r="180">
      <c r="C180" s="703"/>
      <c r="E180" s="221"/>
      <c r="F180" s="222"/>
      <c r="G180" s="702"/>
      <c r="H180" s="222"/>
    </row>
    <row r="181">
      <c r="C181" s="703"/>
      <c r="E181" s="221"/>
      <c r="F181" s="222"/>
      <c r="G181" s="702"/>
      <c r="H181" s="222"/>
    </row>
    <row r="182">
      <c r="C182" s="703"/>
      <c r="E182" s="221"/>
      <c r="F182" s="222"/>
      <c r="G182" s="702"/>
      <c r="H182" s="222"/>
    </row>
    <row r="183">
      <c r="C183" s="703"/>
      <c r="E183" s="221"/>
      <c r="F183" s="222"/>
      <c r="G183" s="702"/>
      <c r="H183" s="222"/>
    </row>
    <row r="184">
      <c r="C184" s="703"/>
      <c r="E184" s="221"/>
      <c r="F184" s="222"/>
      <c r="G184" s="702"/>
      <c r="H184" s="222"/>
    </row>
    <row r="185">
      <c r="C185" s="703"/>
      <c r="E185" s="221"/>
      <c r="F185" s="222"/>
      <c r="G185" s="702"/>
      <c r="H185" s="222"/>
    </row>
    <row r="186">
      <c r="C186" s="703"/>
      <c r="E186" s="221"/>
      <c r="F186" s="222"/>
      <c r="G186" s="702"/>
      <c r="H186" s="222"/>
    </row>
    <row r="187">
      <c r="C187" s="703"/>
      <c r="E187" s="221"/>
      <c r="F187" s="222"/>
      <c r="G187" s="702"/>
      <c r="H187" s="222"/>
    </row>
    <row r="188">
      <c r="C188" s="703"/>
      <c r="E188" s="221"/>
      <c r="F188" s="222"/>
      <c r="G188" s="702"/>
      <c r="H188" s="222"/>
    </row>
    <row r="189">
      <c r="C189" s="703"/>
      <c r="E189" s="221"/>
      <c r="F189" s="222"/>
      <c r="G189" s="702"/>
      <c r="H189" s="222"/>
    </row>
    <row r="190">
      <c r="C190" s="703"/>
      <c r="E190" s="221"/>
      <c r="F190" s="222"/>
      <c r="G190" s="702"/>
      <c r="H190" s="222"/>
    </row>
    <row r="191">
      <c r="C191" s="703"/>
      <c r="E191" s="221"/>
      <c r="F191" s="222"/>
      <c r="G191" s="702"/>
      <c r="H191" s="222"/>
    </row>
    <row r="192">
      <c r="C192" s="703"/>
      <c r="E192" s="221"/>
      <c r="F192" s="222"/>
      <c r="G192" s="702"/>
      <c r="H192" s="222"/>
    </row>
    <row r="193">
      <c r="C193" s="703"/>
      <c r="E193" s="221"/>
      <c r="F193" s="222"/>
      <c r="G193" s="702"/>
      <c r="H193" s="222"/>
    </row>
    <row r="194">
      <c r="C194" s="703"/>
      <c r="E194" s="221"/>
      <c r="F194" s="222"/>
      <c r="G194" s="702"/>
      <c r="H194" s="222"/>
    </row>
    <row r="195">
      <c r="C195" s="703"/>
      <c r="E195" s="221"/>
      <c r="F195" s="222"/>
      <c r="G195" s="702"/>
      <c r="H195" s="222"/>
    </row>
    <row r="196">
      <c r="C196" s="703"/>
      <c r="E196" s="221"/>
      <c r="F196" s="222"/>
      <c r="G196" s="702"/>
      <c r="H196" s="222"/>
    </row>
    <row r="197">
      <c r="C197" s="703"/>
      <c r="E197" s="221"/>
      <c r="F197" s="222"/>
      <c r="G197" s="702"/>
      <c r="H197" s="222"/>
    </row>
    <row r="198">
      <c r="C198" s="703"/>
      <c r="E198" s="221"/>
      <c r="F198" s="222"/>
      <c r="G198" s="702"/>
      <c r="H198" s="222"/>
    </row>
    <row r="199">
      <c r="C199" s="703"/>
      <c r="E199" s="221"/>
      <c r="F199" s="222"/>
      <c r="G199" s="702"/>
      <c r="H199" s="222"/>
    </row>
    <row r="200">
      <c r="C200" s="703"/>
      <c r="E200" s="221"/>
      <c r="F200" s="222"/>
      <c r="G200" s="702"/>
      <c r="H200" s="222"/>
    </row>
    <row r="201">
      <c r="C201" s="703"/>
      <c r="E201" s="221"/>
      <c r="F201" s="222"/>
      <c r="G201" s="702"/>
      <c r="H201" s="222"/>
    </row>
    <row r="202">
      <c r="C202" s="703"/>
      <c r="E202" s="221"/>
      <c r="F202" s="222"/>
      <c r="G202" s="702"/>
      <c r="H202" s="222"/>
    </row>
    <row r="203">
      <c r="C203" s="703"/>
      <c r="E203" s="221"/>
      <c r="F203" s="222"/>
      <c r="G203" s="702"/>
      <c r="H203" s="222"/>
    </row>
    <row r="204">
      <c r="C204" s="703"/>
      <c r="E204" s="221"/>
      <c r="F204" s="222"/>
      <c r="G204" s="702"/>
      <c r="H204" s="222"/>
    </row>
    <row r="205">
      <c r="C205" s="703"/>
      <c r="E205" s="221"/>
      <c r="F205" s="222"/>
      <c r="G205" s="702"/>
      <c r="H205" s="222"/>
    </row>
    <row r="206">
      <c r="C206" s="703"/>
      <c r="E206" s="221"/>
      <c r="F206" s="222"/>
      <c r="G206" s="702"/>
      <c r="H206" s="222"/>
    </row>
    <row r="207">
      <c r="C207" s="703"/>
      <c r="E207" s="221"/>
      <c r="F207" s="222"/>
      <c r="G207" s="702"/>
      <c r="H207" s="222"/>
    </row>
    <row r="208">
      <c r="C208" s="703"/>
      <c r="E208" s="221"/>
      <c r="F208" s="222"/>
      <c r="G208" s="702"/>
      <c r="H208" s="222"/>
    </row>
    <row r="209">
      <c r="C209" s="703"/>
      <c r="E209" s="221"/>
      <c r="F209" s="222"/>
      <c r="G209" s="702"/>
      <c r="H209" s="222"/>
    </row>
    <row r="210">
      <c r="C210" s="703"/>
      <c r="E210" s="221"/>
      <c r="F210" s="222"/>
      <c r="G210" s="702"/>
      <c r="H210" s="222"/>
    </row>
    <row r="211">
      <c r="C211" s="703"/>
      <c r="E211" s="221"/>
      <c r="F211" s="222"/>
      <c r="G211" s="702"/>
      <c r="H211" s="222"/>
    </row>
    <row r="212">
      <c r="C212" s="703"/>
      <c r="E212" s="221"/>
      <c r="F212" s="222"/>
      <c r="G212" s="702"/>
      <c r="H212" s="222"/>
    </row>
    <row r="213">
      <c r="C213" s="703"/>
      <c r="E213" s="221"/>
      <c r="F213" s="222"/>
      <c r="G213" s="702"/>
      <c r="H213" s="222"/>
    </row>
    <row r="214">
      <c r="C214" s="703"/>
      <c r="E214" s="221"/>
      <c r="F214" s="222"/>
      <c r="G214" s="702"/>
      <c r="H214" s="222"/>
    </row>
    <row r="215">
      <c r="C215" s="703"/>
      <c r="E215" s="221"/>
      <c r="F215" s="222"/>
      <c r="G215" s="702"/>
      <c r="H215" s="222"/>
    </row>
    <row r="216">
      <c r="C216" s="703"/>
      <c r="E216" s="221"/>
      <c r="F216" s="222"/>
      <c r="G216" s="702"/>
      <c r="H216" s="222"/>
    </row>
    <row r="217">
      <c r="C217" s="703"/>
      <c r="E217" s="221"/>
      <c r="F217" s="222"/>
      <c r="G217" s="702"/>
      <c r="H217" s="222"/>
    </row>
    <row r="218">
      <c r="C218" s="703"/>
      <c r="E218" s="221"/>
      <c r="F218" s="222"/>
      <c r="G218" s="702"/>
      <c r="H218" s="222"/>
    </row>
    <row r="219">
      <c r="C219" s="703"/>
      <c r="E219" s="221"/>
      <c r="F219" s="222"/>
      <c r="G219" s="702"/>
      <c r="H219" s="222"/>
    </row>
    <row r="220">
      <c r="C220" s="703"/>
      <c r="E220" s="221"/>
      <c r="F220" s="222"/>
      <c r="G220" s="702"/>
      <c r="H220" s="222"/>
    </row>
    <row r="221">
      <c r="C221" s="703"/>
      <c r="E221" s="221"/>
      <c r="F221" s="222"/>
      <c r="G221" s="702"/>
      <c r="H221" s="222"/>
    </row>
    <row r="222">
      <c r="C222" s="703"/>
      <c r="E222" s="221"/>
      <c r="F222" s="222"/>
      <c r="G222" s="702"/>
      <c r="H222" s="222"/>
    </row>
    <row r="223">
      <c r="C223" s="703"/>
      <c r="E223" s="221"/>
      <c r="F223" s="222"/>
      <c r="G223" s="702"/>
      <c r="H223" s="222"/>
    </row>
    <row r="224">
      <c r="C224" s="703"/>
      <c r="E224" s="221"/>
      <c r="F224" s="222"/>
      <c r="G224" s="702"/>
      <c r="H224" s="222"/>
    </row>
    <row r="225">
      <c r="C225" s="703"/>
      <c r="E225" s="221"/>
      <c r="F225" s="222"/>
      <c r="G225" s="702"/>
      <c r="H225" s="222"/>
    </row>
    <row r="226">
      <c r="C226" s="703"/>
      <c r="E226" s="221"/>
      <c r="F226" s="222"/>
      <c r="G226" s="702"/>
      <c r="H226" s="222"/>
    </row>
    <row r="227">
      <c r="C227" s="703"/>
      <c r="E227" s="221"/>
      <c r="F227" s="222"/>
      <c r="G227" s="702"/>
      <c r="H227" s="222"/>
    </row>
    <row r="228">
      <c r="C228" s="703"/>
      <c r="E228" s="221"/>
      <c r="F228" s="222"/>
      <c r="G228" s="702"/>
      <c r="H228" s="222"/>
    </row>
    <row r="229">
      <c r="C229" s="703"/>
      <c r="E229" s="221"/>
      <c r="F229" s="222"/>
      <c r="G229" s="702"/>
      <c r="H229" s="222"/>
    </row>
    <row r="230">
      <c r="C230" s="703"/>
      <c r="E230" s="221"/>
      <c r="F230" s="222"/>
      <c r="G230" s="702"/>
      <c r="H230" s="222"/>
    </row>
    <row r="231">
      <c r="C231" s="703"/>
      <c r="E231" s="221"/>
      <c r="F231" s="222"/>
      <c r="G231" s="702"/>
      <c r="H231" s="222"/>
    </row>
    <row r="232">
      <c r="C232" s="703"/>
      <c r="E232" s="221"/>
      <c r="F232" s="222"/>
      <c r="G232" s="702"/>
      <c r="H232" s="222"/>
    </row>
    <row r="233">
      <c r="C233" s="703"/>
      <c r="E233" s="221"/>
      <c r="F233" s="222"/>
      <c r="G233" s="702"/>
      <c r="H233" s="222"/>
    </row>
    <row r="234">
      <c r="C234" s="703"/>
      <c r="E234" s="221"/>
      <c r="F234" s="222"/>
      <c r="G234" s="702"/>
      <c r="H234" s="222"/>
    </row>
    <row r="235">
      <c r="C235" s="703"/>
      <c r="E235" s="221"/>
      <c r="F235" s="222"/>
      <c r="G235" s="702"/>
      <c r="H235" s="222"/>
    </row>
    <row r="236">
      <c r="C236" s="703"/>
      <c r="E236" s="221"/>
      <c r="F236" s="222"/>
      <c r="G236" s="702"/>
      <c r="H236" s="222"/>
    </row>
    <row r="237">
      <c r="C237" s="703"/>
      <c r="E237" s="221"/>
      <c r="F237" s="222"/>
      <c r="G237" s="702"/>
      <c r="H237" s="222"/>
    </row>
    <row r="238">
      <c r="C238" s="703"/>
      <c r="E238" s="221"/>
      <c r="F238" s="222"/>
      <c r="G238" s="702"/>
      <c r="H238" s="222"/>
    </row>
    <row r="239">
      <c r="C239" s="703"/>
      <c r="E239" s="221"/>
      <c r="F239" s="222"/>
      <c r="G239" s="702"/>
      <c r="H239" s="222"/>
    </row>
    <row r="240">
      <c r="C240" s="703"/>
      <c r="E240" s="221"/>
      <c r="F240" s="222"/>
      <c r="G240" s="702"/>
      <c r="H240" s="222"/>
    </row>
    <row r="241">
      <c r="C241" s="703"/>
      <c r="E241" s="221"/>
      <c r="F241" s="222"/>
      <c r="G241" s="702"/>
      <c r="H241" s="222"/>
    </row>
    <row r="242">
      <c r="C242" s="703"/>
      <c r="E242" s="221"/>
      <c r="F242" s="222"/>
      <c r="G242" s="702"/>
      <c r="H242" s="222"/>
    </row>
    <row r="243">
      <c r="C243" s="703"/>
      <c r="E243" s="221"/>
      <c r="F243" s="222"/>
      <c r="G243" s="702"/>
      <c r="H243" s="222"/>
    </row>
    <row r="244">
      <c r="C244" s="703"/>
      <c r="E244" s="221"/>
      <c r="F244" s="222"/>
      <c r="G244" s="702"/>
      <c r="H244" s="222"/>
    </row>
    <row r="245">
      <c r="C245" s="703"/>
      <c r="E245" s="221"/>
      <c r="F245" s="222"/>
      <c r="G245" s="702"/>
      <c r="H245" s="222"/>
    </row>
    <row r="246">
      <c r="C246" s="703"/>
      <c r="E246" s="221"/>
      <c r="F246" s="222"/>
      <c r="G246" s="702"/>
      <c r="H246" s="222"/>
    </row>
    <row r="247">
      <c r="C247" s="703"/>
      <c r="E247" s="221"/>
      <c r="F247" s="222"/>
      <c r="G247" s="702"/>
      <c r="H247" s="222"/>
    </row>
    <row r="248">
      <c r="C248" s="703"/>
      <c r="E248" s="221"/>
      <c r="F248" s="222"/>
      <c r="G248" s="702"/>
      <c r="H248" s="222"/>
    </row>
    <row r="249">
      <c r="C249" s="703"/>
      <c r="E249" s="221"/>
      <c r="F249" s="222"/>
      <c r="G249" s="702"/>
      <c r="H249" s="222"/>
    </row>
    <row r="250">
      <c r="C250" s="703"/>
      <c r="E250" s="221"/>
      <c r="F250" s="222"/>
      <c r="G250" s="702"/>
      <c r="H250" s="222"/>
    </row>
    <row r="251">
      <c r="C251" s="703"/>
      <c r="E251" s="221"/>
      <c r="F251" s="222"/>
      <c r="G251" s="702"/>
      <c r="H251" s="222"/>
    </row>
    <row r="252">
      <c r="C252" s="703"/>
      <c r="E252" s="221"/>
      <c r="F252" s="222"/>
      <c r="G252" s="702"/>
      <c r="H252" s="222"/>
    </row>
    <row r="253">
      <c r="C253" s="703"/>
      <c r="E253" s="221"/>
      <c r="F253" s="222"/>
      <c r="G253" s="702"/>
      <c r="H253" s="222"/>
    </row>
    <row r="254">
      <c r="C254" s="703"/>
      <c r="E254" s="221"/>
      <c r="F254" s="222"/>
      <c r="G254" s="702"/>
      <c r="H254" s="222"/>
    </row>
    <row r="255">
      <c r="C255" s="703"/>
      <c r="E255" s="221"/>
      <c r="F255" s="222"/>
      <c r="G255" s="702"/>
      <c r="H255" s="222"/>
    </row>
    <row r="256">
      <c r="C256" s="703"/>
      <c r="E256" s="221"/>
      <c r="F256" s="222"/>
      <c r="G256" s="702"/>
      <c r="H256" s="222"/>
    </row>
    <row r="257">
      <c r="C257" s="703"/>
      <c r="E257" s="221"/>
      <c r="F257" s="222"/>
      <c r="G257" s="702"/>
      <c r="H257" s="222"/>
    </row>
    <row r="258">
      <c r="C258" s="703"/>
      <c r="E258" s="221"/>
      <c r="F258" s="222"/>
      <c r="G258" s="702"/>
      <c r="H258" s="222"/>
    </row>
    <row r="259">
      <c r="C259" s="703"/>
      <c r="E259" s="221"/>
      <c r="F259" s="222"/>
      <c r="G259" s="702"/>
      <c r="H259" s="222"/>
    </row>
    <row r="260">
      <c r="C260" s="703"/>
      <c r="E260" s="221"/>
      <c r="F260" s="222"/>
      <c r="G260" s="702"/>
      <c r="H260" s="222"/>
    </row>
    <row r="261">
      <c r="C261" s="703"/>
      <c r="E261" s="221"/>
      <c r="F261" s="222"/>
      <c r="G261" s="702"/>
      <c r="H261" s="222"/>
    </row>
    <row r="262">
      <c r="C262" s="703"/>
      <c r="E262" s="221"/>
      <c r="F262" s="222"/>
      <c r="G262" s="702"/>
      <c r="H262" s="222"/>
    </row>
    <row r="263">
      <c r="C263" s="703"/>
      <c r="E263" s="221"/>
      <c r="F263" s="222"/>
      <c r="G263" s="702"/>
      <c r="H263" s="222"/>
    </row>
    <row r="264">
      <c r="C264" s="703"/>
      <c r="E264" s="221"/>
      <c r="F264" s="222"/>
      <c r="G264" s="702"/>
      <c r="H264" s="222"/>
    </row>
    <row r="265">
      <c r="C265" s="703"/>
      <c r="E265" s="221"/>
      <c r="F265" s="222"/>
      <c r="G265" s="702"/>
      <c r="H265" s="222"/>
    </row>
    <row r="266">
      <c r="C266" s="703"/>
      <c r="E266" s="221"/>
      <c r="F266" s="222"/>
      <c r="G266" s="702"/>
      <c r="H266" s="222"/>
    </row>
    <row r="267">
      <c r="C267" s="703"/>
      <c r="E267" s="221"/>
      <c r="F267" s="222"/>
      <c r="G267" s="702"/>
      <c r="H267" s="222"/>
    </row>
    <row r="268">
      <c r="C268" s="703"/>
      <c r="E268" s="221"/>
      <c r="F268" s="222"/>
      <c r="G268" s="702"/>
      <c r="H268" s="222"/>
    </row>
    <row r="269">
      <c r="C269" s="703"/>
      <c r="E269" s="221"/>
      <c r="F269" s="222"/>
      <c r="G269" s="702"/>
      <c r="H269" s="222"/>
    </row>
    <row r="270">
      <c r="C270" s="703"/>
      <c r="E270" s="221"/>
      <c r="F270" s="222"/>
      <c r="G270" s="702"/>
      <c r="H270" s="222"/>
    </row>
    <row r="271">
      <c r="C271" s="703"/>
      <c r="E271" s="221"/>
      <c r="F271" s="222"/>
      <c r="G271" s="702"/>
      <c r="H271" s="222"/>
    </row>
    <row r="272">
      <c r="C272" s="703"/>
      <c r="E272" s="221"/>
      <c r="F272" s="222"/>
      <c r="G272" s="702"/>
      <c r="H272" s="222"/>
    </row>
    <row r="273">
      <c r="C273" s="703"/>
      <c r="E273" s="221"/>
      <c r="F273" s="222"/>
      <c r="G273" s="702"/>
      <c r="H273" s="222"/>
    </row>
    <row r="274">
      <c r="C274" s="703"/>
      <c r="E274" s="221"/>
      <c r="F274" s="222"/>
      <c r="G274" s="702"/>
      <c r="H274" s="222"/>
    </row>
    <row r="275">
      <c r="C275" s="703"/>
      <c r="E275" s="221"/>
      <c r="F275" s="222"/>
      <c r="G275" s="702"/>
      <c r="H275" s="222"/>
    </row>
    <row r="276">
      <c r="C276" s="703"/>
      <c r="E276" s="221"/>
      <c r="F276" s="222"/>
      <c r="G276" s="702"/>
      <c r="H276" s="222"/>
    </row>
    <row r="277">
      <c r="C277" s="703"/>
      <c r="E277" s="221"/>
      <c r="F277" s="222"/>
      <c r="G277" s="702"/>
      <c r="H277" s="222"/>
    </row>
    <row r="278">
      <c r="C278" s="703"/>
      <c r="E278" s="221"/>
      <c r="F278" s="222"/>
      <c r="G278" s="702"/>
      <c r="H278" s="222"/>
    </row>
    <row r="279">
      <c r="C279" s="703"/>
      <c r="E279" s="221"/>
      <c r="F279" s="222"/>
      <c r="G279" s="702"/>
      <c r="H279" s="222"/>
    </row>
    <row r="280">
      <c r="C280" s="703"/>
      <c r="E280" s="221"/>
      <c r="F280" s="222"/>
      <c r="G280" s="702"/>
      <c r="H280" s="222"/>
    </row>
    <row r="281">
      <c r="C281" s="703"/>
      <c r="E281" s="221"/>
      <c r="F281" s="222"/>
      <c r="G281" s="702"/>
      <c r="H281" s="222"/>
    </row>
    <row r="282">
      <c r="C282" s="703"/>
      <c r="E282" s="221"/>
      <c r="F282" s="222"/>
      <c r="G282" s="702"/>
      <c r="H282" s="222"/>
    </row>
    <row r="283">
      <c r="C283" s="703"/>
      <c r="E283" s="221"/>
      <c r="F283" s="222"/>
      <c r="G283" s="702"/>
      <c r="H283" s="222"/>
    </row>
    <row r="284">
      <c r="C284" s="703"/>
      <c r="E284" s="221"/>
      <c r="F284" s="222"/>
      <c r="G284" s="702"/>
      <c r="H284" s="222"/>
    </row>
    <row r="285">
      <c r="C285" s="703"/>
      <c r="E285" s="221"/>
      <c r="F285" s="222"/>
      <c r="G285" s="702"/>
      <c r="H285" s="222"/>
    </row>
    <row r="286">
      <c r="C286" s="703"/>
      <c r="E286" s="221"/>
      <c r="F286" s="222"/>
      <c r="G286" s="702"/>
      <c r="H286" s="222"/>
    </row>
    <row r="287">
      <c r="C287" s="703"/>
      <c r="E287" s="221"/>
      <c r="F287" s="222"/>
      <c r="G287" s="702"/>
      <c r="H287" s="222"/>
    </row>
    <row r="288">
      <c r="C288" s="703"/>
      <c r="E288" s="221"/>
      <c r="F288" s="222"/>
      <c r="G288" s="702"/>
      <c r="H288" s="222"/>
    </row>
    <row r="289">
      <c r="C289" s="703"/>
      <c r="E289" s="221"/>
      <c r="F289" s="222"/>
      <c r="G289" s="702"/>
      <c r="H289" s="222"/>
    </row>
    <row r="290">
      <c r="C290" s="703"/>
      <c r="E290" s="221"/>
      <c r="F290" s="222"/>
      <c r="G290" s="702"/>
      <c r="H290" s="222"/>
    </row>
    <row r="291">
      <c r="C291" s="703"/>
      <c r="E291" s="221"/>
      <c r="F291" s="222"/>
      <c r="G291" s="702"/>
      <c r="H291" s="222"/>
    </row>
    <row r="292">
      <c r="C292" s="703"/>
      <c r="E292" s="221"/>
      <c r="F292" s="222"/>
      <c r="G292" s="702"/>
      <c r="H292" s="222"/>
    </row>
    <row r="293">
      <c r="C293" s="703"/>
      <c r="E293" s="221"/>
      <c r="F293" s="222"/>
      <c r="G293" s="702"/>
      <c r="H293" s="222"/>
    </row>
    <row r="294">
      <c r="C294" s="703"/>
      <c r="E294" s="221"/>
      <c r="F294" s="222"/>
      <c r="G294" s="702"/>
      <c r="H294" s="222"/>
    </row>
    <row r="295">
      <c r="C295" s="703"/>
      <c r="E295" s="221"/>
      <c r="F295" s="222"/>
      <c r="G295" s="702"/>
      <c r="H295" s="222"/>
    </row>
    <row r="296">
      <c r="C296" s="703"/>
      <c r="E296" s="221"/>
      <c r="F296" s="222"/>
      <c r="G296" s="702"/>
      <c r="H296" s="222"/>
    </row>
    <row r="297">
      <c r="C297" s="703"/>
      <c r="E297" s="221"/>
      <c r="F297" s="222"/>
      <c r="G297" s="702"/>
      <c r="H297" s="222"/>
    </row>
    <row r="298">
      <c r="C298" s="703"/>
      <c r="E298" s="221"/>
      <c r="F298" s="222"/>
      <c r="G298" s="702"/>
      <c r="H298" s="222"/>
    </row>
    <row r="299">
      <c r="C299" s="703"/>
      <c r="E299" s="221"/>
      <c r="F299" s="222"/>
      <c r="G299" s="702"/>
      <c r="H299" s="222"/>
    </row>
    <row r="300">
      <c r="C300" s="703"/>
      <c r="E300" s="221"/>
      <c r="F300" s="222"/>
      <c r="G300" s="702"/>
      <c r="H300" s="222"/>
    </row>
    <row r="301">
      <c r="C301" s="703"/>
      <c r="E301" s="221"/>
      <c r="F301" s="222"/>
      <c r="G301" s="702"/>
      <c r="H301" s="222"/>
    </row>
    <row r="302">
      <c r="C302" s="703"/>
      <c r="E302" s="221"/>
      <c r="F302" s="222"/>
      <c r="G302" s="702"/>
      <c r="H302" s="222"/>
    </row>
    <row r="303">
      <c r="C303" s="703"/>
      <c r="E303" s="221"/>
      <c r="F303" s="222"/>
      <c r="G303" s="702"/>
      <c r="H303" s="222"/>
    </row>
    <row r="304">
      <c r="C304" s="703"/>
      <c r="E304" s="221"/>
      <c r="F304" s="222"/>
      <c r="G304" s="702"/>
      <c r="H304" s="222"/>
    </row>
    <row r="305">
      <c r="C305" s="703"/>
      <c r="E305" s="221"/>
      <c r="F305" s="222"/>
      <c r="G305" s="702"/>
      <c r="H305" s="222"/>
    </row>
    <row r="306">
      <c r="C306" s="703"/>
      <c r="E306" s="221"/>
      <c r="F306" s="222"/>
      <c r="G306" s="702"/>
      <c r="H306" s="222"/>
    </row>
    <row r="307">
      <c r="C307" s="703"/>
      <c r="E307" s="221"/>
      <c r="F307" s="222"/>
      <c r="G307" s="702"/>
      <c r="H307" s="222"/>
    </row>
    <row r="308">
      <c r="C308" s="703"/>
      <c r="E308" s="221"/>
      <c r="F308" s="222"/>
      <c r="G308" s="702"/>
      <c r="H308" s="222"/>
    </row>
    <row r="309">
      <c r="C309" s="703"/>
      <c r="E309" s="221"/>
      <c r="F309" s="222"/>
      <c r="G309" s="702"/>
      <c r="H309" s="222"/>
    </row>
    <row r="310">
      <c r="C310" s="703"/>
      <c r="E310" s="221"/>
      <c r="F310" s="222"/>
      <c r="G310" s="702"/>
      <c r="H310" s="222"/>
    </row>
    <row r="311">
      <c r="C311" s="703"/>
      <c r="E311" s="221"/>
      <c r="F311" s="222"/>
      <c r="G311" s="702"/>
      <c r="H311" s="222"/>
    </row>
    <row r="312">
      <c r="C312" s="703"/>
      <c r="E312" s="221"/>
      <c r="F312" s="222"/>
      <c r="G312" s="702"/>
      <c r="H312" s="222"/>
    </row>
    <row r="313">
      <c r="C313" s="703"/>
      <c r="E313" s="221"/>
      <c r="F313" s="222"/>
      <c r="G313" s="702"/>
      <c r="H313" s="222"/>
    </row>
    <row r="314">
      <c r="C314" s="703"/>
      <c r="E314" s="221"/>
      <c r="F314" s="222"/>
      <c r="G314" s="702"/>
      <c r="H314" s="222"/>
    </row>
    <row r="315">
      <c r="C315" s="703"/>
      <c r="E315" s="221"/>
      <c r="F315" s="222"/>
      <c r="G315" s="702"/>
      <c r="H315" s="222"/>
    </row>
    <row r="316">
      <c r="C316" s="703"/>
      <c r="E316" s="221"/>
      <c r="F316" s="222"/>
      <c r="G316" s="702"/>
      <c r="H316" s="222"/>
    </row>
    <row r="317">
      <c r="C317" s="703"/>
      <c r="E317" s="221"/>
      <c r="F317" s="222"/>
      <c r="G317" s="702"/>
      <c r="H317" s="222"/>
    </row>
    <row r="318">
      <c r="C318" s="703"/>
      <c r="E318" s="221"/>
      <c r="F318" s="222"/>
      <c r="G318" s="702"/>
      <c r="H318" s="222"/>
    </row>
    <row r="319">
      <c r="C319" s="703"/>
      <c r="E319" s="221"/>
      <c r="F319" s="222"/>
      <c r="G319" s="702"/>
      <c r="H319" s="222"/>
    </row>
    <row r="320">
      <c r="C320" s="703"/>
      <c r="E320" s="221"/>
      <c r="F320" s="222"/>
      <c r="G320" s="702"/>
      <c r="H320" s="222"/>
    </row>
    <row r="321">
      <c r="C321" s="703"/>
      <c r="E321" s="221"/>
      <c r="F321" s="222"/>
      <c r="G321" s="702"/>
      <c r="H321" s="222"/>
    </row>
    <row r="322">
      <c r="C322" s="703"/>
      <c r="E322" s="221"/>
      <c r="F322" s="222"/>
      <c r="G322" s="702"/>
      <c r="H322" s="222"/>
    </row>
    <row r="323">
      <c r="C323" s="703"/>
      <c r="E323" s="221"/>
      <c r="F323" s="222"/>
      <c r="G323" s="702"/>
      <c r="H323" s="222"/>
    </row>
    <row r="324">
      <c r="C324" s="703"/>
      <c r="E324" s="221"/>
      <c r="F324" s="222"/>
      <c r="G324" s="702"/>
      <c r="H324" s="222"/>
    </row>
    <row r="325">
      <c r="C325" s="703"/>
      <c r="E325" s="221"/>
      <c r="F325" s="222"/>
      <c r="G325" s="702"/>
      <c r="H325" s="222"/>
    </row>
    <row r="326">
      <c r="C326" s="703"/>
      <c r="E326" s="221"/>
      <c r="F326" s="222"/>
      <c r="G326" s="702"/>
      <c r="H326" s="222"/>
    </row>
    <row r="327">
      <c r="C327" s="703"/>
      <c r="E327" s="221"/>
      <c r="F327" s="222"/>
      <c r="G327" s="702"/>
      <c r="H327" s="222"/>
    </row>
    <row r="328">
      <c r="C328" s="703"/>
      <c r="E328" s="221"/>
      <c r="F328" s="222"/>
      <c r="G328" s="702"/>
      <c r="H328" s="222"/>
    </row>
    <row r="329">
      <c r="C329" s="703"/>
      <c r="E329" s="221"/>
      <c r="F329" s="222"/>
      <c r="G329" s="702"/>
      <c r="H329" s="222"/>
    </row>
    <row r="330">
      <c r="C330" s="703"/>
      <c r="E330" s="221"/>
      <c r="F330" s="222"/>
      <c r="G330" s="702"/>
      <c r="H330" s="222"/>
    </row>
    <row r="331">
      <c r="C331" s="703"/>
      <c r="E331" s="221"/>
      <c r="F331" s="222"/>
      <c r="G331" s="702"/>
      <c r="H331" s="222"/>
    </row>
    <row r="332">
      <c r="C332" s="703"/>
      <c r="E332" s="221"/>
      <c r="F332" s="222"/>
      <c r="G332" s="702"/>
      <c r="H332" s="222"/>
    </row>
    <row r="333">
      <c r="C333" s="703"/>
      <c r="E333" s="221"/>
      <c r="F333" s="222"/>
      <c r="G333" s="702"/>
      <c r="H333" s="222"/>
    </row>
    <row r="334">
      <c r="C334" s="703"/>
      <c r="E334" s="221"/>
      <c r="F334" s="222"/>
      <c r="G334" s="702"/>
      <c r="H334" s="222"/>
    </row>
    <row r="335">
      <c r="C335" s="703"/>
      <c r="E335" s="221"/>
      <c r="F335" s="222"/>
      <c r="G335" s="702"/>
      <c r="H335" s="222"/>
    </row>
    <row r="336">
      <c r="C336" s="703"/>
      <c r="E336" s="221"/>
      <c r="F336" s="222"/>
      <c r="G336" s="702"/>
      <c r="H336" s="222"/>
    </row>
    <row r="337">
      <c r="C337" s="703"/>
      <c r="E337" s="221"/>
      <c r="F337" s="222"/>
      <c r="G337" s="702"/>
      <c r="H337" s="222"/>
    </row>
    <row r="338">
      <c r="C338" s="703"/>
      <c r="E338" s="221"/>
      <c r="F338" s="222"/>
      <c r="G338" s="702"/>
      <c r="H338" s="222"/>
    </row>
    <row r="339">
      <c r="C339" s="703"/>
      <c r="E339" s="221"/>
      <c r="F339" s="222"/>
      <c r="G339" s="702"/>
      <c r="H339" s="222"/>
    </row>
    <row r="340">
      <c r="C340" s="703"/>
      <c r="E340" s="221"/>
      <c r="F340" s="222"/>
      <c r="G340" s="702"/>
      <c r="H340" s="222"/>
    </row>
    <row r="341">
      <c r="C341" s="703"/>
      <c r="E341" s="221"/>
      <c r="F341" s="222"/>
      <c r="G341" s="702"/>
      <c r="H341" s="222"/>
    </row>
    <row r="342">
      <c r="C342" s="703"/>
      <c r="E342" s="221"/>
      <c r="F342" s="222"/>
      <c r="G342" s="702"/>
      <c r="H342" s="222"/>
    </row>
    <row r="343">
      <c r="C343" s="703"/>
      <c r="E343" s="221"/>
      <c r="F343" s="222"/>
      <c r="G343" s="702"/>
      <c r="H343" s="222"/>
    </row>
    <row r="344">
      <c r="C344" s="703"/>
      <c r="E344" s="221"/>
      <c r="F344" s="222"/>
      <c r="G344" s="702"/>
      <c r="H344" s="222"/>
    </row>
    <row r="345">
      <c r="C345" s="703"/>
      <c r="E345" s="221"/>
      <c r="F345" s="222"/>
      <c r="G345" s="702"/>
      <c r="H345" s="222"/>
    </row>
    <row r="346">
      <c r="C346" s="703"/>
      <c r="E346" s="221"/>
      <c r="F346" s="222"/>
      <c r="G346" s="702"/>
      <c r="H346" s="222"/>
    </row>
    <row r="347">
      <c r="C347" s="703"/>
      <c r="E347" s="221"/>
      <c r="F347" s="222"/>
      <c r="G347" s="702"/>
      <c r="H347" s="222"/>
    </row>
    <row r="348">
      <c r="C348" s="703"/>
      <c r="E348" s="221"/>
      <c r="F348" s="222"/>
      <c r="G348" s="702"/>
      <c r="H348" s="222"/>
    </row>
    <row r="349">
      <c r="C349" s="703"/>
      <c r="E349" s="221"/>
      <c r="F349" s="222"/>
      <c r="G349" s="702"/>
      <c r="H349" s="222"/>
    </row>
    <row r="350">
      <c r="C350" s="703"/>
      <c r="E350" s="221"/>
      <c r="F350" s="222"/>
      <c r="G350" s="702"/>
      <c r="H350" s="222"/>
    </row>
    <row r="351">
      <c r="C351" s="703"/>
      <c r="E351" s="221"/>
      <c r="F351" s="222"/>
      <c r="G351" s="702"/>
      <c r="H351" s="222"/>
    </row>
    <row r="352">
      <c r="C352" s="703"/>
      <c r="E352" s="221"/>
      <c r="F352" s="222"/>
      <c r="G352" s="702"/>
      <c r="H352" s="222"/>
    </row>
    <row r="353">
      <c r="C353" s="703"/>
      <c r="E353" s="221"/>
      <c r="F353" s="222"/>
      <c r="G353" s="702"/>
      <c r="H353" s="222"/>
    </row>
    <row r="354">
      <c r="C354" s="703"/>
      <c r="E354" s="221"/>
      <c r="F354" s="222"/>
      <c r="G354" s="702"/>
      <c r="H354" s="222"/>
    </row>
    <row r="355">
      <c r="C355" s="703"/>
      <c r="E355" s="221"/>
      <c r="F355" s="222"/>
      <c r="G355" s="702"/>
      <c r="H355" s="222"/>
    </row>
    <row r="356">
      <c r="C356" s="703"/>
      <c r="E356" s="221"/>
      <c r="F356" s="222"/>
      <c r="G356" s="702"/>
      <c r="H356" s="222"/>
    </row>
    <row r="357">
      <c r="C357" s="703"/>
      <c r="E357" s="221"/>
      <c r="F357" s="222"/>
      <c r="G357" s="702"/>
      <c r="H357" s="222"/>
    </row>
    <row r="358">
      <c r="C358" s="703"/>
      <c r="E358" s="221"/>
      <c r="F358" s="222"/>
      <c r="G358" s="702"/>
      <c r="H358" s="222"/>
    </row>
    <row r="359">
      <c r="C359" s="703"/>
      <c r="E359" s="221"/>
      <c r="F359" s="222"/>
      <c r="G359" s="702"/>
      <c r="H359" s="222"/>
    </row>
    <row r="360">
      <c r="C360" s="703"/>
      <c r="E360" s="221"/>
      <c r="F360" s="222"/>
      <c r="G360" s="702"/>
      <c r="H360" s="222"/>
    </row>
    <row r="361">
      <c r="C361" s="703"/>
      <c r="E361" s="221"/>
      <c r="F361" s="222"/>
      <c r="G361" s="702"/>
      <c r="H361" s="222"/>
    </row>
    <row r="362">
      <c r="C362" s="703"/>
      <c r="E362" s="221"/>
      <c r="F362" s="222"/>
      <c r="G362" s="702"/>
      <c r="H362" s="222"/>
    </row>
    <row r="363">
      <c r="C363" s="703"/>
      <c r="E363" s="221"/>
      <c r="F363" s="222"/>
      <c r="G363" s="702"/>
      <c r="H363" s="222"/>
    </row>
    <row r="364">
      <c r="C364" s="703"/>
      <c r="E364" s="221"/>
      <c r="F364" s="222"/>
      <c r="G364" s="702"/>
      <c r="H364" s="222"/>
    </row>
    <row r="365">
      <c r="C365" s="703"/>
      <c r="E365" s="221"/>
      <c r="F365" s="222"/>
      <c r="G365" s="702"/>
      <c r="H365" s="222"/>
    </row>
    <row r="366">
      <c r="C366" s="703"/>
      <c r="E366" s="221"/>
      <c r="F366" s="222"/>
      <c r="G366" s="702"/>
      <c r="H366" s="222"/>
    </row>
    <row r="367">
      <c r="C367" s="703"/>
      <c r="E367" s="221"/>
      <c r="F367" s="222"/>
      <c r="G367" s="702"/>
      <c r="H367" s="222"/>
    </row>
    <row r="368">
      <c r="C368" s="703"/>
      <c r="E368" s="221"/>
      <c r="F368" s="222"/>
      <c r="G368" s="702"/>
      <c r="H368" s="222"/>
    </row>
    <row r="369">
      <c r="C369" s="703"/>
      <c r="E369" s="221"/>
      <c r="F369" s="222"/>
      <c r="G369" s="702"/>
      <c r="H369" s="222"/>
    </row>
    <row r="370">
      <c r="C370" s="703"/>
      <c r="E370" s="221"/>
      <c r="F370" s="222"/>
      <c r="G370" s="702"/>
      <c r="H370" s="222"/>
    </row>
    <row r="371">
      <c r="C371" s="703"/>
      <c r="E371" s="221"/>
      <c r="F371" s="222"/>
      <c r="G371" s="702"/>
      <c r="H371" s="222"/>
    </row>
    <row r="372">
      <c r="C372" s="703"/>
      <c r="E372" s="221"/>
      <c r="F372" s="222"/>
      <c r="G372" s="702"/>
      <c r="H372" s="222"/>
    </row>
    <row r="373">
      <c r="C373" s="703"/>
      <c r="E373" s="221"/>
      <c r="F373" s="222"/>
      <c r="G373" s="702"/>
      <c r="H373" s="222"/>
    </row>
    <row r="374">
      <c r="C374" s="703"/>
      <c r="E374" s="221"/>
      <c r="F374" s="222"/>
      <c r="G374" s="702"/>
      <c r="H374" s="222"/>
    </row>
    <row r="375">
      <c r="C375" s="703"/>
      <c r="E375" s="221"/>
      <c r="F375" s="222"/>
      <c r="G375" s="702"/>
      <c r="H375" s="222"/>
    </row>
    <row r="376">
      <c r="C376" s="703"/>
      <c r="E376" s="221"/>
      <c r="F376" s="222"/>
      <c r="G376" s="702"/>
      <c r="H376" s="222"/>
    </row>
    <row r="377">
      <c r="C377" s="703"/>
      <c r="E377" s="221"/>
      <c r="F377" s="222"/>
      <c r="G377" s="702"/>
      <c r="H377" s="222"/>
    </row>
    <row r="378">
      <c r="C378" s="703"/>
      <c r="E378" s="221"/>
      <c r="F378" s="222"/>
      <c r="G378" s="702"/>
      <c r="H378" s="222"/>
    </row>
    <row r="379">
      <c r="C379" s="703"/>
      <c r="E379" s="221"/>
      <c r="F379" s="222"/>
      <c r="G379" s="702"/>
      <c r="H379" s="222"/>
    </row>
    <row r="380">
      <c r="C380" s="703"/>
      <c r="E380" s="221"/>
      <c r="F380" s="222"/>
      <c r="G380" s="702"/>
      <c r="H380" s="222"/>
    </row>
    <row r="381">
      <c r="C381" s="703"/>
      <c r="E381" s="221"/>
      <c r="F381" s="222"/>
      <c r="G381" s="702"/>
      <c r="H381" s="222"/>
    </row>
    <row r="382">
      <c r="C382" s="703"/>
      <c r="E382" s="221"/>
      <c r="F382" s="222"/>
      <c r="G382" s="702"/>
      <c r="H382" s="222"/>
    </row>
    <row r="383">
      <c r="C383" s="703"/>
      <c r="E383" s="221"/>
      <c r="F383" s="222"/>
      <c r="G383" s="702"/>
      <c r="H383" s="222"/>
    </row>
    <row r="384">
      <c r="C384" s="703"/>
      <c r="E384" s="221"/>
      <c r="F384" s="222"/>
      <c r="G384" s="702"/>
      <c r="H384" s="222"/>
    </row>
    <row r="385">
      <c r="C385" s="703"/>
      <c r="E385" s="221"/>
      <c r="F385" s="222"/>
      <c r="G385" s="702"/>
      <c r="H385" s="222"/>
    </row>
    <row r="386">
      <c r="C386" s="703"/>
      <c r="E386" s="221"/>
      <c r="F386" s="222"/>
      <c r="G386" s="702"/>
      <c r="H386" s="222"/>
    </row>
    <row r="387">
      <c r="C387" s="703"/>
      <c r="E387" s="221"/>
      <c r="F387" s="222"/>
      <c r="G387" s="702"/>
      <c r="H387" s="222"/>
    </row>
    <row r="388">
      <c r="C388" s="703"/>
      <c r="E388" s="221"/>
      <c r="F388" s="222"/>
      <c r="G388" s="702"/>
      <c r="H388" s="222"/>
    </row>
    <row r="389">
      <c r="C389" s="703"/>
      <c r="E389" s="221"/>
      <c r="F389" s="222"/>
      <c r="G389" s="702"/>
      <c r="H389" s="222"/>
    </row>
    <row r="390">
      <c r="C390" s="703"/>
      <c r="E390" s="221"/>
      <c r="F390" s="222"/>
      <c r="G390" s="702"/>
      <c r="H390" s="222"/>
    </row>
    <row r="391">
      <c r="C391" s="703"/>
      <c r="E391" s="221"/>
      <c r="F391" s="222"/>
      <c r="G391" s="702"/>
      <c r="H391" s="222"/>
    </row>
    <row r="392">
      <c r="C392" s="703"/>
      <c r="E392" s="221"/>
      <c r="F392" s="222"/>
      <c r="G392" s="702"/>
      <c r="H392" s="222"/>
    </row>
    <row r="393">
      <c r="C393" s="703"/>
      <c r="E393" s="221"/>
      <c r="F393" s="222"/>
      <c r="G393" s="702"/>
      <c r="H393" s="222"/>
    </row>
    <row r="394">
      <c r="C394" s="703"/>
      <c r="E394" s="221"/>
      <c r="F394" s="222"/>
      <c r="G394" s="702"/>
      <c r="H394" s="222"/>
    </row>
    <row r="395">
      <c r="C395" s="703"/>
      <c r="E395" s="221"/>
      <c r="F395" s="222"/>
      <c r="G395" s="702"/>
      <c r="H395" s="222"/>
    </row>
    <row r="396">
      <c r="C396" s="703"/>
      <c r="E396" s="221"/>
      <c r="F396" s="222"/>
      <c r="G396" s="702"/>
      <c r="H396" s="222"/>
    </row>
    <row r="397">
      <c r="C397" s="703"/>
      <c r="E397" s="221"/>
      <c r="F397" s="222"/>
      <c r="G397" s="702"/>
      <c r="H397" s="222"/>
    </row>
    <row r="398">
      <c r="C398" s="703"/>
      <c r="E398" s="221"/>
      <c r="F398" s="222"/>
      <c r="G398" s="702"/>
      <c r="H398" s="222"/>
    </row>
    <row r="399">
      <c r="C399" s="703"/>
      <c r="E399" s="221"/>
      <c r="F399" s="222"/>
      <c r="G399" s="702"/>
      <c r="H399" s="222"/>
    </row>
    <row r="400">
      <c r="C400" s="703"/>
      <c r="E400" s="221"/>
      <c r="F400" s="222"/>
      <c r="G400" s="702"/>
      <c r="H400" s="222"/>
    </row>
    <row r="401">
      <c r="C401" s="703"/>
      <c r="E401" s="221"/>
      <c r="F401" s="222"/>
      <c r="G401" s="702"/>
      <c r="H401" s="222"/>
    </row>
    <row r="402">
      <c r="C402" s="703"/>
      <c r="E402" s="221"/>
      <c r="F402" s="222"/>
      <c r="G402" s="702"/>
      <c r="H402" s="222"/>
    </row>
    <row r="403">
      <c r="C403" s="703"/>
      <c r="E403" s="221"/>
      <c r="F403" s="222"/>
      <c r="G403" s="702"/>
      <c r="H403" s="222"/>
    </row>
    <row r="404">
      <c r="C404" s="703"/>
      <c r="E404" s="221"/>
      <c r="F404" s="222"/>
      <c r="G404" s="702"/>
      <c r="H404" s="222"/>
    </row>
    <row r="405">
      <c r="C405" s="703"/>
      <c r="E405" s="221"/>
      <c r="F405" s="222"/>
      <c r="G405" s="702"/>
      <c r="H405" s="222"/>
    </row>
    <row r="406">
      <c r="C406" s="703"/>
      <c r="E406" s="221"/>
      <c r="F406" s="222"/>
      <c r="G406" s="702"/>
      <c r="H406" s="222"/>
    </row>
    <row r="407">
      <c r="C407" s="703"/>
      <c r="E407" s="221"/>
      <c r="F407" s="222"/>
      <c r="G407" s="702"/>
      <c r="H407" s="222"/>
    </row>
    <row r="408">
      <c r="C408" s="703"/>
      <c r="E408" s="221"/>
      <c r="F408" s="222"/>
      <c r="G408" s="702"/>
      <c r="H408" s="222"/>
    </row>
    <row r="409">
      <c r="C409" s="703"/>
      <c r="E409" s="221"/>
      <c r="F409" s="222"/>
      <c r="G409" s="702"/>
      <c r="H409" s="222"/>
    </row>
    <row r="410">
      <c r="C410" s="703"/>
      <c r="E410" s="221"/>
      <c r="F410" s="222"/>
      <c r="G410" s="702"/>
      <c r="H410" s="222"/>
    </row>
    <row r="411">
      <c r="C411" s="703"/>
      <c r="E411" s="221"/>
      <c r="F411" s="222"/>
      <c r="G411" s="702"/>
      <c r="H411" s="222"/>
    </row>
    <row r="412">
      <c r="C412" s="703"/>
      <c r="E412" s="221"/>
      <c r="F412" s="222"/>
      <c r="G412" s="702"/>
      <c r="H412" s="222"/>
    </row>
    <row r="413">
      <c r="C413" s="703"/>
      <c r="E413" s="221"/>
      <c r="F413" s="222"/>
      <c r="G413" s="702"/>
      <c r="H413" s="222"/>
    </row>
    <row r="414">
      <c r="C414" s="703"/>
      <c r="E414" s="221"/>
      <c r="F414" s="222"/>
      <c r="G414" s="702"/>
      <c r="H414" s="222"/>
    </row>
    <row r="415">
      <c r="C415" s="703"/>
      <c r="E415" s="221"/>
      <c r="F415" s="222"/>
      <c r="G415" s="702"/>
      <c r="H415" s="222"/>
    </row>
    <row r="416">
      <c r="C416" s="703"/>
      <c r="E416" s="221"/>
      <c r="F416" s="222"/>
      <c r="G416" s="702"/>
      <c r="H416" s="222"/>
    </row>
    <row r="417">
      <c r="C417" s="703"/>
      <c r="E417" s="221"/>
      <c r="F417" s="222"/>
      <c r="G417" s="702"/>
      <c r="H417" s="222"/>
    </row>
    <row r="418">
      <c r="C418" s="703"/>
      <c r="E418" s="221"/>
      <c r="F418" s="222"/>
      <c r="G418" s="702"/>
      <c r="H418" s="222"/>
    </row>
    <row r="419">
      <c r="C419" s="703"/>
      <c r="E419" s="221"/>
      <c r="F419" s="222"/>
      <c r="G419" s="702"/>
      <c r="H419" s="222"/>
    </row>
    <row r="420">
      <c r="C420" s="703"/>
      <c r="E420" s="221"/>
      <c r="F420" s="222"/>
      <c r="G420" s="702"/>
      <c r="H420" s="222"/>
    </row>
    <row r="421">
      <c r="C421" s="703"/>
      <c r="E421" s="221"/>
      <c r="F421" s="222"/>
      <c r="G421" s="702"/>
      <c r="H421" s="222"/>
    </row>
    <row r="422">
      <c r="C422" s="703"/>
      <c r="E422" s="221"/>
      <c r="F422" s="222"/>
      <c r="G422" s="702"/>
      <c r="H422" s="222"/>
    </row>
    <row r="423">
      <c r="C423" s="703"/>
      <c r="E423" s="221"/>
      <c r="F423" s="222"/>
      <c r="G423" s="702"/>
      <c r="H423" s="222"/>
    </row>
    <row r="424">
      <c r="C424" s="703"/>
      <c r="E424" s="221"/>
      <c r="F424" s="222"/>
      <c r="G424" s="702"/>
      <c r="H424" s="222"/>
    </row>
    <row r="425">
      <c r="C425" s="703"/>
      <c r="E425" s="221"/>
      <c r="F425" s="222"/>
      <c r="G425" s="702"/>
      <c r="H425" s="222"/>
    </row>
    <row r="426">
      <c r="C426" s="703"/>
      <c r="E426" s="221"/>
      <c r="F426" s="222"/>
      <c r="G426" s="702"/>
      <c r="H426" s="222"/>
    </row>
    <row r="427">
      <c r="C427" s="703"/>
      <c r="E427" s="221"/>
      <c r="F427" s="222"/>
      <c r="G427" s="702"/>
      <c r="H427" s="222"/>
    </row>
    <row r="428">
      <c r="C428" s="703"/>
      <c r="E428" s="221"/>
      <c r="F428" s="222"/>
      <c r="G428" s="702"/>
      <c r="H428" s="222"/>
    </row>
    <row r="429">
      <c r="C429" s="703"/>
      <c r="E429" s="221"/>
      <c r="F429" s="222"/>
      <c r="G429" s="702"/>
      <c r="H429" s="222"/>
    </row>
    <row r="430">
      <c r="C430" s="703"/>
      <c r="E430" s="221"/>
      <c r="F430" s="222"/>
      <c r="G430" s="702"/>
      <c r="H430" s="222"/>
    </row>
    <row r="431">
      <c r="C431" s="703"/>
      <c r="E431" s="221"/>
      <c r="F431" s="222"/>
      <c r="G431" s="702"/>
      <c r="H431" s="222"/>
    </row>
    <row r="432">
      <c r="C432" s="703"/>
      <c r="E432" s="221"/>
      <c r="F432" s="222"/>
      <c r="G432" s="702"/>
      <c r="H432" s="222"/>
    </row>
    <row r="433">
      <c r="C433" s="703"/>
      <c r="E433" s="221"/>
      <c r="F433" s="222"/>
      <c r="G433" s="702"/>
      <c r="H433" s="222"/>
    </row>
    <row r="434">
      <c r="C434" s="703"/>
      <c r="E434" s="221"/>
      <c r="F434" s="222"/>
      <c r="G434" s="702"/>
      <c r="H434" s="222"/>
    </row>
    <row r="435">
      <c r="C435" s="703"/>
      <c r="E435" s="221"/>
      <c r="F435" s="222"/>
      <c r="G435" s="702"/>
      <c r="H435" s="222"/>
    </row>
    <row r="436">
      <c r="C436" s="703"/>
      <c r="E436" s="221"/>
      <c r="F436" s="222"/>
      <c r="G436" s="702"/>
      <c r="H436" s="222"/>
    </row>
    <row r="437">
      <c r="C437" s="703"/>
      <c r="E437" s="221"/>
      <c r="F437" s="222"/>
      <c r="G437" s="702"/>
      <c r="H437" s="222"/>
    </row>
    <row r="438">
      <c r="C438" s="703"/>
      <c r="E438" s="221"/>
      <c r="F438" s="222"/>
      <c r="G438" s="702"/>
      <c r="H438" s="222"/>
    </row>
    <row r="439">
      <c r="C439" s="703"/>
      <c r="E439" s="221"/>
      <c r="F439" s="222"/>
      <c r="G439" s="702"/>
      <c r="H439" s="222"/>
    </row>
    <row r="440">
      <c r="C440" s="703"/>
      <c r="E440" s="221"/>
      <c r="F440" s="222"/>
      <c r="G440" s="702"/>
      <c r="H440" s="222"/>
    </row>
    <row r="441">
      <c r="C441" s="703"/>
      <c r="E441" s="221"/>
      <c r="F441" s="222"/>
      <c r="G441" s="702"/>
      <c r="H441" s="222"/>
    </row>
    <row r="442">
      <c r="C442" s="703"/>
      <c r="E442" s="221"/>
      <c r="F442" s="222"/>
      <c r="G442" s="702"/>
      <c r="H442" s="222"/>
    </row>
    <row r="443">
      <c r="C443" s="703"/>
      <c r="E443" s="221"/>
      <c r="F443" s="222"/>
      <c r="G443" s="702"/>
      <c r="H443" s="222"/>
    </row>
    <row r="444">
      <c r="C444" s="703"/>
      <c r="E444" s="221"/>
      <c r="F444" s="222"/>
      <c r="G444" s="702"/>
      <c r="H444" s="222"/>
    </row>
    <row r="445">
      <c r="C445" s="703"/>
      <c r="E445" s="221"/>
      <c r="F445" s="222"/>
      <c r="G445" s="702"/>
      <c r="H445" s="222"/>
    </row>
    <row r="446">
      <c r="C446" s="703"/>
      <c r="E446" s="221"/>
      <c r="F446" s="222"/>
      <c r="G446" s="702"/>
      <c r="H446" s="222"/>
    </row>
    <row r="447">
      <c r="C447" s="703"/>
      <c r="E447" s="221"/>
      <c r="F447" s="222"/>
      <c r="G447" s="702"/>
      <c r="H447" s="222"/>
    </row>
    <row r="448">
      <c r="C448" s="703"/>
      <c r="E448" s="221"/>
      <c r="F448" s="222"/>
      <c r="G448" s="702"/>
      <c r="H448" s="222"/>
    </row>
    <row r="449">
      <c r="C449" s="703"/>
      <c r="E449" s="221"/>
      <c r="F449" s="222"/>
      <c r="G449" s="702"/>
      <c r="H449" s="222"/>
    </row>
    <row r="450">
      <c r="C450" s="703"/>
      <c r="E450" s="221"/>
      <c r="F450" s="222"/>
      <c r="G450" s="702"/>
      <c r="H450" s="222"/>
    </row>
    <row r="451">
      <c r="C451" s="703"/>
      <c r="E451" s="221"/>
      <c r="F451" s="222"/>
      <c r="G451" s="702"/>
      <c r="H451" s="222"/>
    </row>
    <row r="452">
      <c r="C452" s="703"/>
      <c r="E452" s="221"/>
      <c r="F452" s="222"/>
      <c r="G452" s="702"/>
      <c r="H452" s="222"/>
    </row>
    <row r="453">
      <c r="C453" s="703"/>
      <c r="E453" s="221"/>
      <c r="F453" s="222"/>
      <c r="G453" s="702"/>
      <c r="H453" s="222"/>
    </row>
    <row r="454">
      <c r="C454" s="703"/>
      <c r="E454" s="221"/>
      <c r="F454" s="222"/>
      <c r="G454" s="702"/>
      <c r="H454" s="222"/>
    </row>
    <row r="455">
      <c r="C455" s="703"/>
      <c r="E455" s="221"/>
      <c r="F455" s="222"/>
      <c r="G455" s="702"/>
      <c r="H455" s="222"/>
    </row>
    <row r="456">
      <c r="C456" s="703"/>
      <c r="E456" s="221"/>
      <c r="F456" s="222"/>
      <c r="G456" s="702"/>
      <c r="H456" s="222"/>
    </row>
    <row r="457">
      <c r="C457" s="703"/>
      <c r="E457" s="221"/>
      <c r="F457" s="222"/>
      <c r="G457" s="702"/>
      <c r="H457" s="222"/>
    </row>
    <row r="458">
      <c r="C458" s="703"/>
      <c r="E458" s="221"/>
      <c r="F458" s="222"/>
      <c r="G458" s="702"/>
      <c r="H458" s="222"/>
    </row>
    <row r="459">
      <c r="C459" s="703"/>
      <c r="E459" s="221"/>
      <c r="F459" s="222"/>
      <c r="G459" s="702"/>
      <c r="H459" s="222"/>
    </row>
    <row r="460">
      <c r="C460" s="703"/>
      <c r="E460" s="221"/>
      <c r="F460" s="222"/>
      <c r="G460" s="702"/>
      <c r="H460" s="222"/>
    </row>
    <row r="461">
      <c r="C461" s="703"/>
      <c r="E461" s="221"/>
      <c r="F461" s="222"/>
      <c r="G461" s="702"/>
      <c r="H461" s="222"/>
    </row>
    <row r="462">
      <c r="C462" s="703"/>
      <c r="E462" s="221"/>
      <c r="F462" s="222"/>
      <c r="G462" s="702"/>
      <c r="H462" s="222"/>
    </row>
    <row r="463">
      <c r="C463" s="703"/>
      <c r="E463" s="221"/>
      <c r="F463" s="222"/>
      <c r="G463" s="702"/>
      <c r="H463" s="222"/>
    </row>
    <row r="464">
      <c r="C464" s="703"/>
      <c r="E464" s="221"/>
      <c r="F464" s="222"/>
      <c r="G464" s="702"/>
      <c r="H464" s="222"/>
    </row>
    <row r="465">
      <c r="C465" s="703"/>
      <c r="E465" s="221"/>
      <c r="F465" s="222"/>
      <c r="G465" s="702"/>
      <c r="H465" s="222"/>
    </row>
    <row r="466">
      <c r="C466" s="703"/>
      <c r="E466" s="221"/>
      <c r="F466" s="222"/>
      <c r="G466" s="702"/>
      <c r="H466" s="222"/>
    </row>
    <row r="467">
      <c r="C467" s="703"/>
      <c r="E467" s="221"/>
      <c r="F467" s="222"/>
      <c r="G467" s="702"/>
      <c r="H467" s="222"/>
    </row>
    <row r="468">
      <c r="C468" s="703"/>
      <c r="E468" s="221"/>
      <c r="F468" s="222"/>
      <c r="G468" s="702"/>
      <c r="H468" s="222"/>
    </row>
    <row r="469">
      <c r="C469" s="703"/>
      <c r="E469" s="221"/>
      <c r="F469" s="222"/>
      <c r="G469" s="702"/>
      <c r="H469" s="222"/>
    </row>
    <row r="470">
      <c r="C470" s="703"/>
      <c r="E470" s="221"/>
      <c r="F470" s="222"/>
      <c r="G470" s="702"/>
      <c r="H470" s="222"/>
    </row>
    <row r="471">
      <c r="C471" s="703"/>
      <c r="E471" s="221"/>
      <c r="F471" s="222"/>
      <c r="G471" s="702"/>
      <c r="H471" s="222"/>
    </row>
    <row r="472">
      <c r="C472" s="703"/>
      <c r="E472" s="221"/>
      <c r="F472" s="222"/>
      <c r="G472" s="702"/>
      <c r="H472" s="222"/>
    </row>
    <row r="473">
      <c r="C473" s="703"/>
      <c r="E473" s="221"/>
      <c r="F473" s="222"/>
      <c r="G473" s="702"/>
      <c r="H473" s="222"/>
    </row>
    <row r="474">
      <c r="C474" s="703"/>
      <c r="E474" s="221"/>
      <c r="F474" s="222"/>
      <c r="G474" s="702"/>
      <c r="H474" s="222"/>
    </row>
    <row r="475">
      <c r="C475" s="703"/>
      <c r="E475" s="221"/>
      <c r="F475" s="222"/>
      <c r="G475" s="702"/>
      <c r="H475" s="222"/>
    </row>
    <row r="476">
      <c r="C476" s="703"/>
      <c r="E476" s="221"/>
      <c r="F476" s="222"/>
      <c r="G476" s="702"/>
      <c r="H476" s="222"/>
    </row>
    <row r="477">
      <c r="C477" s="703"/>
      <c r="E477" s="221"/>
      <c r="F477" s="222"/>
      <c r="G477" s="702"/>
      <c r="H477" s="222"/>
    </row>
    <row r="478">
      <c r="C478" s="703"/>
      <c r="E478" s="221"/>
      <c r="F478" s="222"/>
      <c r="G478" s="702"/>
      <c r="H478" s="222"/>
    </row>
    <row r="479">
      <c r="C479" s="703"/>
      <c r="E479" s="221"/>
      <c r="F479" s="222"/>
      <c r="G479" s="702"/>
      <c r="H479" s="222"/>
    </row>
    <row r="480">
      <c r="C480" s="703"/>
      <c r="E480" s="221"/>
      <c r="F480" s="222"/>
      <c r="G480" s="702"/>
      <c r="H480" s="222"/>
    </row>
    <row r="481">
      <c r="C481" s="703"/>
      <c r="E481" s="221"/>
      <c r="F481" s="222"/>
      <c r="G481" s="702"/>
      <c r="H481" s="222"/>
    </row>
    <row r="482">
      <c r="C482" s="703"/>
      <c r="E482" s="221"/>
      <c r="F482" s="222"/>
      <c r="G482" s="702"/>
      <c r="H482" s="222"/>
    </row>
    <row r="483">
      <c r="C483" s="703"/>
      <c r="E483" s="221"/>
      <c r="F483" s="222"/>
      <c r="G483" s="702"/>
      <c r="H483" s="222"/>
    </row>
    <row r="484">
      <c r="C484" s="703"/>
      <c r="E484" s="221"/>
      <c r="F484" s="222"/>
      <c r="G484" s="702"/>
      <c r="H484" s="222"/>
    </row>
    <row r="485">
      <c r="C485" s="703"/>
      <c r="E485" s="221"/>
      <c r="F485" s="222"/>
      <c r="G485" s="702"/>
      <c r="H485" s="222"/>
    </row>
    <row r="486">
      <c r="C486" s="703"/>
      <c r="E486" s="221"/>
      <c r="F486" s="222"/>
      <c r="G486" s="702"/>
      <c r="H486" s="222"/>
    </row>
    <row r="487">
      <c r="C487" s="703"/>
      <c r="E487" s="221"/>
      <c r="F487" s="222"/>
      <c r="G487" s="702"/>
      <c r="H487" s="222"/>
    </row>
    <row r="488">
      <c r="C488" s="703"/>
      <c r="E488" s="221"/>
      <c r="F488" s="222"/>
      <c r="G488" s="702"/>
      <c r="H488" s="222"/>
    </row>
    <row r="489">
      <c r="C489" s="703"/>
      <c r="E489" s="221"/>
      <c r="F489" s="222"/>
      <c r="G489" s="702"/>
      <c r="H489" s="222"/>
    </row>
    <row r="490">
      <c r="C490" s="703"/>
      <c r="E490" s="221"/>
      <c r="F490" s="222"/>
      <c r="G490" s="702"/>
      <c r="H490" s="222"/>
    </row>
    <row r="491">
      <c r="C491" s="703"/>
      <c r="E491" s="221"/>
      <c r="F491" s="222"/>
      <c r="G491" s="702"/>
      <c r="H491" s="222"/>
    </row>
    <row r="492">
      <c r="C492" s="703"/>
      <c r="E492" s="221"/>
      <c r="F492" s="222"/>
      <c r="G492" s="702"/>
      <c r="H492" s="222"/>
    </row>
    <row r="493">
      <c r="C493" s="703"/>
      <c r="E493" s="221"/>
      <c r="F493" s="222"/>
      <c r="G493" s="702"/>
      <c r="H493" s="222"/>
    </row>
    <row r="494">
      <c r="C494" s="703"/>
      <c r="E494" s="221"/>
      <c r="F494" s="222"/>
      <c r="G494" s="702"/>
      <c r="H494" s="222"/>
    </row>
    <row r="495">
      <c r="C495" s="703"/>
      <c r="E495" s="221"/>
      <c r="F495" s="222"/>
      <c r="G495" s="702"/>
      <c r="H495" s="222"/>
    </row>
    <row r="496">
      <c r="C496" s="703"/>
      <c r="E496" s="221"/>
      <c r="F496" s="222"/>
      <c r="G496" s="702"/>
      <c r="H496" s="222"/>
    </row>
    <row r="497">
      <c r="C497" s="703"/>
      <c r="E497" s="221"/>
      <c r="F497" s="222"/>
      <c r="G497" s="702"/>
      <c r="H497" s="222"/>
    </row>
    <row r="498">
      <c r="C498" s="703"/>
      <c r="E498" s="221"/>
      <c r="F498" s="222"/>
      <c r="G498" s="702"/>
      <c r="H498" s="222"/>
    </row>
    <row r="499">
      <c r="C499" s="703"/>
      <c r="E499" s="221"/>
      <c r="F499" s="222"/>
      <c r="G499" s="702"/>
      <c r="H499" s="222"/>
    </row>
    <row r="500">
      <c r="C500" s="703"/>
      <c r="E500" s="221"/>
      <c r="F500" s="222"/>
      <c r="G500" s="702"/>
      <c r="H500" s="222"/>
    </row>
    <row r="501">
      <c r="C501" s="703"/>
      <c r="E501" s="221"/>
      <c r="F501" s="222"/>
      <c r="G501" s="702"/>
      <c r="H501" s="222"/>
    </row>
    <row r="502">
      <c r="C502" s="703"/>
      <c r="E502" s="221"/>
      <c r="F502" s="222"/>
      <c r="G502" s="702"/>
      <c r="H502" s="222"/>
    </row>
    <row r="503">
      <c r="C503" s="703"/>
      <c r="E503" s="221"/>
      <c r="F503" s="222"/>
      <c r="G503" s="702"/>
      <c r="H503" s="222"/>
    </row>
    <row r="504">
      <c r="C504" s="703"/>
      <c r="E504" s="221"/>
      <c r="F504" s="222"/>
      <c r="G504" s="702"/>
      <c r="H504" s="222"/>
    </row>
    <row r="505">
      <c r="C505" s="703"/>
      <c r="E505" s="221"/>
      <c r="F505" s="222"/>
      <c r="G505" s="702"/>
      <c r="H505" s="222"/>
    </row>
    <row r="506">
      <c r="C506" s="703"/>
      <c r="E506" s="221"/>
      <c r="F506" s="222"/>
      <c r="G506" s="702"/>
      <c r="H506" s="222"/>
    </row>
    <row r="507">
      <c r="C507" s="703"/>
      <c r="E507" s="221"/>
      <c r="F507" s="222"/>
      <c r="G507" s="702"/>
      <c r="H507" s="222"/>
    </row>
    <row r="508">
      <c r="C508" s="703"/>
      <c r="E508" s="221"/>
      <c r="F508" s="222"/>
      <c r="G508" s="702"/>
      <c r="H508" s="222"/>
    </row>
    <row r="509">
      <c r="C509" s="703"/>
      <c r="E509" s="221"/>
      <c r="F509" s="222"/>
      <c r="G509" s="702"/>
      <c r="H509" s="222"/>
    </row>
    <row r="510">
      <c r="C510" s="703"/>
      <c r="E510" s="221"/>
      <c r="F510" s="222"/>
      <c r="G510" s="702"/>
      <c r="H510" s="222"/>
    </row>
    <row r="511">
      <c r="C511" s="703"/>
      <c r="E511" s="221"/>
      <c r="F511" s="222"/>
      <c r="G511" s="702"/>
      <c r="H511" s="222"/>
    </row>
    <row r="512">
      <c r="C512" s="703"/>
      <c r="E512" s="221"/>
      <c r="F512" s="222"/>
      <c r="G512" s="702"/>
      <c r="H512" s="222"/>
    </row>
    <row r="513">
      <c r="C513" s="703"/>
      <c r="E513" s="221"/>
      <c r="F513" s="222"/>
      <c r="G513" s="702"/>
      <c r="H513" s="222"/>
    </row>
    <row r="514">
      <c r="C514" s="703"/>
      <c r="E514" s="221"/>
      <c r="F514" s="222"/>
      <c r="G514" s="702"/>
      <c r="H514" s="222"/>
    </row>
    <row r="515">
      <c r="C515" s="703"/>
      <c r="E515" s="221"/>
      <c r="F515" s="222"/>
      <c r="G515" s="702"/>
      <c r="H515" s="222"/>
    </row>
    <row r="516">
      <c r="C516" s="703"/>
      <c r="E516" s="221"/>
      <c r="F516" s="222"/>
      <c r="G516" s="702"/>
      <c r="H516" s="222"/>
    </row>
    <row r="517">
      <c r="C517" s="703"/>
      <c r="E517" s="221"/>
      <c r="F517" s="222"/>
      <c r="G517" s="702"/>
      <c r="H517" s="222"/>
    </row>
    <row r="518">
      <c r="C518" s="703"/>
      <c r="E518" s="221"/>
      <c r="F518" s="222"/>
      <c r="G518" s="702"/>
      <c r="H518" s="222"/>
    </row>
    <row r="519">
      <c r="C519" s="703"/>
      <c r="E519" s="221"/>
      <c r="F519" s="222"/>
      <c r="G519" s="702"/>
      <c r="H519" s="222"/>
    </row>
    <row r="520">
      <c r="C520" s="703"/>
      <c r="E520" s="221"/>
      <c r="F520" s="222"/>
      <c r="G520" s="702"/>
      <c r="H520" s="222"/>
    </row>
    <row r="521">
      <c r="C521" s="703"/>
      <c r="E521" s="221"/>
      <c r="F521" s="222"/>
      <c r="G521" s="702"/>
      <c r="H521" s="222"/>
    </row>
    <row r="522">
      <c r="C522" s="703"/>
      <c r="E522" s="221"/>
      <c r="F522" s="222"/>
      <c r="G522" s="702"/>
      <c r="H522" s="222"/>
    </row>
    <row r="523">
      <c r="C523" s="703"/>
      <c r="E523" s="221"/>
      <c r="F523" s="222"/>
      <c r="G523" s="702"/>
      <c r="H523" s="222"/>
    </row>
    <row r="524">
      <c r="C524" s="703"/>
      <c r="E524" s="221"/>
      <c r="F524" s="222"/>
      <c r="G524" s="702"/>
      <c r="H524" s="222"/>
    </row>
    <row r="525">
      <c r="C525" s="703"/>
      <c r="E525" s="221"/>
      <c r="F525" s="222"/>
      <c r="G525" s="702"/>
      <c r="H525" s="222"/>
    </row>
    <row r="526">
      <c r="C526" s="703"/>
      <c r="E526" s="221"/>
      <c r="F526" s="222"/>
      <c r="G526" s="702"/>
      <c r="H526" s="222"/>
    </row>
    <row r="527">
      <c r="C527" s="703"/>
      <c r="E527" s="221"/>
      <c r="F527" s="222"/>
      <c r="G527" s="702"/>
      <c r="H527" s="222"/>
    </row>
    <row r="528">
      <c r="C528" s="703"/>
      <c r="E528" s="221"/>
      <c r="F528" s="222"/>
      <c r="G528" s="702"/>
      <c r="H528" s="222"/>
    </row>
    <row r="529">
      <c r="C529" s="703"/>
      <c r="E529" s="221"/>
      <c r="F529" s="222"/>
      <c r="G529" s="702"/>
      <c r="H529" s="222"/>
    </row>
    <row r="530">
      <c r="C530" s="703"/>
      <c r="E530" s="221"/>
      <c r="F530" s="222"/>
      <c r="G530" s="702"/>
      <c r="H530" s="222"/>
    </row>
    <row r="531">
      <c r="C531" s="703"/>
      <c r="E531" s="221"/>
      <c r="F531" s="222"/>
      <c r="G531" s="702"/>
      <c r="H531" s="222"/>
    </row>
    <row r="532">
      <c r="C532" s="703"/>
      <c r="E532" s="221"/>
      <c r="F532" s="222"/>
      <c r="G532" s="702"/>
      <c r="H532" s="222"/>
    </row>
    <row r="533">
      <c r="C533" s="703"/>
      <c r="E533" s="221"/>
      <c r="F533" s="222"/>
      <c r="G533" s="702"/>
      <c r="H533" s="222"/>
    </row>
    <row r="534">
      <c r="C534" s="703"/>
      <c r="E534" s="221"/>
      <c r="F534" s="222"/>
      <c r="G534" s="702"/>
      <c r="H534" s="222"/>
    </row>
    <row r="535">
      <c r="C535" s="703"/>
      <c r="E535" s="221"/>
      <c r="F535" s="222"/>
      <c r="G535" s="702"/>
      <c r="H535" s="222"/>
    </row>
    <row r="536">
      <c r="C536" s="703"/>
      <c r="E536" s="221"/>
      <c r="F536" s="222"/>
      <c r="G536" s="702"/>
      <c r="H536" s="222"/>
    </row>
    <row r="537">
      <c r="C537" s="703"/>
      <c r="E537" s="221"/>
      <c r="F537" s="222"/>
      <c r="G537" s="702"/>
      <c r="H537" s="222"/>
    </row>
    <row r="538">
      <c r="C538" s="703"/>
      <c r="E538" s="221"/>
      <c r="F538" s="222"/>
      <c r="G538" s="702"/>
      <c r="H538" s="222"/>
    </row>
    <row r="539">
      <c r="C539" s="703"/>
      <c r="E539" s="221"/>
      <c r="F539" s="222"/>
      <c r="G539" s="702"/>
      <c r="H539" s="222"/>
    </row>
    <row r="540">
      <c r="C540" s="703"/>
      <c r="E540" s="221"/>
      <c r="F540" s="222"/>
      <c r="G540" s="702"/>
      <c r="H540" s="222"/>
    </row>
    <row r="541">
      <c r="C541" s="703"/>
      <c r="E541" s="221"/>
      <c r="F541" s="222"/>
      <c r="G541" s="702"/>
      <c r="H541" s="222"/>
    </row>
    <row r="542">
      <c r="C542" s="703"/>
      <c r="E542" s="221"/>
      <c r="F542" s="222"/>
      <c r="G542" s="702"/>
      <c r="H542" s="222"/>
    </row>
    <row r="543">
      <c r="C543" s="703"/>
      <c r="E543" s="221"/>
      <c r="F543" s="222"/>
      <c r="G543" s="702"/>
      <c r="H543" s="222"/>
    </row>
    <row r="544">
      <c r="C544" s="703"/>
      <c r="E544" s="221"/>
      <c r="F544" s="222"/>
      <c r="G544" s="702"/>
      <c r="H544" s="222"/>
    </row>
    <row r="545">
      <c r="C545" s="703"/>
      <c r="E545" s="221"/>
      <c r="F545" s="222"/>
      <c r="G545" s="702"/>
      <c r="H545" s="222"/>
    </row>
    <row r="546">
      <c r="C546" s="703"/>
      <c r="E546" s="221"/>
      <c r="F546" s="222"/>
      <c r="G546" s="702"/>
      <c r="H546" s="222"/>
    </row>
    <row r="547">
      <c r="C547" s="703"/>
      <c r="E547" s="221"/>
      <c r="F547" s="222"/>
      <c r="G547" s="702"/>
      <c r="H547" s="222"/>
    </row>
    <row r="548">
      <c r="C548" s="703"/>
      <c r="E548" s="221"/>
      <c r="F548" s="222"/>
      <c r="G548" s="702"/>
      <c r="H548" s="222"/>
    </row>
    <row r="549">
      <c r="C549" s="703"/>
      <c r="E549" s="221"/>
      <c r="F549" s="222"/>
      <c r="G549" s="702"/>
      <c r="H549" s="222"/>
    </row>
    <row r="550">
      <c r="C550" s="703"/>
      <c r="E550" s="221"/>
      <c r="F550" s="222"/>
      <c r="G550" s="702"/>
      <c r="H550" s="222"/>
    </row>
    <row r="551">
      <c r="C551" s="703"/>
      <c r="E551" s="221"/>
      <c r="F551" s="222"/>
      <c r="G551" s="702"/>
      <c r="H551" s="222"/>
    </row>
    <row r="552">
      <c r="C552" s="703"/>
      <c r="E552" s="221"/>
      <c r="F552" s="222"/>
      <c r="G552" s="702"/>
      <c r="H552" s="222"/>
    </row>
    <row r="553">
      <c r="C553" s="703"/>
      <c r="E553" s="221"/>
      <c r="F553" s="222"/>
      <c r="G553" s="702"/>
      <c r="H553" s="222"/>
    </row>
    <row r="554">
      <c r="C554" s="703"/>
      <c r="E554" s="221"/>
      <c r="F554" s="222"/>
      <c r="G554" s="702"/>
      <c r="H554" s="222"/>
    </row>
    <row r="555">
      <c r="C555" s="703"/>
      <c r="E555" s="221"/>
      <c r="F555" s="222"/>
      <c r="G555" s="702"/>
      <c r="H555" s="222"/>
    </row>
    <row r="556">
      <c r="C556" s="703"/>
      <c r="E556" s="221"/>
      <c r="F556" s="222"/>
      <c r="G556" s="702"/>
      <c r="H556" s="222"/>
    </row>
    <row r="557">
      <c r="C557" s="703"/>
      <c r="E557" s="221"/>
      <c r="F557" s="222"/>
      <c r="G557" s="702"/>
      <c r="H557" s="222"/>
    </row>
    <row r="558">
      <c r="C558" s="703"/>
      <c r="E558" s="221"/>
      <c r="F558" s="222"/>
      <c r="G558" s="702"/>
      <c r="H558" s="222"/>
    </row>
    <row r="559">
      <c r="C559" s="703"/>
      <c r="E559" s="221"/>
      <c r="F559" s="222"/>
      <c r="G559" s="702"/>
      <c r="H559" s="222"/>
    </row>
    <row r="560">
      <c r="C560" s="703"/>
      <c r="E560" s="221"/>
      <c r="F560" s="222"/>
      <c r="G560" s="702"/>
      <c r="H560" s="222"/>
    </row>
    <row r="561">
      <c r="C561" s="703"/>
      <c r="E561" s="221"/>
      <c r="F561" s="222"/>
      <c r="G561" s="702"/>
      <c r="H561" s="222"/>
    </row>
    <row r="562">
      <c r="C562" s="703"/>
      <c r="E562" s="221"/>
      <c r="F562" s="222"/>
      <c r="G562" s="702"/>
      <c r="H562" s="222"/>
    </row>
    <row r="563">
      <c r="C563" s="703"/>
      <c r="E563" s="221"/>
      <c r="F563" s="222"/>
      <c r="G563" s="702"/>
      <c r="H563" s="222"/>
    </row>
    <row r="564">
      <c r="C564" s="703"/>
      <c r="E564" s="221"/>
      <c r="F564" s="222"/>
      <c r="G564" s="702"/>
      <c r="H564" s="222"/>
    </row>
    <row r="565">
      <c r="C565" s="703"/>
      <c r="E565" s="221"/>
      <c r="F565" s="222"/>
      <c r="G565" s="702"/>
      <c r="H565" s="222"/>
    </row>
    <row r="566">
      <c r="C566" s="703"/>
      <c r="E566" s="221"/>
      <c r="F566" s="222"/>
      <c r="G566" s="702"/>
      <c r="H566" s="222"/>
    </row>
    <row r="567">
      <c r="C567" s="703"/>
      <c r="E567" s="221"/>
      <c r="F567" s="222"/>
      <c r="G567" s="702"/>
      <c r="H567" s="222"/>
    </row>
    <row r="568">
      <c r="C568" s="703"/>
      <c r="E568" s="221"/>
      <c r="F568" s="222"/>
      <c r="G568" s="702"/>
      <c r="H568" s="222"/>
    </row>
    <row r="569">
      <c r="C569" s="703"/>
      <c r="E569" s="221"/>
      <c r="F569" s="222"/>
      <c r="G569" s="702"/>
      <c r="H569" s="222"/>
    </row>
    <row r="570">
      <c r="C570" s="703"/>
      <c r="E570" s="221"/>
      <c r="F570" s="222"/>
      <c r="G570" s="702"/>
      <c r="H570" s="222"/>
    </row>
    <row r="571">
      <c r="C571" s="703"/>
      <c r="E571" s="221"/>
      <c r="F571" s="222"/>
      <c r="G571" s="702"/>
      <c r="H571" s="222"/>
    </row>
    <row r="572">
      <c r="C572" s="703"/>
      <c r="E572" s="221"/>
      <c r="F572" s="222"/>
      <c r="G572" s="702"/>
      <c r="H572" s="222"/>
    </row>
    <row r="573">
      <c r="C573" s="703"/>
      <c r="E573" s="221"/>
      <c r="F573" s="222"/>
      <c r="G573" s="702"/>
      <c r="H573" s="222"/>
    </row>
    <row r="574">
      <c r="C574" s="703"/>
      <c r="E574" s="221"/>
      <c r="F574" s="222"/>
      <c r="G574" s="702"/>
      <c r="H574" s="222"/>
    </row>
    <row r="575">
      <c r="C575" s="703"/>
      <c r="E575" s="221"/>
      <c r="F575" s="222"/>
      <c r="G575" s="702"/>
      <c r="H575" s="222"/>
    </row>
    <row r="576">
      <c r="C576" s="703"/>
      <c r="E576" s="221"/>
      <c r="F576" s="222"/>
      <c r="G576" s="702"/>
      <c r="H576" s="222"/>
    </row>
    <row r="577">
      <c r="C577" s="703"/>
      <c r="E577" s="221"/>
      <c r="F577" s="222"/>
      <c r="G577" s="702"/>
      <c r="H577" s="222"/>
    </row>
    <row r="578">
      <c r="C578" s="703"/>
      <c r="E578" s="221"/>
      <c r="F578" s="222"/>
      <c r="G578" s="702"/>
      <c r="H578" s="222"/>
    </row>
    <row r="579">
      <c r="C579" s="703"/>
      <c r="E579" s="221"/>
      <c r="F579" s="222"/>
      <c r="G579" s="702"/>
      <c r="H579" s="222"/>
    </row>
    <row r="580">
      <c r="C580" s="703"/>
      <c r="E580" s="221"/>
      <c r="F580" s="222"/>
      <c r="G580" s="702"/>
      <c r="H580" s="222"/>
    </row>
    <row r="581">
      <c r="C581" s="703"/>
      <c r="E581" s="221"/>
      <c r="F581" s="222"/>
      <c r="G581" s="702"/>
      <c r="H581" s="222"/>
    </row>
    <row r="582">
      <c r="C582" s="703"/>
      <c r="E582" s="221"/>
      <c r="F582" s="222"/>
      <c r="G582" s="702"/>
      <c r="H582" s="222"/>
    </row>
    <row r="583">
      <c r="C583" s="703"/>
      <c r="E583" s="221"/>
      <c r="F583" s="222"/>
      <c r="G583" s="702"/>
      <c r="H583" s="222"/>
    </row>
    <row r="584">
      <c r="C584" s="703"/>
      <c r="E584" s="221"/>
      <c r="F584" s="222"/>
      <c r="G584" s="702"/>
      <c r="H584" s="222"/>
    </row>
    <row r="585">
      <c r="C585" s="703"/>
      <c r="E585" s="221"/>
      <c r="F585" s="222"/>
      <c r="G585" s="702"/>
      <c r="H585" s="222"/>
    </row>
    <row r="586">
      <c r="C586" s="703"/>
      <c r="E586" s="221"/>
      <c r="F586" s="222"/>
      <c r="G586" s="702"/>
      <c r="H586" s="222"/>
    </row>
    <row r="587">
      <c r="C587" s="703"/>
      <c r="E587" s="221"/>
      <c r="F587" s="222"/>
      <c r="G587" s="702"/>
      <c r="H587" s="222"/>
    </row>
    <row r="588">
      <c r="C588" s="703"/>
      <c r="E588" s="221"/>
      <c r="F588" s="222"/>
      <c r="G588" s="702"/>
      <c r="H588" s="222"/>
    </row>
    <row r="589">
      <c r="C589" s="703"/>
      <c r="E589" s="221"/>
      <c r="F589" s="222"/>
      <c r="G589" s="702"/>
      <c r="H589" s="222"/>
    </row>
    <row r="590">
      <c r="C590" s="703"/>
      <c r="E590" s="221"/>
      <c r="F590" s="222"/>
      <c r="G590" s="702"/>
      <c r="H590" s="222"/>
    </row>
    <row r="591">
      <c r="C591" s="703"/>
      <c r="E591" s="221"/>
      <c r="F591" s="222"/>
      <c r="G591" s="702"/>
      <c r="H591" s="222"/>
    </row>
    <row r="592">
      <c r="C592" s="703"/>
      <c r="E592" s="221"/>
      <c r="F592" s="222"/>
      <c r="G592" s="702"/>
      <c r="H592" s="222"/>
    </row>
    <row r="593">
      <c r="C593" s="703"/>
      <c r="E593" s="221"/>
      <c r="F593" s="222"/>
      <c r="G593" s="702"/>
      <c r="H593" s="222"/>
    </row>
    <row r="594">
      <c r="C594" s="703"/>
      <c r="E594" s="221"/>
      <c r="F594" s="222"/>
      <c r="G594" s="702"/>
      <c r="H594" s="222"/>
    </row>
    <row r="595">
      <c r="C595" s="703"/>
      <c r="E595" s="221"/>
      <c r="F595" s="222"/>
      <c r="G595" s="702"/>
      <c r="H595" s="222"/>
    </row>
    <row r="596">
      <c r="C596" s="703"/>
      <c r="E596" s="221"/>
      <c r="F596" s="222"/>
      <c r="G596" s="702"/>
      <c r="H596" s="222"/>
    </row>
    <row r="597">
      <c r="C597" s="703"/>
      <c r="E597" s="221"/>
      <c r="F597" s="222"/>
      <c r="G597" s="702"/>
      <c r="H597" s="222"/>
    </row>
    <row r="598">
      <c r="C598" s="703"/>
      <c r="E598" s="221"/>
      <c r="F598" s="222"/>
      <c r="G598" s="702"/>
      <c r="H598" s="222"/>
    </row>
    <row r="599">
      <c r="C599" s="703"/>
      <c r="E599" s="221"/>
      <c r="F599" s="222"/>
      <c r="G599" s="702"/>
      <c r="H599" s="222"/>
    </row>
    <row r="600">
      <c r="C600" s="703"/>
      <c r="E600" s="221"/>
      <c r="F600" s="222"/>
      <c r="G600" s="702"/>
      <c r="H600" s="222"/>
    </row>
    <row r="601">
      <c r="C601" s="703"/>
      <c r="E601" s="221"/>
      <c r="F601" s="222"/>
      <c r="G601" s="702"/>
      <c r="H601" s="222"/>
    </row>
    <row r="602">
      <c r="C602" s="703"/>
      <c r="E602" s="221"/>
      <c r="F602" s="222"/>
      <c r="G602" s="702"/>
      <c r="H602" s="222"/>
    </row>
    <row r="603">
      <c r="C603" s="703"/>
      <c r="E603" s="221"/>
      <c r="F603" s="222"/>
      <c r="G603" s="702"/>
      <c r="H603" s="222"/>
    </row>
    <row r="604">
      <c r="C604" s="703"/>
      <c r="E604" s="221"/>
      <c r="F604" s="222"/>
      <c r="G604" s="702"/>
      <c r="H604" s="222"/>
    </row>
    <row r="605">
      <c r="C605" s="703"/>
      <c r="E605" s="221"/>
      <c r="F605" s="222"/>
      <c r="G605" s="702"/>
      <c r="H605" s="222"/>
    </row>
    <row r="606">
      <c r="C606" s="703"/>
      <c r="E606" s="221"/>
      <c r="F606" s="222"/>
      <c r="G606" s="702"/>
      <c r="H606" s="222"/>
    </row>
    <row r="607">
      <c r="C607" s="703"/>
      <c r="E607" s="221"/>
      <c r="F607" s="222"/>
      <c r="G607" s="702"/>
      <c r="H607" s="222"/>
    </row>
    <row r="608">
      <c r="C608" s="703"/>
      <c r="E608" s="221"/>
      <c r="F608" s="222"/>
      <c r="G608" s="702"/>
      <c r="H608" s="222"/>
    </row>
    <row r="609">
      <c r="C609" s="703"/>
      <c r="E609" s="221"/>
      <c r="F609" s="222"/>
      <c r="G609" s="702"/>
      <c r="H609" s="222"/>
    </row>
    <row r="610">
      <c r="C610" s="703"/>
      <c r="E610" s="221"/>
      <c r="F610" s="222"/>
      <c r="G610" s="702"/>
      <c r="H610" s="222"/>
    </row>
    <row r="611">
      <c r="C611" s="703"/>
      <c r="E611" s="221"/>
      <c r="F611" s="222"/>
      <c r="G611" s="702"/>
      <c r="H611" s="222"/>
    </row>
    <row r="612">
      <c r="C612" s="703"/>
      <c r="E612" s="221"/>
      <c r="F612" s="222"/>
      <c r="G612" s="702"/>
      <c r="H612" s="222"/>
    </row>
    <row r="613">
      <c r="C613" s="703"/>
      <c r="E613" s="221"/>
      <c r="F613" s="222"/>
      <c r="G613" s="702"/>
      <c r="H613" s="222"/>
    </row>
    <row r="614">
      <c r="C614" s="703"/>
      <c r="E614" s="221"/>
      <c r="F614" s="222"/>
      <c r="G614" s="702"/>
      <c r="H614" s="222"/>
    </row>
    <row r="615">
      <c r="C615" s="703"/>
      <c r="E615" s="221"/>
      <c r="F615" s="222"/>
      <c r="G615" s="702"/>
      <c r="H615" s="222"/>
    </row>
    <row r="616">
      <c r="C616" s="703"/>
      <c r="E616" s="221"/>
      <c r="F616" s="222"/>
      <c r="G616" s="702"/>
      <c r="H616" s="222"/>
    </row>
    <row r="617">
      <c r="C617" s="703"/>
      <c r="E617" s="221"/>
      <c r="F617" s="222"/>
      <c r="G617" s="702"/>
      <c r="H617" s="222"/>
    </row>
    <row r="618">
      <c r="C618" s="703"/>
      <c r="E618" s="221"/>
      <c r="F618" s="222"/>
      <c r="G618" s="702"/>
      <c r="H618" s="222"/>
    </row>
    <row r="619">
      <c r="C619" s="703"/>
      <c r="E619" s="221"/>
      <c r="F619" s="222"/>
      <c r="G619" s="702"/>
      <c r="H619" s="222"/>
    </row>
    <row r="620">
      <c r="C620" s="703"/>
      <c r="E620" s="221"/>
      <c r="F620" s="222"/>
      <c r="G620" s="702"/>
      <c r="H620" s="222"/>
    </row>
    <row r="621">
      <c r="C621" s="703"/>
      <c r="E621" s="221"/>
      <c r="F621" s="222"/>
      <c r="G621" s="702"/>
      <c r="H621" s="222"/>
    </row>
    <row r="622">
      <c r="C622" s="703"/>
      <c r="E622" s="221"/>
      <c r="F622" s="222"/>
      <c r="G622" s="702"/>
      <c r="H622" s="222"/>
    </row>
    <row r="623">
      <c r="C623" s="703"/>
      <c r="E623" s="221"/>
      <c r="F623" s="222"/>
      <c r="G623" s="702"/>
      <c r="H623" s="222"/>
    </row>
    <row r="624">
      <c r="C624" s="703"/>
      <c r="E624" s="221"/>
      <c r="F624" s="222"/>
      <c r="G624" s="702"/>
      <c r="H624" s="222"/>
    </row>
    <row r="625">
      <c r="C625" s="703"/>
      <c r="E625" s="221"/>
      <c r="F625" s="222"/>
      <c r="G625" s="702"/>
      <c r="H625" s="222"/>
    </row>
    <row r="626">
      <c r="C626" s="703"/>
      <c r="E626" s="221"/>
      <c r="F626" s="222"/>
      <c r="G626" s="702"/>
      <c r="H626" s="222"/>
    </row>
    <row r="627">
      <c r="C627" s="703"/>
      <c r="E627" s="221"/>
      <c r="F627" s="222"/>
      <c r="G627" s="702"/>
      <c r="H627" s="222"/>
    </row>
    <row r="628">
      <c r="C628" s="703"/>
      <c r="E628" s="221"/>
      <c r="F628" s="222"/>
      <c r="G628" s="702"/>
      <c r="H628" s="222"/>
    </row>
    <row r="629">
      <c r="C629" s="703"/>
      <c r="E629" s="221"/>
      <c r="F629" s="222"/>
      <c r="G629" s="702"/>
      <c r="H629" s="222"/>
    </row>
    <row r="630">
      <c r="C630" s="703"/>
      <c r="E630" s="221"/>
      <c r="F630" s="222"/>
      <c r="G630" s="702"/>
      <c r="H630" s="222"/>
    </row>
    <row r="631">
      <c r="C631" s="703"/>
      <c r="E631" s="221"/>
      <c r="F631" s="222"/>
      <c r="G631" s="702"/>
      <c r="H631" s="222"/>
    </row>
    <row r="632">
      <c r="C632" s="703"/>
      <c r="E632" s="221"/>
      <c r="F632" s="222"/>
      <c r="G632" s="702"/>
      <c r="H632" s="222"/>
    </row>
    <row r="633">
      <c r="C633" s="703"/>
      <c r="E633" s="221"/>
      <c r="F633" s="222"/>
      <c r="G633" s="702"/>
      <c r="H633" s="222"/>
    </row>
    <row r="634">
      <c r="C634" s="703"/>
      <c r="E634" s="221"/>
      <c r="F634" s="222"/>
      <c r="G634" s="702"/>
      <c r="H634" s="222"/>
    </row>
    <row r="635">
      <c r="C635" s="703"/>
      <c r="E635" s="221"/>
      <c r="F635" s="222"/>
      <c r="G635" s="702"/>
      <c r="H635" s="222"/>
    </row>
    <row r="636">
      <c r="C636" s="703"/>
      <c r="E636" s="221"/>
      <c r="F636" s="222"/>
      <c r="G636" s="702"/>
      <c r="H636" s="222"/>
    </row>
    <row r="637">
      <c r="C637" s="703"/>
      <c r="E637" s="221"/>
      <c r="F637" s="222"/>
      <c r="G637" s="702"/>
      <c r="H637" s="222"/>
    </row>
    <row r="638">
      <c r="C638" s="703"/>
      <c r="E638" s="221"/>
      <c r="F638" s="222"/>
      <c r="G638" s="702"/>
      <c r="H638" s="222"/>
    </row>
    <row r="639">
      <c r="C639" s="703"/>
      <c r="E639" s="221"/>
      <c r="F639" s="222"/>
      <c r="G639" s="702"/>
      <c r="H639" s="222"/>
    </row>
    <row r="640">
      <c r="C640" s="703"/>
      <c r="E640" s="221"/>
      <c r="F640" s="222"/>
      <c r="G640" s="702"/>
      <c r="H640" s="222"/>
    </row>
    <row r="641">
      <c r="C641" s="703"/>
      <c r="E641" s="221"/>
      <c r="F641" s="222"/>
      <c r="G641" s="702"/>
      <c r="H641" s="222"/>
    </row>
    <row r="642">
      <c r="C642" s="703"/>
      <c r="E642" s="221"/>
      <c r="F642" s="222"/>
      <c r="G642" s="702"/>
      <c r="H642" s="222"/>
    </row>
    <row r="643">
      <c r="C643" s="703"/>
      <c r="E643" s="221"/>
      <c r="F643" s="222"/>
      <c r="G643" s="702"/>
      <c r="H643" s="222"/>
    </row>
    <row r="644">
      <c r="C644" s="703"/>
      <c r="E644" s="221"/>
      <c r="F644" s="222"/>
      <c r="G644" s="702"/>
      <c r="H644" s="222"/>
    </row>
    <row r="645">
      <c r="C645" s="703"/>
      <c r="E645" s="221"/>
      <c r="F645" s="222"/>
      <c r="G645" s="702"/>
      <c r="H645" s="222"/>
    </row>
    <row r="646">
      <c r="C646" s="703"/>
      <c r="E646" s="221"/>
      <c r="F646" s="222"/>
      <c r="G646" s="702"/>
      <c r="H646" s="222"/>
    </row>
    <row r="647">
      <c r="C647" s="703"/>
      <c r="E647" s="221"/>
      <c r="F647" s="222"/>
      <c r="G647" s="702"/>
      <c r="H647" s="222"/>
    </row>
    <row r="648">
      <c r="C648" s="703"/>
      <c r="E648" s="221"/>
      <c r="F648" s="222"/>
      <c r="G648" s="702"/>
      <c r="H648" s="222"/>
    </row>
    <row r="649">
      <c r="C649" s="703"/>
      <c r="E649" s="221"/>
      <c r="F649" s="222"/>
      <c r="G649" s="702"/>
      <c r="H649" s="222"/>
    </row>
    <row r="650">
      <c r="C650" s="703"/>
      <c r="E650" s="221"/>
      <c r="F650" s="222"/>
      <c r="G650" s="702"/>
      <c r="H650" s="222"/>
    </row>
    <row r="651">
      <c r="C651" s="703"/>
      <c r="E651" s="221"/>
      <c r="F651" s="222"/>
      <c r="G651" s="702"/>
      <c r="H651" s="222"/>
    </row>
    <row r="652">
      <c r="C652" s="703"/>
      <c r="E652" s="221"/>
      <c r="F652" s="222"/>
      <c r="G652" s="702"/>
      <c r="H652" s="222"/>
    </row>
    <row r="653">
      <c r="C653" s="703"/>
      <c r="E653" s="221"/>
      <c r="F653" s="222"/>
      <c r="G653" s="702"/>
      <c r="H653" s="222"/>
    </row>
    <row r="654">
      <c r="C654" s="703"/>
      <c r="E654" s="221"/>
      <c r="F654" s="222"/>
      <c r="G654" s="702"/>
      <c r="H654" s="222"/>
    </row>
    <row r="655">
      <c r="C655" s="703"/>
      <c r="E655" s="221"/>
      <c r="F655" s="222"/>
      <c r="G655" s="702"/>
      <c r="H655" s="222"/>
    </row>
    <row r="656">
      <c r="C656" s="703"/>
      <c r="E656" s="221"/>
      <c r="F656" s="222"/>
      <c r="G656" s="702"/>
      <c r="H656" s="222"/>
    </row>
    <row r="657">
      <c r="C657" s="703"/>
      <c r="E657" s="221"/>
      <c r="F657" s="222"/>
      <c r="G657" s="702"/>
      <c r="H657" s="222"/>
    </row>
    <row r="658">
      <c r="C658" s="703"/>
      <c r="E658" s="221"/>
      <c r="F658" s="222"/>
      <c r="G658" s="702"/>
      <c r="H658" s="222"/>
    </row>
    <row r="659">
      <c r="C659" s="703"/>
      <c r="E659" s="221"/>
      <c r="F659" s="222"/>
      <c r="G659" s="702"/>
      <c r="H659" s="222"/>
    </row>
    <row r="660">
      <c r="C660" s="703"/>
      <c r="E660" s="221"/>
      <c r="F660" s="222"/>
      <c r="G660" s="702"/>
      <c r="H660" s="222"/>
    </row>
    <row r="661">
      <c r="C661" s="703"/>
      <c r="E661" s="221"/>
      <c r="F661" s="222"/>
      <c r="G661" s="702"/>
      <c r="H661" s="222"/>
    </row>
    <row r="662">
      <c r="C662" s="703"/>
      <c r="E662" s="221"/>
      <c r="F662" s="222"/>
      <c r="G662" s="702"/>
      <c r="H662" s="222"/>
    </row>
    <row r="663">
      <c r="C663" s="703"/>
      <c r="E663" s="221"/>
      <c r="F663" s="222"/>
      <c r="G663" s="702"/>
      <c r="H663" s="222"/>
    </row>
    <row r="664">
      <c r="C664" s="703"/>
      <c r="E664" s="221"/>
      <c r="F664" s="222"/>
      <c r="G664" s="702"/>
      <c r="H664" s="222"/>
    </row>
    <row r="665">
      <c r="C665" s="703"/>
      <c r="E665" s="221"/>
      <c r="F665" s="222"/>
      <c r="G665" s="702"/>
      <c r="H665" s="222"/>
    </row>
    <row r="666">
      <c r="C666" s="703"/>
      <c r="E666" s="221"/>
      <c r="F666" s="222"/>
      <c r="G666" s="702"/>
      <c r="H666" s="222"/>
    </row>
    <row r="667">
      <c r="C667" s="703"/>
      <c r="E667" s="221"/>
      <c r="F667" s="222"/>
      <c r="G667" s="702"/>
      <c r="H667" s="222"/>
    </row>
    <row r="668">
      <c r="C668" s="703"/>
      <c r="E668" s="221"/>
      <c r="F668" s="222"/>
      <c r="G668" s="702"/>
      <c r="H668" s="222"/>
    </row>
    <row r="669">
      <c r="C669" s="703"/>
      <c r="E669" s="221"/>
      <c r="F669" s="222"/>
      <c r="G669" s="702"/>
      <c r="H669" s="222"/>
    </row>
    <row r="670">
      <c r="C670" s="703"/>
      <c r="E670" s="221"/>
      <c r="F670" s="222"/>
      <c r="G670" s="702"/>
      <c r="H670" s="222"/>
    </row>
    <row r="671">
      <c r="C671" s="703"/>
      <c r="E671" s="221"/>
      <c r="F671" s="222"/>
      <c r="G671" s="702"/>
      <c r="H671" s="222"/>
    </row>
    <row r="672">
      <c r="C672" s="703"/>
      <c r="E672" s="221"/>
      <c r="F672" s="222"/>
      <c r="G672" s="702"/>
      <c r="H672" s="222"/>
    </row>
    <row r="673">
      <c r="C673" s="703"/>
      <c r="E673" s="221"/>
      <c r="F673" s="222"/>
      <c r="G673" s="702"/>
      <c r="H673" s="222"/>
    </row>
    <row r="674">
      <c r="C674" s="703"/>
      <c r="E674" s="221"/>
      <c r="F674" s="222"/>
      <c r="G674" s="702"/>
      <c r="H674" s="222"/>
    </row>
    <row r="675">
      <c r="C675" s="703"/>
      <c r="E675" s="221"/>
      <c r="F675" s="222"/>
      <c r="G675" s="702"/>
      <c r="H675" s="222"/>
    </row>
    <row r="676">
      <c r="C676" s="703"/>
      <c r="E676" s="221"/>
      <c r="F676" s="222"/>
      <c r="G676" s="702"/>
      <c r="H676" s="222"/>
    </row>
    <row r="677">
      <c r="C677" s="703"/>
      <c r="E677" s="221"/>
      <c r="F677" s="222"/>
      <c r="G677" s="702"/>
      <c r="H677" s="222"/>
    </row>
    <row r="678">
      <c r="C678" s="703"/>
      <c r="E678" s="221"/>
      <c r="F678" s="222"/>
      <c r="G678" s="702"/>
      <c r="H678" s="222"/>
    </row>
    <row r="679">
      <c r="C679" s="703"/>
      <c r="E679" s="221"/>
      <c r="F679" s="222"/>
      <c r="G679" s="702"/>
      <c r="H679" s="222"/>
    </row>
    <row r="680">
      <c r="C680" s="703"/>
      <c r="E680" s="221"/>
      <c r="F680" s="222"/>
      <c r="G680" s="702"/>
      <c r="H680" s="222"/>
    </row>
    <row r="681">
      <c r="C681" s="703"/>
      <c r="E681" s="221"/>
      <c r="F681" s="222"/>
      <c r="G681" s="702"/>
      <c r="H681" s="222"/>
    </row>
    <row r="682">
      <c r="C682" s="703"/>
      <c r="E682" s="221"/>
      <c r="F682" s="222"/>
      <c r="G682" s="702"/>
      <c r="H682" s="222"/>
    </row>
    <row r="683">
      <c r="C683" s="703"/>
      <c r="E683" s="221"/>
      <c r="F683" s="222"/>
      <c r="G683" s="702"/>
      <c r="H683" s="222"/>
    </row>
    <row r="684">
      <c r="C684" s="703"/>
      <c r="E684" s="221"/>
      <c r="F684" s="222"/>
      <c r="G684" s="702"/>
      <c r="H684" s="222"/>
    </row>
    <row r="685">
      <c r="C685" s="703"/>
      <c r="E685" s="221"/>
      <c r="F685" s="222"/>
      <c r="G685" s="702"/>
      <c r="H685" s="222"/>
    </row>
    <row r="686">
      <c r="C686" s="703"/>
      <c r="E686" s="221"/>
      <c r="F686" s="222"/>
      <c r="G686" s="702"/>
      <c r="H686" s="222"/>
    </row>
    <row r="687">
      <c r="C687" s="703"/>
      <c r="E687" s="221"/>
      <c r="F687" s="222"/>
      <c r="G687" s="702"/>
      <c r="H687" s="222"/>
    </row>
    <row r="688">
      <c r="C688" s="703"/>
      <c r="E688" s="221"/>
      <c r="F688" s="222"/>
      <c r="G688" s="702"/>
      <c r="H688" s="222"/>
    </row>
    <row r="689">
      <c r="C689" s="703"/>
      <c r="E689" s="221"/>
      <c r="F689" s="222"/>
      <c r="G689" s="702"/>
      <c r="H689" s="222"/>
    </row>
    <row r="690">
      <c r="C690" s="703"/>
      <c r="E690" s="221"/>
      <c r="F690" s="222"/>
      <c r="G690" s="702"/>
      <c r="H690" s="222"/>
    </row>
    <row r="691">
      <c r="C691" s="703"/>
      <c r="E691" s="221"/>
      <c r="F691" s="222"/>
      <c r="G691" s="702"/>
      <c r="H691" s="222"/>
    </row>
    <row r="692">
      <c r="C692" s="703"/>
      <c r="E692" s="221"/>
      <c r="F692" s="222"/>
      <c r="G692" s="702"/>
      <c r="H692" s="222"/>
    </row>
    <row r="693">
      <c r="C693" s="703"/>
      <c r="E693" s="221"/>
      <c r="F693" s="222"/>
      <c r="G693" s="702"/>
      <c r="H693" s="222"/>
    </row>
    <row r="694">
      <c r="C694" s="703"/>
      <c r="E694" s="221"/>
      <c r="F694" s="222"/>
      <c r="G694" s="702"/>
      <c r="H694" s="222"/>
    </row>
    <row r="695">
      <c r="C695" s="703"/>
      <c r="E695" s="221"/>
      <c r="F695" s="222"/>
      <c r="G695" s="702"/>
      <c r="H695" s="222"/>
    </row>
    <row r="696">
      <c r="C696" s="703"/>
      <c r="E696" s="221"/>
      <c r="F696" s="222"/>
      <c r="G696" s="702"/>
      <c r="H696" s="222"/>
    </row>
    <row r="697">
      <c r="C697" s="703"/>
      <c r="E697" s="221"/>
      <c r="F697" s="222"/>
      <c r="G697" s="702"/>
      <c r="H697" s="222"/>
    </row>
    <row r="698">
      <c r="C698" s="703"/>
      <c r="E698" s="221"/>
      <c r="F698" s="222"/>
      <c r="G698" s="702"/>
      <c r="H698" s="222"/>
    </row>
    <row r="699">
      <c r="C699" s="703"/>
      <c r="E699" s="221"/>
      <c r="F699" s="222"/>
      <c r="G699" s="702"/>
      <c r="H699" s="222"/>
    </row>
    <row r="700">
      <c r="C700" s="703"/>
      <c r="E700" s="221"/>
      <c r="F700" s="222"/>
      <c r="G700" s="702"/>
      <c r="H700" s="222"/>
    </row>
    <row r="701">
      <c r="C701" s="703"/>
      <c r="E701" s="221"/>
      <c r="F701" s="222"/>
      <c r="G701" s="702"/>
      <c r="H701" s="222"/>
    </row>
    <row r="702">
      <c r="C702" s="703"/>
      <c r="E702" s="221"/>
      <c r="F702" s="222"/>
      <c r="G702" s="702"/>
      <c r="H702" s="222"/>
    </row>
    <row r="703">
      <c r="C703" s="703"/>
      <c r="E703" s="221"/>
      <c r="F703" s="222"/>
      <c r="G703" s="702"/>
      <c r="H703" s="222"/>
    </row>
    <row r="704">
      <c r="C704" s="703"/>
      <c r="E704" s="221"/>
      <c r="F704" s="222"/>
      <c r="G704" s="702"/>
      <c r="H704" s="222"/>
    </row>
    <row r="705">
      <c r="C705" s="703"/>
      <c r="E705" s="221"/>
      <c r="F705" s="222"/>
      <c r="G705" s="702"/>
      <c r="H705" s="222"/>
    </row>
    <row r="706">
      <c r="C706" s="703"/>
      <c r="E706" s="221"/>
      <c r="F706" s="222"/>
      <c r="G706" s="702"/>
      <c r="H706" s="222"/>
    </row>
    <row r="707">
      <c r="C707" s="703"/>
      <c r="E707" s="221"/>
      <c r="F707" s="222"/>
      <c r="G707" s="702"/>
      <c r="H707" s="222"/>
    </row>
    <row r="708">
      <c r="C708" s="703"/>
      <c r="E708" s="221"/>
      <c r="F708" s="222"/>
      <c r="G708" s="702"/>
      <c r="H708" s="222"/>
    </row>
    <row r="709">
      <c r="C709" s="703"/>
      <c r="E709" s="221"/>
      <c r="F709" s="222"/>
      <c r="G709" s="702"/>
      <c r="H709" s="222"/>
    </row>
    <row r="710">
      <c r="C710" s="703"/>
      <c r="E710" s="221"/>
      <c r="F710" s="222"/>
      <c r="G710" s="702"/>
      <c r="H710" s="222"/>
    </row>
    <row r="711">
      <c r="C711" s="703"/>
      <c r="E711" s="221"/>
      <c r="F711" s="222"/>
      <c r="G711" s="702"/>
      <c r="H711" s="222"/>
    </row>
    <row r="712">
      <c r="C712" s="703"/>
      <c r="E712" s="221"/>
      <c r="F712" s="222"/>
      <c r="G712" s="702"/>
      <c r="H712" s="222"/>
    </row>
    <row r="713">
      <c r="C713" s="703"/>
      <c r="E713" s="221"/>
      <c r="F713" s="222"/>
      <c r="G713" s="702"/>
      <c r="H713" s="222"/>
    </row>
    <row r="714">
      <c r="C714" s="703"/>
      <c r="E714" s="221"/>
      <c r="F714" s="222"/>
      <c r="G714" s="702"/>
      <c r="H714" s="222"/>
    </row>
    <row r="715">
      <c r="C715" s="703"/>
      <c r="E715" s="221"/>
      <c r="F715" s="222"/>
      <c r="G715" s="702"/>
      <c r="H715" s="222"/>
    </row>
    <row r="716">
      <c r="C716" s="703"/>
      <c r="E716" s="221"/>
      <c r="F716" s="222"/>
      <c r="G716" s="702"/>
      <c r="H716" s="222"/>
    </row>
    <row r="717">
      <c r="C717" s="703"/>
      <c r="E717" s="221"/>
      <c r="F717" s="222"/>
      <c r="G717" s="702"/>
      <c r="H717" s="222"/>
    </row>
    <row r="718">
      <c r="C718" s="703"/>
      <c r="E718" s="221"/>
      <c r="F718" s="222"/>
      <c r="G718" s="702"/>
      <c r="H718" s="222"/>
    </row>
    <row r="719">
      <c r="C719" s="703"/>
      <c r="E719" s="221"/>
      <c r="F719" s="222"/>
      <c r="G719" s="702"/>
      <c r="H719" s="222"/>
    </row>
    <row r="720">
      <c r="C720" s="703"/>
      <c r="E720" s="221"/>
      <c r="F720" s="222"/>
      <c r="G720" s="702"/>
      <c r="H720" s="222"/>
    </row>
    <row r="721">
      <c r="C721" s="703"/>
      <c r="E721" s="221"/>
      <c r="F721" s="222"/>
      <c r="G721" s="702"/>
      <c r="H721" s="222"/>
    </row>
    <row r="722">
      <c r="C722" s="703"/>
      <c r="E722" s="221"/>
      <c r="F722" s="222"/>
      <c r="G722" s="702"/>
      <c r="H722" s="222"/>
    </row>
    <row r="723">
      <c r="C723" s="703"/>
      <c r="E723" s="221"/>
      <c r="F723" s="222"/>
      <c r="G723" s="702"/>
      <c r="H723" s="222"/>
    </row>
    <row r="724">
      <c r="C724" s="703"/>
      <c r="E724" s="221"/>
      <c r="F724" s="222"/>
      <c r="G724" s="702"/>
      <c r="H724" s="222"/>
    </row>
    <row r="725">
      <c r="C725" s="703"/>
      <c r="E725" s="221"/>
      <c r="F725" s="222"/>
      <c r="G725" s="702"/>
      <c r="H725" s="222"/>
    </row>
    <row r="726">
      <c r="C726" s="703"/>
      <c r="E726" s="221"/>
      <c r="F726" s="222"/>
      <c r="G726" s="702"/>
      <c r="H726" s="222"/>
    </row>
    <row r="727">
      <c r="C727" s="703"/>
      <c r="E727" s="221"/>
      <c r="F727" s="222"/>
      <c r="G727" s="702"/>
      <c r="H727" s="222"/>
    </row>
    <row r="728">
      <c r="C728" s="703"/>
      <c r="E728" s="221"/>
      <c r="F728" s="222"/>
      <c r="G728" s="702"/>
      <c r="H728" s="222"/>
    </row>
    <row r="729">
      <c r="C729" s="703"/>
      <c r="E729" s="221"/>
      <c r="F729" s="222"/>
      <c r="G729" s="702"/>
      <c r="H729" s="222"/>
    </row>
    <row r="730">
      <c r="C730" s="703"/>
      <c r="E730" s="221"/>
      <c r="F730" s="222"/>
      <c r="G730" s="702"/>
      <c r="H730" s="222"/>
    </row>
    <row r="731">
      <c r="C731" s="703"/>
      <c r="E731" s="221"/>
      <c r="F731" s="222"/>
      <c r="G731" s="702"/>
      <c r="H731" s="222"/>
    </row>
    <row r="732">
      <c r="C732" s="703"/>
      <c r="E732" s="221"/>
      <c r="F732" s="222"/>
      <c r="G732" s="702"/>
      <c r="H732" s="222"/>
    </row>
    <row r="733">
      <c r="C733" s="703"/>
      <c r="E733" s="221"/>
      <c r="F733" s="222"/>
      <c r="G733" s="702"/>
      <c r="H733" s="222"/>
    </row>
    <row r="734">
      <c r="C734" s="703"/>
      <c r="E734" s="221"/>
      <c r="F734" s="222"/>
      <c r="G734" s="702"/>
      <c r="H734" s="222"/>
    </row>
    <row r="735">
      <c r="C735" s="703"/>
      <c r="E735" s="221"/>
      <c r="F735" s="222"/>
      <c r="G735" s="702"/>
      <c r="H735" s="222"/>
    </row>
    <row r="736">
      <c r="C736" s="703"/>
      <c r="E736" s="221"/>
      <c r="F736" s="222"/>
      <c r="G736" s="702"/>
      <c r="H736" s="222"/>
    </row>
    <row r="737">
      <c r="C737" s="703"/>
      <c r="E737" s="221"/>
      <c r="F737" s="222"/>
      <c r="G737" s="702"/>
      <c r="H737" s="222"/>
    </row>
    <row r="738">
      <c r="C738" s="703"/>
      <c r="E738" s="221"/>
      <c r="F738" s="222"/>
      <c r="G738" s="702"/>
      <c r="H738" s="222"/>
    </row>
    <row r="739">
      <c r="C739" s="703"/>
      <c r="E739" s="221"/>
      <c r="F739" s="222"/>
      <c r="G739" s="702"/>
      <c r="H739" s="222"/>
    </row>
    <row r="740">
      <c r="C740" s="703"/>
      <c r="E740" s="221"/>
      <c r="F740" s="222"/>
      <c r="G740" s="702"/>
      <c r="H740" s="222"/>
    </row>
    <row r="741">
      <c r="C741" s="703"/>
      <c r="E741" s="221"/>
      <c r="F741" s="222"/>
      <c r="G741" s="702"/>
      <c r="H741" s="222"/>
    </row>
    <row r="742">
      <c r="C742" s="703"/>
      <c r="E742" s="221"/>
      <c r="F742" s="222"/>
      <c r="G742" s="702"/>
      <c r="H742" s="222"/>
    </row>
    <row r="743">
      <c r="C743" s="703"/>
      <c r="E743" s="221"/>
      <c r="F743" s="222"/>
      <c r="G743" s="702"/>
      <c r="H743" s="222"/>
    </row>
    <row r="744">
      <c r="C744" s="703"/>
      <c r="E744" s="221"/>
      <c r="F744" s="222"/>
      <c r="G744" s="702"/>
      <c r="H744" s="222"/>
    </row>
    <row r="745">
      <c r="C745" s="703"/>
      <c r="E745" s="221"/>
      <c r="F745" s="222"/>
      <c r="G745" s="702"/>
      <c r="H745" s="222"/>
    </row>
    <row r="746">
      <c r="C746" s="703"/>
      <c r="E746" s="221"/>
      <c r="F746" s="222"/>
      <c r="G746" s="702"/>
      <c r="H746" s="222"/>
    </row>
    <row r="747">
      <c r="C747" s="703"/>
      <c r="E747" s="221"/>
      <c r="F747" s="222"/>
      <c r="G747" s="702"/>
      <c r="H747" s="222"/>
    </row>
    <row r="748">
      <c r="C748" s="703"/>
      <c r="E748" s="221"/>
      <c r="F748" s="222"/>
      <c r="G748" s="702"/>
      <c r="H748" s="222"/>
    </row>
    <row r="749">
      <c r="C749" s="703"/>
      <c r="E749" s="221"/>
      <c r="F749" s="222"/>
      <c r="G749" s="702"/>
      <c r="H749" s="222"/>
    </row>
    <row r="750">
      <c r="C750" s="703"/>
      <c r="E750" s="221"/>
      <c r="F750" s="222"/>
      <c r="G750" s="702"/>
      <c r="H750" s="222"/>
    </row>
    <row r="751">
      <c r="C751" s="703"/>
      <c r="E751" s="221"/>
      <c r="F751" s="222"/>
      <c r="G751" s="702"/>
      <c r="H751" s="222"/>
    </row>
    <row r="752">
      <c r="C752" s="703"/>
      <c r="E752" s="221"/>
      <c r="F752" s="222"/>
      <c r="G752" s="702"/>
      <c r="H752" s="222"/>
    </row>
    <row r="753">
      <c r="C753" s="703"/>
      <c r="E753" s="221"/>
      <c r="F753" s="222"/>
      <c r="G753" s="702"/>
      <c r="H753" s="222"/>
    </row>
    <row r="754">
      <c r="C754" s="703"/>
      <c r="E754" s="221"/>
      <c r="F754" s="222"/>
      <c r="G754" s="702"/>
      <c r="H754" s="222"/>
    </row>
    <row r="755">
      <c r="C755" s="703"/>
      <c r="E755" s="221"/>
      <c r="F755" s="222"/>
      <c r="G755" s="702"/>
      <c r="H755" s="222"/>
    </row>
    <row r="756">
      <c r="C756" s="703"/>
      <c r="E756" s="221"/>
      <c r="F756" s="222"/>
      <c r="G756" s="702"/>
      <c r="H756" s="222"/>
    </row>
    <row r="757">
      <c r="C757" s="703"/>
      <c r="E757" s="221"/>
      <c r="F757" s="222"/>
      <c r="G757" s="702"/>
      <c r="H757" s="222"/>
    </row>
    <row r="758">
      <c r="C758" s="703"/>
      <c r="E758" s="221"/>
      <c r="F758" s="222"/>
      <c r="G758" s="702"/>
      <c r="H758" s="222"/>
    </row>
    <row r="759">
      <c r="C759" s="703"/>
      <c r="E759" s="221"/>
      <c r="F759" s="222"/>
      <c r="G759" s="702"/>
      <c r="H759" s="222"/>
    </row>
    <row r="760">
      <c r="C760" s="703"/>
      <c r="E760" s="221"/>
      <c r="F760" s="222"/>
      <c r="G760" s="702"/>
      <c r="H760" s="222"/>
    </row>
    <row r="761">
      <c r="C761" s="703"/>
      <c r="E761" s="221"/>
      <c r="F761" s="222"/>
      <c r="G761" s="702"/>
      <c r="H761" s="222"/>
    </row>
    <row r="762">
      <c r="C762" s="703"/>
      <c r="E762" s="221"/>
      <c r="F762" s="222"/>
      <c r="G762" s="702"/>
      <c r="H762" s="222"/>
    </row>
    <row r="763">
      <c r="C763" s="703"/>
      <c r="E763" s="221"/>
      <c r="F763" s="222"/>
      <c r="G763" s="702"/>
      <c r="H763" s="222"/>
    </row>
    <row r="764">
      <c r="C764" s="703"/>
      <c r="E764" s="221"/>
      <c r="F764" s="222"/>
      <c r="G764" s="702"/>
      <c r="H764" s="222"/>
    </row>
    <row r="765">
      <c r="C765" s="703"/>
      <c r="E765" s="221"/>
      <c r="F765" s="222"/>
      <c r="G765" s="702"/>
      <c r="H765" s="222"/>
    </row>
    <row r="766">
      <c r="C766" s="703"/>
      <c r="E766" s="221"/>
      <c r="F766" s="222"/>
      <c r="G766" s="702"/>
      <c r="H766" s="222"/>
    </row>
    <row r="767">
      <c r="C767" s="703"/>
      <c r="E767" s="221"/>
      <c r="F767" s="222"/>
      <c r="G767" s="702"/>
      <c r="H767" s="222"/>
    </row>
    <row r="768">
      <c r="C768" s="703"/>
      <c r="E768" s="221"/>
      <c r="F768" s="222"/>
      <c r="G768" s="702"/>
      <c r="H768" s="222"/>
    </row>
    <row r="769">
      <c r="C769" s="703"/>
      <c r="E769" s="221"/>
      <c r="F769" s="222"/>
      <c r="G769" s="702"/>
      <c r="H769" s="222"/>
    </row>
    <row r="770">
      <c r="C770" s="703"/>
      <c r="E770" s="221"/>
      <c r="F770" s="222"/>
      <c r="G770" s="702"/>
      <c r="H770" s="222"/>
    </row>
    <row r="771">
      <c r="C771" s="703"/>
      <c r="E771" s="221"/>
      <c r="F771" s="222"/>
      <c r="G771" s="702"/>
      <c r="H771" s="222"/>
    </row>
    <row r="772">
      <c r="C772" s="703"/>
      <c r="E772" s="221"/>
      <c r="F772" s="222"/>
      <c r="G772" s="702"/>
      <c r="H772" s="222"/>
    </row>
    <row r="773">
      <c r="C773" s="703"/>
      <c r="E773" s="221"/>
      <c r="F773" s="222"/>
      <c r="G773" s="702"/>
      <c r="H773" s="222"/>
    </row>
    <row r="774">
      <c r="C774" s="703"/>
      <c r="E774" s="221"/>
      <c r="F774" s="222"/>
      <c r="G774" s="702"/>
      <c r="H774" s="222"/>
    </row>
    <row r="775">
      <c r="C775" s="703"/>
      <c r="E775" s="221"/>
      <c r="F775" s="222"/>
      <c r="G775" s="702"/>
      <c r="H775" s="222"/>
    </row>
    <row r="776">
      <c r="C776" s="703"/>
      <c r="E776" s="221"/>
      <c r="F776" s="222"/>
      <c r="G776" s="702"/>
      <c r="H776" s="222"/>
    </row>
    <row r="777">
      <c r="C777" s="703"/>
      <c r="E777" s="221"/>
      <c r="F777" s="222"/>
      <c r="G777" s="702"/>
      <c r="H777" s="222"/>
    </row>
    <row r="778">
      <c r="C778" s="703"/>
      <c r="E778" s="221"/>
      <c r="F778" s="222"/>
      <c r="G778" s="702"/>
      <c r="H778" s="222"/>
    </row>
    <row r="779">
      <c r="C779" s="703"/>
      <c r="E779" s="221"/>
      <c r="F779" s="222"/>
      <c r="G779" s="702"/>
      <c r="H779" s="222"/>
    </row>
    <row r="780">
      <c r="C780" s="703"/>
      <c r="E780" s="221"/>
      <c r="F780" s="222"/>
      <c r="G780" s="702"/>
      <c r="H780" s="222"/>
    </row>
    <row r="781">
      <c r="C781" s="703"/>
      <c r="E781" s="221"/>
      <c r="F781" s="222"/>
      <c r="G781" s="702"/>
      <c r="H781" s="222"/>
    </row>
    <row r="782">
      <c r="C782" s="703"/>
      <c r="E782" s="221"/>
      <c r="F782" s="222"/>
      <c r="G782" s="702"/>
      <c r="H782" s="222"/>
    </row>
    <row r="783">
      <c r="C783" s="703"/>
      <c r="E783" s="221"/>
      <c r="F783" s="222"/>
      <c r="G783" s="702"/>
      <c r="H783" s="222"/>
    </row>
    <row r="784">
      <c r="C784" s="703"/>
      <c r="E784" s="221"/>
      <c r="F784" s="222"/>
      <c r="G784" s="702"/>
      <c r="H784" s="222"/>
    </row>
    <row r="785">
      <c r="C785" s="703"/>
      <c r="E785" s="221"/>
      <c r="F785" s="222"/>
      <c r="G785" s="702"/>
      <c r="H785" s="222"/>
    </row>
    <row r="786">
      <c r="C786" s="703"/>
      <c r="E786" s="221"/>
      <c r="F786" s="222"/>
      <c r="G786" s="702"/>
      <c r="H786" s="222"/>
    </row>
    <row r="787">
      <c r="C787" s="703"/>
      <c r="E787" s="221"/>
      <c r="F787" s="222"/>
      <c r="G787" s="702"/>
      <c r="H787" s="222"/>
    </row>
    <row r="788">
      <c r="C788" s="703"/>
      <c r="E788" s="221"/>
      <c r="F788" s="222"/>
      <c r="G788" s="702"/>
      <c r="H788" s="222"/>
    </row>
    <row r="789">
      <c r="C789" s="703"/>
      <c r="E789" s="221"/>
      <c r="F789" s="222"/>
      <c r="G789" s="702"/>
      <c r="H789" s="222"/>
    </row>
    <row r="790">
      <c r="C790" s="703"/>
      <c r="E790" s="221"/>
      <c r="F790" s="222"/>
      <c r="G790" s="702"/>
      <c r="H790" s="222"/>
    </row>
    <row r="791">
      <c r="C791" s="703"/>
      <c r="E791" s="221"/>
      <c r="F791" s="222"/>
      <c r="G791" s="702"/>
      <c r="H791" s="222"/>
    </row>
    <row r="792">
      <c r="C792" s="703"/>
      <c r="E792" s="221"/>
      <c r="F792" s="222"/>
      <c r="G792" s="702"/>
      <c r="H792" s="222"/>
    </row>
    <row r="793">
      <c r="C793" s="703"/>
      <c r="E793" s="221"/>
      <c r="F793" s="222"/>
      <c r="G793" s="702"/>
      <c r="H793" s="222"/>
    </row>
    <row r="794">
      <c r="C794" s="703"/>
      <c r="E794" s="221"/>
      <c r="F794" s="222"/>
      <c r="G794" s="702"/>
      <c r="H794" s="222"/>
    </row>
    <row r="795">
      <c r="C795" s="703"/>
      <c r="E795" s="221"/>
      <c r="F795" s="222"/>
      <c r="G795" s="702"/>
      <c r="H795" s="222"/>
    </row>
    <row r="796">
      <c r="C796" s="703"/>
      <c r="E796" s="221"/>
      <c r="F796" s="222"/>
      <c r="G796" s="702"/>
      <c r="H796" s="222"/>
    </row>
    <row r="797">
      <c r="C797" s="703"/>
      <c r="E797" s="221"/>
      <c r="F797" s="222"/>
      <c r="G797" s="702"/>
      <c r="H797" s="222"/>
    </row>
    <row r="798">
      <c r="C798" s="703"/>
      <c r="E798" s="221"/>
      <c r="F798" s="222"/>
      <c r="G798" s="702"/>
      <c r="H798" s="222"/>
    </row>
    <row r="799">
      <c r="C799" s="703"/>
      <c r="E799" s="221"/>
      <c r="F799" s="222"/>
      <c r="G799" s="702"/>
      <c r="H799" s="222"/>
    </row>
    <row r="800">
      <c r="C800" s="703"/>
      <c r="E800" s="221"/>
      <c r="F800" s="222"/>
      <c r="G800" s="702"/>
      <c r="H800" s="222"/>
    </row>
    <row r="801">
      <c r="C801" s="703"/>
      <c r="E801" s="221"/>
      <c r="F801" s="222"/>
      <c r="G801" s="702"/>
      <c r="H801" s="222"/>
    </row>
    <row r="802">
      <c r="C802" s="703"/>
      <c r="E802" s="221"/>
      <c r="F802" s="222"/>
      <c r="G802" s="702"/>
      <c r="H802" s="222"/>
    </row>
    <row r="803">
      <c r="C803" s="703"/>
      <c r="E803" s="221"/>
      <c r="F803" s="222"/>
      <c r="G803" s="702"/>
      <c r="H803" s="222"/>
    </row>
    <row r="804">
      <c r="C804" s="703"/>
      <c r="E804" s="221"/>
      <c r="F804" s="222"/>
      <c r="G804" s="702"/>
      <c r="H804" s="222"/>
    </row>
    <row r="805">
      <c r="C805" s="703"/>
      <c r="E805" s="221"/>
      <c r="F805" s="222"/>
      <c r="G805" s="702"/>
      <c r="H805" s="222"/>
    </row>
    <row r="806">
      <c r="C806" s="703"/>
      <c r="E806" s="221"/>
      <c r="F806" s="222"/>
      <c r="G806" s="702"/>
      <c r="H806" s="222"/>
    </row>
    <row r="807">
      <c r="C807" s="703"/>
      <c r="E807" s="221"/>
      <c r="F807" s="222"/>
      <c r="G807" s="702"/>
      <c r="H807" s="222"/>
    </row>
    <row r="808">
      <c r="C808" s="703"/>
      <c r="E808" s="221"/>
      <c r="F808" s="222"/>
      <c r="G808" s="702"/>
      <c r="H808" s="222"/>
    </row>
    <row r="809">
      <c r="C809" s="703"/>
      <c r="E809" s="221"/>
      <c r="F809" s="222"/>
      <c r="G809" s="702"/>
      <c r="H809" s="222"/>
    </row>
    <row r="810">
      <c r="C810" s="703"/>
      <c r="E810" s="221"/>
      <c r="F810" s="222"/>
      <c r="G810" s="702"/>
      <c r="H810" s="222"/>
    </row>
    <row r="811">
      <c r="C811" s="703"/>
      <c r="E811" s="221"/>
      <c r="F811" s="222"/>
      <c r="G811" s="702"/>
      <c r="H811" s="222"/>
    </row>
    <row r="812">
      <c r="C812" s="703"/>
      <c r="E812" s="221"/>
      <c r="F812" s="222"/>
      <c r="G812" s="702"/>
      <c r="H812" s="222"/>
    </row>
    <row r="813">
      <c r="C813" s="703"/>
      <c r="E813" s="221"/>
      <c r="F813" s="222"/>
      <c r="G813" s="702"/>
      <c r="H813" s="222"/>
    </row>
    <row r="814">
      <c r="C814" s="703"/>
      <c r="E814" s="221"/>
      <c r="F814" s="222"/>
      <c r="G814" s="702"/>
      <c r="H814" s="222"/>
    </row>
    <row r="815">
      <c r="C815" s="703"/>
      <c r="E815" s="221"/>
      <c r="F815" s="222"/>
      <c r="G815" s="702"/>
      <c r="H815" s="222"/>
    </row>
    <row r="816">
      <c r="C816" s="703"/>
      <c r="E816" s="221"/>
      <c r="F816" s="222"/>
      <c r="G816" s="702"/>
      <c r="H816" s="222"/>
    </row>
    <row r="817">
      <c r="C817" s="703"/>
      <c r="E817" s="221"/>
      <c r="F817" s="222"/>
      <c r="G817" s="702"/>
      <c r="H817" s="222"/>
    </row>
    <row r="818">
      <c r="C818" s="703"/>
      <c r="E818" s="221"/>
      <c r="F818" s="222"/>
      <c r="G818" s="702"/>
      <c r="H818" s="222"/>
    </row>
    <row r="819">
      <c r="C819" s="703"/>
      <c r="E819" s="221"/>
      <c r="F819" s="222"/>
      <c r="G819" s="702"/>
      <c r="H819" s="222"/>
    </row>
    <row r="820">
      <c r="C820" s="703"/>
      <c r="E820" s="221"/>
      <c r="F820" s="222"/>
      <c r="G820" s="702"/>
      <c r="H820" s="222"/>
    </row>
    <row r="821">
      <c r="C821" s="703"/>
      <c r="E821" s="221"/>
      <c r="F821" s="222"/>
      <c r="G821" s="702"/>
      <c r="H821" s="222"/>
    </row>
    <row r="822">
      <c r="C822" s="703"/>
      <c r="E822" s="221"/>
      <c r="F822" s="222"/>
      <c r="G822" s="702"/>
      <c r="H822" s="222"/>
    </row>
    <row r="823">
      <c r="C823" s="703"/>
      <c r="E823" s="221"/>
      <c r="F823" s="222"/>
      <c r="G823" s="702"/>
      <c r="H823" s="222"/>
    </row>
    <row r="824">
      <c r="C824" s="703"/>
      <c r="E824" s="221"/>
      <c r="F824" s="222"/>
      <c r="G824" s="702"/>
      <c r="H824" s="222"/>
    </row>
    <row r="825">
      <c r="C825" s="703"/>
      <c r="E825" s="221"/>
      <c r="F825" s="222"/>
      <c r="G825" s="702"/>
      <c r="H825" s="222"/>
    </row>
    <row r="826">
      <c r="C826" s="703"/>
      <c r="E826" s="221"/>
      <c r="F826" s="222"/>
      <c r="G826" s="702"/>
      <c r="H826" s="222"/>
    </row>
    <row r="827">
      <c r="C827" s="703"/>
      <c r="E827" s="221"/>
      <c r="F827" s="222"/>
      <c r="G827" s="702"/>
      <c r="H827" s="222"/>
    </row>
    <row r="828">
      <c r="C828" s="703"/>
      <c r="E828" s="221"/>
      <c r="F828" s="222"/>
      <c r="G828" s="702"/>
      <c r="H828" s="222"/>
    </row>
    <row r="829">
      <c r="C829" s="703"/>
      <c r="E829" s="221"/>
      <c r="F829" s="222"/>
      <c r="G829" s="702"/>
      <c r="H829" s="222"/>
    </row>
    <row r="830">
      <c r="C830" s="703"/>
      <c r="E830" s="221"/>
      <c r="F830" s="222"/>
      <c r="G830" s="702"/>
      <c r="H830" s="222"/>
    </row>
    <row r="831">
      <c r="C831" s="703"/>
      <c r="E831" s="221"/>
      <c r="F831" s="222"/>
      <c r="G831" s="702"/>
      <c r="H831" s="222"/>
    </row>
    <row r="832">
      <c r="C832" s="703"/>
      <c r="E832" s="221"/>
      <c r="F832" s="222"/>
      <c r="G832" s="702"/>
      <c r="H832" s="222"/>
    </row>
    <row r="833">
      <c r="C833" s="703"/>
      <c r="E833" s="221"/>
      <c r="F833" s="222"/>
      <c r="G833" s="702"/>
      <c r="H833" s="222"/>
    </row>
    <row r="834">
      <c r="C834" s="703"/>
      <c r="E834" s="221"/>
      <c r="F834" s="222"/>
      <c r="G834" s="702"/>
      <c r="H834" s="222"/>
    </row>
    <row r="835">
      <c r="C835" s="703"/>
      <c r="E835" s="221"/>
      <c r="F835" s="222"/>
      <c r="G835" s="702"/>
      <c r="H835" s="222"/>
    </row>
    <row r="836">
      <c r="C836" s="703"/>
      <c r="E836" s="221"/>
      <c r="F836" s="222"/>
      <c r="G836" s="702"/>
      <c r="H836" s="222"/>
    </row>
    <row r="837">
      <c r="C837" s="703"/>
      <c r="E837" s="221"/>
      <c r="F837" s="222"/>
      <c r="G837" s="702"/>
      <c r="H837" s="222"/>
    </row>
    <row r="838">
      <c r="C838" s="703"/>
      <c r="E838" s="221"/>
      <c r="F838" s="222"/>
      <c r="G838" s="702"/>
      <c r="H838" s="222"/>
    </row>
    <row r="839">
      <c r="C839" s="703"/>
      <c r="E839" s="221"/>
      <c r="F839" s="222"/>
      <c r="G839" s="702"/>
      <c r="H839" s="222"/>
    </row>
    <row r="840">
      <c r="C840" s="703"/>
      <c r="E840" s="221"/>
      <c r="F840" s="222"/>
      <c r="G840" s="702"/>
      <c r="H840" s="222"/>
    </row>
    <row r="841">
      <c r="C841" s="703"/>
      <c r="E841" s="221"/>
      <c r="F841" s="222"/>
      <c r="G841" s="702"/>
      <c r="H841" s="222"/>
    </row>
    <row r="842">
      <c r="C842" s="703"/>
      <c r="E842" s="221"/>
      <c r="F842" s="222"/>
      <c r="G842" s="702"/>
      <c r="H842" s="222"/>
    </row>
    <row r="843">
      <c r="C843" s="703"/>
      <c r="E843" s="221"/>
      <c r="F843" s="222"/>
      <c r="G843" s="702"/>
      <c r="H843" s="222"/>
    </row>
    <row r="844">
      <c r="C844" s="703"/>
      <c r="E844" s="221"/>
      <c r="F844" s="222"/>
      <c r="G844" s="702"/>
      <c r="H844" s="222"/>
    </row>
    <row r="845">
      <c r="C845" s="703"/>
      <c r="E845" s="221"/>
      <c r="F845" s="222"/>
      <c r="G845" s="702"/>
      <c r="H845" s="222"/>
    </row>
    <row r="846">
      <c r="C846" s="703"/>
      <c r="E846" s="221"/>
      <c r="F846" s="222"/>
      <c r="G846" s="702"/>
      <c r="H846" s="222"/>
    </row>
    <row r="847">
      <c r="C847" s="703"/>
      <c r="E847" s="221"/>
      <c r="F847" s="222"/>
      <c r="G847" s="702"/>
      <c r="H847" s="222"/>
    </row>
    <row r="848">
      <c r="C848" s="703"/>
      <c r="E848" s="221"/>
      <c r="F848" s="222"/>
      <c r="G848" s="702"/>
      <c r="H848" s="222"/>
    </row>
    <row r="849">
      <c r="C849" s="703"/>
      <c r="E849" s="221"/>
      <c r="F849" s="222"/>
      <c r="G849" s="702"/>
      <c r="H849" s="222"/>
    </row>
    <row r="850">
      <c r="C850" s="703"/>
      <c r="E850" s="221"/>
      <c r="F850" s="222"/>
      <c r="G850" s="702"/>
      <c r="H850" s="222"/>
    </row>
    <row r="851">
      <c r="C851" s="703"/>
      <c r="E851" s="221"/>
      <c r="F851" s="222"/>
      <c r="G851" s="702"/>
      <c r="H851" s="222"/>
    </row>
    <row r="852">
      <c r="C852" s="703"/>
      <c r="E852" s="221"/>
      <c r="F852" s="222"/>
      <c r="G852" s="702"/>
      <c r="H852" s="222"/>
    </row>
    <row r="853">
      <c r="C853" s="703"/>
      <c r="E853" s="221"/>
      <c r="F853" s="222"/>
      <c r="G853" s="702"/>
      <c r="H853" s="222"/>
    </row>
    <row r="854">
      <c r="C854" s="703"/>
      <c r="E854" s="221"/>
      <c r="F854" s="222"/>
      <c r="G854" s="702"/>
      <c r="H854" s="222"/>
    </row>
    <row r="855">
      <c r="C855" s="703"/>
      <c r="E855" s="221"/>
      <c r="F855" s="222"/>
      <c r="G855" s="702"/>
      <c r="H855" s="222"/>
    </row>
    <row r="856">
      <c r="C856" s="703"/>
      <c r="E856" s="221"/>
      <c r="F856" s="222"/>
      <c r="G856" s="702"/>
      <c r="H856" s="222"/>
    </row>
    <row r="857">
      <c r="C857" s="703"/>
      <c r="E857" s="221"/>
      <c r="F857" s="222"/>
      <c r="G857" s="702"/>
      <c r="H857" s="222"/>
    </row>
    <row r="858">
      <c r="C858" s="703"/>
      <c r="E858" s="221"/>
      <c r="F858" s="222"/>
      <c r="G858" s="702"/>
      <c r="H858" s="222"/>
    </row>
    <row r="859">
      <c r="C859" s="703"/>
      <c r="E859" s="221"/>
      <c r="F859" s="222"/>
      <c r="G859" s="702"/>
      <c r="H859" s="222"/>
    </row>
    <row r="860">
      <c r="C860" s="703"/>
      <c r="E860" s="221"/>
      <c r="F860" s="222"/>
      <c r="G860" s="702"/>
      <c r="H860" s="222"/>
    </row>
    <row r="861">
      <c r="C861" s="703"/>
      <c r="E861" s="221"/>
      <c r="F861" s="222"/>
      <c r="G861" s="702"/>
      <c r="H861" s="222"/>
    </row>
    <row r="862">
      <c r="C862" s="703"/>
      <c r="E862" s="221"/>
      <c r="F862" s="222"/>
      <c r="G862" s="702"/>
      <c r="H862" s="222"/>
    </row>
    <row r="863">
      <c r="C863" s="703"/>
      <c r="E863" s="221"/>
      <c r="F863" s="222"/>
      <c r="G863" s="702"/>
      <c r="H863" s="222"/>
    </row>
    <row r="864">
      <c r="C864" s="703"/>
      <c r="E864" s="221"/>
      <c r="F864" s="222"/>
      <c r="G864" s="702"/>
      <c r="H864" s="222"/>
    </row>
    <row r="865">
      <c r="C865" s="703"/>
      <c r="E865" s="221"/>
      <c r="F865" s="222"/>
      <c r="G865" s="702"/>
      <c r="H865" s="222"/>
    </row>
    <row r="866">
      <c r="C866" s="703"/>
      <c r="E866" s="221"/>
      <c r="F866" s="222"/>
      <c r="G866" s="702"/>
      <c r="H866" s="222"/>
    </row>
    <row r="867">
      <c r="C867" s="703"/>
      <c r="E867" s="221"/>
      <c r="F867" s="222"/>
      <c r="G867" s="702"/>
      <c r="H867" s="222"/>
    </row>
    <row r="868">
      <c r="C868" s="703"/>
      <c r="E868" s="221"/>
      <c r="F868" s="222"/>
      <c r="G868" s="702"/>
      <c r="H868" s="222"/>
    </row>
    <row r="869">
      <c r="C869" s="703"/>
      <c r="E869" s="221"/>
      <c r="F869" s="222"/>
      <c r="G869" s="702"/>
      <c r="H869" s="222"/>
    </row>
    <row r="870">
      <c r="C870" s="703"/>
      <c r="E870" s="221"/>
      <c r="F870" s="222"/>
      <c r="G870" s="702"/>
      <c r="H870" s="222"/>
    </row>
    <row r="871">
      <c r="C871" s="703"/>
      <c r="E871" s="221"/>
      <c r="F871" s="222"/>
      <c r="G871" s="702"/>
      <c r="H871" s="222"/>
    </row>
    <row r="872">
      <c r="C872" s="703"/>
      <c r="E872" s="221"/>
      <c r="F872" s="222"/>
      <c r="G872" s="702"/>
      <c r="H872" s="222"/>
    </row>
    <row r="873">
      <c r="C873" s="703"/>
      <c r="E873" s="221"/>
      <c r="F873" s="222"/>
      <c r="G873" s="702"/>
      <c r="H873" s="222"/>
    </row>
    <row r="874">
      <c r="C874" s="703"/>
      <c r="E874" s="221"/>
      <c r="F874" s="222"/>
      <c r="G874" s="702"/>
      <c r="H874" s="222"/>
    </row>
    <row r="875">
      <c r="C875" s="703"/>
      <c r="E875" s="221"/>
      <c r="F875" s="222"/>
      <c r="G875" s="702"/>
      <c r="H875" s="222"/>
    </row>
    <row r="876">
      <c r="C876" s="703"/>
      <c r="E876" s="221"/>
      <c r="F876" s="222"/>
      <c r="G876" s="702"/>
      <c r="H876" s="222"/>
    </row>
    <row r="877">
      <c r="C877" s="703"/>
      <c r="E877" s="221"/>
      <c r="F877" s="222"/>
      <c r="G877" s="702"/>
      <c r="H877" s="222"/>
    </row>
    <row r="878">
      <c r="C878" s="703"/>
      <c r="E878" s="221"/>
      <c r="F878" s="222"/>
      <c r="G878" s="702"/>
      <c r="H878" s="222"/>
    </row>
    <row r="879">
      <c r="C879" s="703"/>
      <c r="E879" s="221"/>
      <c r="F879" s="222"/>
      <c r="G879" s="702"/>
      <c r="H879" s="222"/>
    </row>
    <row r="880">
      <c r="C880" s="703"/>
      <c r="E880" s="221"/>
      <c r="F880" s="222"/>
      <c r="G880" s="702"/>
      <c r="H880" s="222"/>
    </row>
    <row r="881">
      <c r="C881" s="703"/>
      <c r="E881" s="221"/>
      <c r="F881" s="222"/>
      <c r="G881" s="702"/>
      <c r="H881" s="222"/>
    </row>
    <row r="882">
      <c r="C882" s="703"/>
      <c r="E882" s="221"/>
      <c r="F882" s="222"/>
      <c r="G882" s="702"/>
      <c r="H882" s="222"/>
    </row>
    <row r="883">
      <c r="C883" s="703"/>
      <c r="E883" s="221"/>
      <c r="F883" s="222"/>
      <c r="G883" s="702"/>
      <c r="H883" s="222"/>
    </row>
    <row r="884">
      <c r="C884" s="703"/>
      <c r="E884" s="221"/>
      <c r="F884" s="222"/>
      <c r="G884" s="702"/>
      <c r="H884" s="222"/>
    </row>
    <row r="885">
      <c r="C885" s="703"/>
      <c r="E885" s="221"/>
      <c r="F885" s="222"/>
      <c r="G885" s="702"/>
      <c r="H885" s="222"/>
    </row>
    <row r="886">
      <c r="C886" s="703"/>
      <c r="E886" s="221"/>
      <c r="F886" s="222"/>
      <c r="G886" s="702"/>
      <c r="H886" s="222"/>
    </row>
    <row r="887">
      <c r="C887" s="703"/>
      <c r="E887" s="221"/>
      <c r="F887" s="222"/>
      <c r="G887" s="702"/>
      <c r="H887" s="222"/>
    </row>
    <row r="888">
      <c r="C888" s="703"/>
      <c r="E888" s="221"/>
      <c r="F888" s="222"/>
      <c r="G888" s="702"/>
      <c r="H888" s="222"/>
    </row>
    <row r="889">
      <c r="C889" s="703"/>
      <c r="E889" s="221"/>
      <c r="F889" s="222"/>
      <c r="G889" s="702"/>
      <c r="H889" s="222"/>
    </row>
    <row r="890">
      <c r="C890" s="703"/>
      <c r="E890" s="221"/>
      <c r="F890" s="222"/>
      <c r="G890" s="702"/>
      <c r="H890" s="222"/>
    </row>
    <row r="891">
      <c r="C891" s="703"/>
      <c r="E891" s="221"/>
      <c r="F891" s="222"/>
      <c r="G891" s="702"/>
      <c r="H891" s="222"/>
    </row>
    <row r="892">
      <c r="C892" s="703"/>
      <c r="E892" s="221"/>
      <c r="F892" s="222"/>
      <c r="G892" s="702"/>
      <c r="H892" s="222"/>
    </row>
    <row r="893">
      <c r="C893" s="703"/>
      <c r="E893" s="221"/>
      <c r="F893" s="222"/>
      <c r="G893" s="702"/>
      <c r="H893" s="222"/>
    </row>
    <row r="894">
      <c r="C894" s="703"/>
      <c r="E894" s="221"/>
      <c r="F894" s="222"/>
      <c r="G894" s="702"/>
      <c r="H894" s="222"/>
    </row>
    <row r="895">
      <c r="C895" s="703"/>
      <c r="E895" s="221"/>
      <c r="F895" s="222"/>
      <c r="G895" s="702"/>
      <c r="H895" s="222"/>
    </row>
    <row r="896">
      <c r="C896" s="703"/>
      <c r="E896" s="221"/>
      <c r="F896" s="222"/>
      <c r="G896" s="702"/>
      <c r="H896" s="222"/>
    </row>
    <row r="897">
      <c r="C897" s="703"/>
      <c r="E897" s="221"/>
      <c r="F897" s="222"/>
      <c r="G897" s="702"/>
      <c r="H897" s="222"/>
    </row>
    <row r="898">
      <c r="C898" s="703"/>
      <c r="E898" s="221"/>
      <c r="F898" s="222"/>
      <c r="G898" s="702"/>
      <c r="H898" s="222"/>
    </row>
    <row r="899">
      <c r="C899" s="703"/>
      <c r="E899" s="221"/>
      <c r="F899" s="222"/>
      <c r="G899" s="702"/>
      <c r="H899" s="222"/>
    </row>
    <row r="900">
      <c r="C900" s="703"/>
      <c r="E900" s="221"/>
      <c r="F900" s="222"/>
      <c r="G900" s="702"/>
      <c r="H900" s="222"/>
    </row>
    <row r="901">
      <c r="C901" s="703"/>
      <c r="E901" s="221"/>
      <c r="F901" s="222"/>
      <c r="G901" s="702"/>
      <c r="H901" s="222"/>
    </row>
    <row r="902">
      <c r="C902" s="703"/>
      <c r="E902" s="221"/>
      <c r="F902" s="222"/>
      <c r="G902" s="702"/>
      <c r="H902" s="222"/>
    </row>
    <row r="903">
      <c r="C903" s="703"/>
      <c r="E903" s="221"/>
      <c r="F903" s="222"/>
      <c r="G903" s="702"/>
      <c r="H903" s="222"/>
    </row>
    <row r="904">
      <c r="C904" s="703"/>
      <c r="E904" s="221"/>
      <c r="F904" s="222"/>
      <c r="G904" s="702"/>
      <c r="H904" s="222"/>
    </row>
    <row r="905">
      <c r="C905" s="703"/>
      <c r="E905" s="221"/>
      <c r="F905" s="222"/>
      <c r="G905" s="702"/>
      <c r="H905" s="222"/>
    </row>
    <row r="906">
      <c r="C906" s="703"/>
      <c r="E906" s="221"/>
      <c r="F906" s="222"/>
      <c r="G906" s="702"/>
      <c r="H906" s="222"/>
    </row>
    <row r="907">
      <c r="C907" s="703"/>
      <c r="E907" s="221"/>
      <c r="F907" s="222"/>
      <c r="G907" s="702"/>
      <c r="H907" s="222"/>
    </row>
    <row r="908">
      <c r="C908" s="703"/>
      <c r="E908" s="221"/>
      <c r="F908" s="222"/>
      <c r="G908" s="702"/>
      <c r="H908" s="222"/>
    </row>
    <row r="909">
      <c r="C909" s="703"/>
      <c r="E909" s="221"/>
      <c r="F909" s="222"/>
      <c r="G909" s="702"/>
      <c r="H909" s="222"/>
    </row>
    <row r="910">
      <c r="C910" s="703"/>
      <c r="E910" s="221"/>
      <c r="F910" s="222"/>
      <c r="G910" s="702"/>
      <c r="H910" s="222"/>
    </row>
    <row r="911">
      <c r="C911" s="703"/>
      <c r="E911" s="221"/>
      <c r="F911" s="222"/>
      <c r="G911" s="702"/>
      <c r="H911" s="222"/>
    </row>
    <row r="912">
      <c r="C912" s="703"/>
      <c r="E912" s="221"/>
      <c r="F912" s="222"/>
      <c r="G912" s="702"/>
      <c r="H912" s="222"/>
    </row>
    <row r="913">
      <c r="C913" s="703"/>
      <c r="E913" s="221"/>
      <c r="F913" s="222"/>
      <c r="G913" s="702"/>
      <c r="H913" s="222"/>
    </row>
    <row r="914">
      <c r="C914" s="703"/>
      <c r="E914" s="221"/>
      <c r="F914" s="222"/>
      <c r="G914" s="702"/>
      <c r="H914" s="222"/>
    </row>
    <row r="915">
      <c r="C915" s="703"/>
      <c r="E915" s="221"/>
      <c r="F915" s="222"/>
      <c r="G915" s="702"/>
      <c r="H915" s="222"/>
    </row>
    <row r="916">
      <c r="C916" s="703"/>
      <c r="E916" s="221"/>
      <c r="F916" s="222"/>
      <c r="G916" s="702"/>
      <c r="H916" s="222"/>
    </row>
    <row r="917">
      <c r="C917" s="703"/>
      <c r="E917" s="221"/>
      <c r="F917" s="222"/>
      <c r="G917" s="702"/>
      <c r="H917" s="222"/>
    </row>
    <row r="918">
      <c r="C918" s="703"/>
      <c r="E918" s="221"/>
      <c r="F918" s="222"/>
      <c r="G918" s="702"/>
      <c r="H918" s="222"/>
    </row>
    <row r="919">
      <c r="C919" s="703"/>
      <c r="E919" s="221"/>
      <c r="F919" s="222"/>
      <c r="G919" s="702"/>
      <c r="H919" s="222"/>
    </row>
    <row r="920">
      <c r="C920" s="703"/>
      <c r="E920" s="221"/>
      <c r="F920" s="222"/>
      <c r="G920" s="702"/>
      <c r="H920" s="222"/>
    </row>
    <row r="921">
      <c r="C921" s="703"/>
      <c r="E921" s="221"/>
      <c r="F921" s="222"/>
      <c r="G921" s="702"/>
      <c r="H921" s="222"/>
    </row>
    <row r="922">
      <c r="C922" s="703"/>
      <c r="E922" s="221"/>
      <c r="F922" s="222"/>
      <c r="G922" s="702"/>
      <c r="H922" s="222"/>
    </row>
    <row r="923">
      <c r="C923" s="703"/>
      <c r="E923" s="221"/>
      <c r="F923" s="222"/>
      <c r="G923" s="702"/>
      <c r="H923" s="222"/>
    </row>
    <row r="924">
      <c r="C924" s="703"/>
      <c r="E924" s="221"/>
      <c r="F924" s="222"/>
      <c r="G924" s="702"/>
      <c r="H924" s="222"/>
    </row>
    <row r="925">
      <c r="C925" s="703"/>
      <c r="E925" s="221"/>
      <c r="F925" s="222"/>
      <c r="G925" s="702"/>
      <c r="H925" s="222"/>
    </row>
    <row r="926">
      <c r="C926" s="703"/>
      <c r="E926" s="221"/>
      <c r="F926" s="222"/>
      <c r="G926" s="702"/>
      <c r="H926" s="222"/>
    </row>
    <row r="927">
      <c r="C927" s="703"/>
      <c r="E927" s="221"/>
      <c r="F927" s="222"/>
      <c r="G927" s="702"/>
      <c r="H927" s="222"/>
    </row>
    <row r="928">
      <c r="C928" s="703"/>
      <c r="E928" s="221"/>
      <c r="F928" s="222"/>
      <c r="G928" s="702"/>
      <c r="H928" s="222"/>
    </row>
    <row r="929">
      <c r="C929" s="703"/>
      <c r="E929" s="221"/>
      <c r="F929" s="222"/>
      <c r="G929" s="702"/>
      <c r="H929" s="222"/>
    </row>
    <row r="930">
      <c r="C930" s="703"/>
      <c r="E930" s="221"/>
      <c r="F930" s="222"/>
      <c r="G930" s="702"/>
      <c r="H930" s="222"/>
    </row>
    <row r="931">
      <c r="C931" s="703"/>
      <c r="E931" s="221"/>
      <c r="F931" s="222"/>
      <c r="G931" s="702"/>
      <c r="H931" s="222"/>
    </row>
    <row r="932">
      <c r="C932" s="703"/>
      <c r="E932" s="221"/>
      <c r="F932" s="222"/>
      <c r="G932" s="702"/>
      <c r="H932" s="222"/>
    </row>
    <row r="933">
      <c r="C933" s="703"/>
      <c r="E933" s="221"/>
      <c r="F933" s="222"/>
      <c r="G933" s="702"/>
      <c r="H933" s="222"/>
    </row>
    <row r="934">
      <c r="C934" s="703"/>
      <c r="E934" s="221"/>
      <c r="F934" s="222"/>
      <c r="G934" s="702"/>
      <c r="H934" s="222"/>
    </row>
    <row r="935">
      <c r="C935" s="703"/>
      <c r="E935" s="221"/>
      <c r="F935" s="222"/>
      <c r="G935" s="702"/>
      <c r="H935" s="222"/>
    </row>
    <row r="936">
      <c r="C936" s="703"/>
      <c r="E936" s="221"/>
      <c r="F936" s="222"/>
      <c r="G936" s="702"/>
      <c r="H936" s="222"/>
    </row>
    <row r="937">
      <c r="C937" s="703"/>
      <c r="E937" s="221"/>
      <c r="F937" s="222"/>
      <c r="G937" s="702"/>
      <c r="H937" s="222"/>
    </row>
    <row r="938">
      <c r="C938" s="703"/>
      <c r="E938" s="221"/>
      <c r="F938" s="222"/>
      <c r="G938" s="702"/>
      <c r="H938" s="222"/>
    </row>
    <row r="939">
      <c r="C939" s="703"/>
      <c r="E939" s="221"/>
      <c r="F939" s="222"/>
      <c r="G939" s="702"/>
      <c r="H939" s="222"/>
    </row>
    <row r="940">
      <c r="C940" s="703"/>
      <c r="E940" s="221"/>
      <c r="F940" s="222"/>
      <c r="G940" s="702"/>
      <c r="H940" s="222"/>
    </row>
    <row r="941">
      <c r="C941" s="703"/>
      <c r="E941" s="221"/>
      <c r="F941" s="222"/>
      <c r="G941" s="702"/>
      <c r="H941" s="222"/>
    </row>
    <row r="942">
      <c r="C942" s="703"/>
      <c r="E942" s="221"/>
      <c r="F942" s="222"/>
      <c r="G942" s="702"/>
      <c r="H942" s="222"/>
    </row>
    <row r="943">
      <c r="C943" s="703"/>
      <c r="E943" s="221"/>
      <c r="F943" s="222"/>
      <c r="G943" s="702"/>
      <c r="H943" s="222"/>
    </row>
    <row r="944">
      <c r="C944" s="703"/>
      <c r="E944" s="221"/>
      <c r="F944" s="222"/>
      <c r="G944" s="702"/>
      <c r="H944" s="222"/>
    </row>
    <row r="945">
      <c r="C945" s="703"/>
      <c r="E945" s="221"/>
      <c r="F945" s="222"/>
      <c r="G945" s="702"/>
      <c r="H945" s="222"/>
    </row>
    <row r="946">
      <c r="C946" s="703"/>
      <c r="E946" s="221"/>
      <c r="F946" s="222"/>
      <c r="G946" s="702"/>
      <c r="H946" s="222"/>
    </row>
    <row r="947">
      <c r="C947" s="703"/>
      <c r="E947" s="221"/>
      <c r="F947" s="222"/>
      <c r="G947" s="702"/>
      <c r="H947" s="222"/>
    </row>
    <row r="948">
      <c r="C948" s="703"/>
      <c r="E948" s="221"/>
      <c r="F948" s="222"/>
      <c r="G948" s="702"/>
      <c r="H948" s="222"/>
    </row>
    <row r="949">
      <c r="C949" s="703"/>
      <c r="E949" s="221"/>
      <c r="F949" s="222"/>
      <c r="G949" s="702"/>
      <c r="H949" s="222"/>
    </row>
    <row r="950">
      <c r="C950" s="703"/>
      <c r="E950" s="221"/>
      <c r="F950" s="222"/>
      <c r="G950" s="702"/>
      <c r="H950" s="222"/>
    </row>
    <row r="951">
      <c r="C951" s="703"/>
      <c r="E951" s="221"/>
      <c r="F951" s="222"/>
      <c r="G951" s="702"/>
      <c r="H951" s="222"/>
    </row>
    <row r="952">
      <c r="C952" s="703"/>
      <c r="E952" s="221"/>
      <c r="F952" s="222"/>
      <c r="G952" s="702"/>
      <c r="H952" s="222"/>
    </row>
    <row r="953">
      <c r="C953" s="703"/>
      <c r="E953" s="221"/>
      <c r="F953" s="222"/>
      <c r="G953" s="702"/>
      <c r="H953" s="222"/>
    </row>
    <row r="954">
      <c r="C954" s="703"/>
      <c r="E954" s="221"/>
      <c r="F954" s="222"/>
      <c r="G954" s="702"/>
      <c r="H954" s="222"/>
    </row>
    <row r="955">
      <c r="C955" s="703"/>
      <c r="E955" s="221"/>
      <c r="F955" s="222"/>
      <c r="G955" s="702"/>
      <c r="H955" s="222"/>
    </row>
    <row r="956">
      <c r="C956" s="703"/>
      <c r="E956" s="221"/>
      <c r="F956" s="222"/>
      <c r="G956" s="702"/>
      <c r="H956" s="222"/>
    </row>
    <row r="957">
      <c r="C957" s="703"/>
      <c r="E957" s="221"/>
      <c r="F957" s="222"/>
      <c r="G957" s="702"/>
      <c r="H957" s="222"/>
    </row>
    <row r="958">
      <c r="C958" s="703"/>
      <c r="E958" s="221"/>
      <c r="F958" s="222"/>
      <c r="G958" s="702"/>
      <c r="H958" s="222"/>
    </row>
    <row r="959">
      <c r="C959" s="703"/>
      <c r="E959" s="221"/>
      <c r="F959" s="222"/>
      <c r="G959" s="702"/>
      <c r="H959" s="222"/>
    </row>
    <row r="960">
      <c r="C960" s="703"/>
      <c r="E960" s="221"/>
      <c r="F960" s="222"/>
      <c r="G960" s="702"/>
      <c r="H960" s="222"/>
    </row>
    <row r="961">
      <c r="C961" s="703"/>
      <c r="E961" s="221"/>
      <c r="F961" s="222"/>
      <c r="G961" s="702"/>
      <c r="H961" s="222"/>
    </row>
    <row r="962">
      <c r="C962" s="703"/>
      <c r="E962" s="221"/>
      <c r="F962" s="222"/>
      <c r="G962" s="702"/>
      <c r="H962" s="222"/>
    </row>
    <row r="963">
      <c r="C963" s="703"/>
      <c r="E963" s="221"/>
      <c r="F963" s="222"/>
      <c r="G963" s="702"/>
      <c r="H963" s="222"/>
    </row>
    <row r="964">
      <c r="C964" s="703"/>
      <c r="E964" s="221"/>
      <c r="F964" s="222"/>
      <c r="G964" s="702"/>
      <c r="H964" s="222"/>
    </row>
    <row r="965">
      <c r="C965" s="703"/>
      <c r="E965" s="221"/>
      <c r="F965" s="222"/>
      <c r="G965" s="702"/>
      <c r="H965" s="222"/>
    </row>
    <row r="966">
      <c r="C966" s="703"/>
      <c r="E966" s="221"/>
      <c r="F966" s="222"/>
      <c r="G966" s="702"/>
      <c r="H966" s="222"/>
    </row>
    <row r="967">
      <c r="C967" s="703"/>
      <c r="E967" s="221"/>
      <c r="F967" s="222"/>
      <c r="G967" s="702"/>
      <c r="H967" s="222"/>
    </row>
    <row r="968">
      <c r="C968" s="703"/>
      <c r="E968" s="221"/>
      <c r="F968" s="222"/>
      <c r="G968" s="702"/>
      <c r="H968" s="222"/>
    </row>
    <row r="969">
      <c r="C969" s="703"/>
      <c r="E969" s="221"/>
      <c r="F969" s="222"/>
      <c r="G969" s="702"/>
      <c r="H969" s="222"/>
    </row>
    <row r="970">
      <c r="C970" s="703"/>
      <c r="E970" s="221"/>
      <c r="F970" s="222"/>
      <c r="G970" s="702"/>
      <c r="H970" s="222"/>
    </row>
    <row r="971">
      <c r="C971" s="703"/>
      <c r="E971" s="221"/>
      <c r="F971" s="222"/>
      <c r="G971" s="702"/>
      <c r="H971" s="222"/>
    </row>
    <row r="972">
      <c r="C972" s="703"/>
      <c r="E972" s="221"/>
      <c r="F972" s="222"/>
      <c r="G972" s="702"/>
      <c r="H972" s="222"/>
    </row>
    <row r="973">
      <c r="C973" s="703"/>
      <c r="E973" s="221"/>
      <c r="F973" s="222"/>
      <c r="G973" s="702"/>
      <c r="H973" s="222"/>
    </row>
    <row r="974">
      <c r="C974" s="703"/>
      <c r="E974" s="221"/>
      <c r="F974" s="222"/>
      <c r="G974" s="702"/>
      <c r="H974" s="222"/>
    </row>
    <row r="975">
      <c r="C975" s="703"/>
      <c r="E975" s="221"/>
      <c r="F975" s="222"/>
      <c r="G975" s="702"/>
      <c r="H975" s="222"/>
    </row>
    <row r="976">
      <c r="C976" s="703"/>
      <c r="E976" s="221"/>
      <c r="F976" s="222"/>
      <c r="G976" s="702"/>
      <c r="H976" s="222"/>
    </row>
    <row r="977">
      <c r="C977" s="703"/>
      <c r="E977" s="221"/>
      <c r="F977" s="222"/>
      <c r="G977" s="702"/>
      <c r="H977" s="222"/>
    </row>
    <row r="978">
      <c r="C978" s="703"/>
      <c r="E978" s="221"/>
      <c r="F978" s="222"/>
      <c r="G978" s="702"/>
      <c r="H978" s="222"/>
    </row>
    <row r="979">
      <c r="C979" s="703"/>
      <c r="E979" s="221"/>
      <c r="F979" s="222"/>
      <c r="G979" s="702"/>
      <c r="H979" s="222"/>
    </row>
    <row r="980">
      <c r="C980" s="703"/>
      <c r="E980" s="221"/>
      <c r="F980" s="222"/>
      <c r="G980" s="702"/>
      <c r="H980" s="222"/>
    </row>
    <row r="981">
      <c r="C981" s="703"/>
      <c r="E981" s="221"/>
      <c r="F981" s="222"/>
      <c r="G981" s="702"/>
      <c r="H981" s="222"/>
    </row>
    <row r="982">
      <c r="C982" s="703"/>
      <c r="E982" s="221"/>
      <c r="F982" s="222"/>
      <c r="G982" s="702"/>
      <c r="H982" s="222"/>
    </row>
    <row r="983">
      <c r="C983" s="703"/>
      <c r="E983" s="221"/>
      <c r="F983" s="222"/>
      <c r="G983" s="702"/>
      <c r="H983" s="222"/>
    </row>
    <row r="984">
      <c r="C984" s="703"/>
      <c r="E984" s="221"/>
      <c r="F984" s="222"/>
      <c r="G984" s="702"/>
      <c r="H984" s="222"/>
    </row>
    <row r="985">
      <c r="C985" s="703"/>
      <c r="E985" s="221"/>
      <c r="F985" s="222"/>
      <c r="G985" s="702"/>
      <c r="H985" s="222"/>
    </row>
    <row r="986">
      <c r="C986" s="703"/>
      <c r="E986" s="221"/>
      <c r="F986" s="222"/>
      <c r="G986" s="702"/>
      <c r="H986" s="222"/>
    </row>
    <row r="987">
      <c r="C987" s="703"/>
      <c r="E987" s="221"/>
      <c r="F987" s="222"/>
      <c r="G987" s="702"/>
      <c r="H987" s="222"/>
    </row>
    <row r="988">
      <c r="C988" s="703"/>
      <c r="E988" s="221"/>
      <c r="F988" s="222"/>
      <c r="G988" s="702"/>
      <c r="H988" s="222"/>
    </row>
    <row r="989">
      <c r="C989" s="703"/>
      <c r="E989" s="221"/>
      <c r="F989" s="222"/>
      <c r="G989" s="702"/>
      <c r="H989" s="222"/>
    </row>
    <row r="990">
      <c r="C990" s="703"/>
      <c r="E990" s="221"/>
      <c r="F990" s="222"/>
      <c r="G990" s="702"/>
      <c r="H990" s="222"/>
    </row>
    <row r="991">
      <c r="C991" s="703"/>
      <c r="E991" s="221"/>
      <c r="F991" s="222"/>
      <c r="G991" s="702"/>
      <c r="H991" s="222"/>
    </row>
    <row r="992">
      <c r="C992" s="703"/>
      <c r="E992" s="221"/>
      <c r="F992" s="222"/>
      <c r="G992" s="702"/>
      <c r="H992" s="222"/>
    </row>
    <row r="993">
      <c r="C993" s="703"/>
      <c r="E993" s="221"/>
      <c r="F993" s="222"/>
      <c r="G993" s="702"/>
      <c r="H993" s="222"/>
    </row>
    <row r="994">
      <c r="C994" s="703"/>
      <c r="E994" s="221"/>
      <c r="F994" s="222"/>
      <c r="G994" s="702"/>
      <c r="H994" s="222"/>
    </row>
    <row r="995">
      <c r="C995" s="703"/>
      <c r="E995" s="221"/>
      <c r="F995" s="222"/>
      <c r="G995" s="702"/>
      <c r="H995" s="222"/>
    </row>
    <row r="996">
      <c r="C996" s="703"/>
      <c r="E996" s="221"/>
      <c r="F996" s="222"/>
      <c r="G996" s="702"/>
      <c r="H996" s="222"/>
    </row>
    <row r="997">
      <c r="C997" s="703"/>
      <c r="E997" s="221"/>
      <c r="F997" s="222"/>
      <c r="G997" s="702"/>
      <c r="H997" s="222"/>
    </row>
    <row r="998">
      <c r="C998" s="703"/>
      <c r="E998" s="221"/>
      <c r="F998" s="222"/>
      <c r="G998" s="702"/>
      <c r="H998" s="222"/>
    </row>
    <row r="999">
      <c r="C999" s="703"/>
      <c r="E999" s="221"/>
      <c r="F999" s="222"/>
      <c r="G999" s="702"/>
      <c r="H999" s="222"/>
    </row>
    <row r="1000">
      <c r="C1000" s="703"/>
      <c r="E1000" s="221"/>
      <c r="F1000" s="222"/>
      <c r="G1000" s="702"/>
      <c r="H1000" s="222"/>
    </row>
    <row r="1001">
      <c r="C1001" s="703"/>
      <c r="E1001" s="221"/>
      <c r="F1001" s="222"/>
      <c r="G1001" s="702"/>
      <c r="H1001" s="222"/>
    </row>
    <row r="1002">
      <c r="C1002" s="703"/>
      <c r="E1002" s="221"/>
      <c r="F1002" s="222"/>
      <c r="G1002" s="702"/>
      <c r="H1002" s="222"/>
    </row>
    <row r="1003">
      <c r="C1003" s="703"/>
      <c r="E1003" s="221"/>
      <c r="F1003" s="222"/>
      <c r="G1003" s="702"/>
      <c r="H1003" s="222"/>
    </row>
    <row r="1004">
      <c r="C1004" s="703"/>
      <c r="E1004" s="221"/>
      <c r="F1004" s="222"/>
      <c r="G1004" s="702"/>
      <c r="H1004" s="222"/>
    </row>
    <row r="1005">
      <c r="C1005" s="703"/>
      <c r="E1005" s="221"/>
      <c r="F1005" s="222"/>
      <c r="G1005" s="702"/>
      <c r="H1005" s="222"/>
    </row>
    <row r="1006">
      <c r="C1006" s="703"/>
      <c r="E1006" s="221"/>
      <c r="F1006" s="222"/>
      <c r="G1006" s="702"/>
      <c r="H1006" s="222"/>
    </row>
    <row r="1007">
      <c r="C1007" s="703"/>
      <c r="E1007" s="221"/>
      <c r="F1007" s="222"/>
      <c r="G1007" s="702"/>
      <c r="H1007" s="222"/>
    </row>
    <row r="1008">
      <c r="C1008" s="703"/>
      <c r="E1008" s="221"/>
      <c r="F1008" s="222"/>
      <c r="G1008" s="702"/>
      <c r="H1008" s="222"/>
    </row>
    <row r="1009">
      <c r="C1009" s="703"/>
      <c r="E1009" s="221"/>
      <c r="F1009" s="222"/>
      <c r="G1009" s="702"/>
      <c r="H1009" s="222"/>
    </row>
    <row r="1010">
      <c r="C1010" s="703"/>
      <c r="E1010" s="221"/>
      <c r="F1010" s="222"/>
      <c r="G1010" s="702"/>
      <c r="H1010" s="222"/>
    </row>
    <row r="1011">
      <c r="C1011" s="703"/>
      <c r="E1011" s="221"/>
      <c r="F1011" s="222"/>
      <c r="G1011" s="702"/>
      <c r="H1011" s="222"/>
    </row>
    <row r="1012">
      <c r="C1012" s="703"/>
      <c r="E1012" s="221"/>
      <c r="F1012" s="222"/>
      <c r="G1012" s="702"/>
      <c r="H1012" s="222"/>
    </row>
    <row r="1013">
      <c r="C1013" s="703"/>
      <c r="E1013" s="221"/>
      <c r="F1013" s="222"/>
      <c r="G1013" s="702"/>
      <c r="H1013" s="222"/>
    </row>
    <row r="1014">
      <c r="C1014" s="703"/>
      <c r="E1014" s="221"/>
      <c r="F1014" s="222"/>
      <c r="G1014" s="702"/>
      <c r="H1014" s="222"/>
    </row>
    <row r="1015">
      <c r="C1015" s="703"/>
      <c r="E1015" s="221"/>
      <c r="F1015" s="222"/>
      <c r="G1015" s="702"/>
      <c r="H1015" s="222"/>
    </row>
    <row r="1016">
      <c r="C1016" s="703"/>
      <c r="E1016" s="221"/>
      <c r="F1016" s="222"/>
      <c r="G1016" s="702"/>
      <c r="H1016" s="222"/>
    </row>
    <row r="1017">
      <c r="C1017" s="703"/>
      <c r="E1017" s="221"/>
      <c r="F1017" s="222"/>
      <c r="G1017" s="702"/>
      <c r="H1017" s="222"/>
    </row>
    <row r="1018">
      <c r="C1018" s="703"/>
      <c r="E1018" s="221"/>
      <c r="F1018" s="222"/>
      <c r="G1018" s="702"/>
      <c r="H1018" s="222"/>
    </row>
    <row r="1019">
      <c r="C1019" s="703"/>
      <c r="E1019" s="221"/>
      <c r="F1019" s="222"/>
      <c r="G1019" s="702"/>
      <c r="H1019" s="222"/>
    </row>
    <row r="1020">
      <c r="C1020" s="703"/>
      <c r="E1020" s="221"/>
      <c r="F1020" s="222"/>
      <c r="G1020" s="702"/>
      <c r="H1020" s="222"/>
    </row>
    <row r="1021">
      <c r="C1021" s="703"/>
      <c r="E1021" s="221"/>
      <c r="F1021" s="222"/>
      <c r="G1021" s="702"/>
      <c r="H1021" s="222"/>
    </row>
    <row r="1022">
      <c r="C1022" s="703"/>
      <c r="E1022" s="221"/>
      <c r="F1022" s="222"/>
      <c r="G1022" s="702"/>
      <c r="H1022" s="222"/>
    </row>
    <row r="1023">
      <c r="C1023" s="703"/>
      <c r="E1023" s="221"/>
      <c r="F1023" s="222"/>
      <c r="G1023" s="702"/>
      <c r="H1023" s="222"/>
    </row>
    <row r="1024">
      <c r="C1024" s="703"/>
      <c r="E1024" s="221"/>
      <c r="F1024" s="222"/>
      <c r="G1024" s="702"/>
      <c r="H1024" s="222"/>
    </row>
    <row r="1025">
      <c r="C1025" s="703"/>
      <c r="E1025" s="221"/>
      <c r="F1025" s="222"/>
      <c r="G1025" s="702"/>
      <c r="H1025" s="222"/>
    </row>
    <row r="1026">
      <c r="C1026" s="703"/>
      <c r="E1026" s="221"/>
      <c r="F1026" s="222"/>
      <c r="G1026" s="702"/>
      <c r="H1026" s="222"/>
    </row>
    <row r="1027">
      <c r="C1027" s="703"/>
      <c r="E1027" s="221"/>
      <c r="F1027" s="222"/>
      <c r="G1027" s="702"/>
      <c r="H1027" s="222"/>
    </row>
    <row r="1028">
      <c r="C1028" s="703"/>
      <c r="E1028" s="221"/>
      <c r="F1028" s="222"/>
      <c r="G1028" s="702"/>
      <c r="H1028" s="222"/>
    </row>
    <row r="1029">
      <c r="C1029" s="703"/>
      <c r="E1029" s="221"/>
      <c r="F1029" s="222"/>
      <c r="G1029" s="702"/>
      <c r="H1029" s="222"/>
    </row>
    <row r="1030">
      <c r="C1030" s="703"/>
      <c r="E1030" s="221"/>
      <c r="F1030" s="222"/>
      <c r="G1030" s="702"/>
      <c r="H1030" s="222"/>
    </row>
    <row r="1031">
      <c r="C1031" s="703"/>
      <c r="E1031" s="221"/>
      <c r="F1031" s="222"/>
      <c r="G1031" s="702"/>
      <c r="H1031" s="222"/>
    </row>
    <row r="1032">
      <c r="C1032" s="703"/>
      <c r="E1032" s="221"/>
      <c r="F1032" s="222"/>
      <c r="G1032" s="702"/>
      <c r="H1032" s="222"/>
    </row>
    <row r="1033">
      <c r="C1033" s="703"/>
      <c r="E1033" s="221"/>
      <c r="F1033" s="222"/>
      <c r="G1033" s="702"/>
      <c r="H1033" s="222"/>
    </row>
    <row r="1034">
      <c r="C1034" s="703"/>
      <c r="E1034" s="221"/>
      <c r="F1034" s="222"/>
      <c r="G1034" s="702"/>
      <c r="H1034" s="222"/>
    </row>
    <row r="1035">
      <c r="C1035" s="703"/>
      <c r="E1035" s="221"/>
      <c r="F1035" s="222"/>
      <c r="G1035" s="702"/>
      <c r="H1035" s="222"/>
    </row>
    <row r="1036">
      <c r="C1036" s="703"/>
      <c r="E1036" s="221"/>
      <c r="F1036" s="222"/>
      <c r="G1036" s="702"/>
      <c r="H1036" s="222"/>
    </row>
    <row r="1037">
      <c r="C1037" s="703"/>
      <c r="E1037" s="221"/>
      <c r="F1037" s="222"/>
      <c r="G1037" s="702"/>
      <c r="H1037" s="222"/>
    </row>
    <row r="1038">
      <c r="C1038" s="703"/>
      <c r="E1038" s="221"/>
      <c r="F1038" s="222"/>
      <c r="G1038" s="702"/>
      <c r="H1038" s="222"/>
    </row>
    <row r="1039">
      <c r="C1039" s="703"/>
      <c r="E1039" s="221"/>
      <c r="F1039" s="222"/>
      <c r="G1039" s="702"/>
      <c r="H1039" s="222"/>
    </row>
    <row r="1040">
      <c r="C1040" s="703"/>
      <c r="E1040" s="221"/>
      <c r="F1040" s="222"/>
      <c r="G1040" s="702"/>
      <c r="H1040" s="222"/>
    </row>
    <row r="1041">
      <c r="C1041" s="703"/>
      <c r="E1041" s="221"/>
      <c r="F1041" s="222"/>
      <c r="G1041" s="702"/>
      <c r="H1041" s="222"/>
    </row>
    <row r="1042">
      <c r="C1042" s="703"/>
      <c r="E1042" s="221"/>
      <c r="F1042" s="222"/>
      <c r="G1042" s="702"/>
      <c r="H1042" s="222"/>
    </row>
    <row r="1043">
      <c r="C1043" s="703"/>
      <c r="E1043" s="221"/>
      <c r="F1043" s="222"/>
      <c r="G1043" s="702"/>
      <c r="H1043" s="222"/>
    </row>
    <row r="1044">
      <c r="C1044" s="703"/>
      <c r="E1044" s="221"/>
      <c r="F1044" s="222"/>
      <c r="G1044" s="702"/>
      <c r="H1044" s="222"/>
    </row>
    <row r="1045">
      <c r="C1045" s="703"/>
      <c r="E1045" s="221"/>
      <c r="F1045" s="222"/>
      <c r="G1045" s="702"/>
      <c r="H1045" s="222"/>
    </row>
    <row r="1046">
      <c r="C1046" s="703"/>
      <c r="E1046" s="221"/>
      <c r="F1046" s="222"/>
      <c r="G1046" s="702"/>
      <c r="H1046" s="222"/>
    </row>
    <row r="1047">
      <c r="C1047" s="703"/>
      <c r="E1047" s="221"/>
      <c r="F1047" s="222"/>
      <c r="G1047" s="702"/>
      <c r="H1047" s="222"/>
    </row>
    <row r="1048">
      <c r="C1048" s="703"/>
      <c r="E1048" s="221"/>
      <c r="F1048" s="222"/>
      <c r="G1048" s="702"/>
      <c r="H1048" s="222"/>
    </row>
    <row r="1049">
      <c r="C1049" s="703"/>
      <c r="E1049" s="221"/>
      <c r="F1049" s="222"/>
      <c r="G1049" s="702"/>
      <c r="H1049" s="222"/>
    </row>
    <row r="1050">
      <c r="C1050" s="703"/>
      <c r="E1050" s="221"/>
      <c r="F1050" s="222"/>
      <c r="G1050" s="702"/>
      <c r="H1050" s="222"/>
    </row>
    <row r="1051">
      <c r="C1051" s="703"/>
      <c r="E1051" s="221"/>
      <c r="F1051" s="222"/>
      <c r="G1051" s="702"/>
      <c r="H1051" s="222"/>
    </row>
    <row r="1052">
      <c r="C1052" s="703"/>
      <c r="E1052" s="221"/>
      <c r="F1052" s="222"/>
      <c r="G1052" s="702"/>
      <c r="H1052" s="222"/>
    </row>
    <row r="1053">
      <c r="C1053" s="703"/>
      <c r="E1053" s="221"/>
      <c r="F1053" s="222"/>
      <c r="G1053" s="702"/>
      <c r="H1053" s="222"/>
    </row>
    <row r="1054">
      <c r="C1054" s="703"/>
      <c r="E1054" s="221"/>
      <c r="F1054" s="222"/>
      <c r="G1054" s="702"/>
      <c r="H1054" s="222"/>
    </row>
    <row r="1055">
      <c r="C1055" s="703"/>
      <c r="E1055" s="221"/>
      <c r="F1055" s="222"/>
      <c r="G1055" s="702"/>
      <c r="H1055" s="222"/>
    </row>
    <row r="1056">
      <c r="C1056" s="703"/>
      <c r="E1056" s="221"/>
      <c r="F1056" s="222"/>
      <c r="G1056" s="702"/>
      <c r="H1056" s="222"/>
    </row>
    <row r="1057">
      <c r="C1057" s="703"/>
      <c r="E1057" s="221"/>
      <c r="F1057" s="222"/>
      <c r="G1057" s="702"/>
      <c r="H1057" s="222"/>
    </row>
    <row r="1058">
      <c r="C1058" s="703"/>
      <c r="E1058" s="221"/>
      <c r="F1058" s="222"/>
      <c r="G1058" s="702"/>
      <c r="H1058" s="222"/>
    </row>
    <row r="1059">
      <c r="C1059" s="703"/>
      <c r="E1059" s="221"/>
      <c r="F1059" s="222"/>
      <c r="G1059" s="702"/>
      <c r="H1059" s="222"/>
    </row>
    <row r="1060">
      <c r="C1060" s="703"/>
      <c r="E1060" s="221"/>
      <c r="F1060" s="222"/>
      <c r="G1060" s="702"/>
      <c r="H1060" s="222"/>
    </row>
    <row r="1061">
      <c r="C1061" s="703"/>
      <c r="E1061" s="221"/>
      <c r="F1061" s="222"/>
      <c r="G1061" s="702"/>
      <c r="H1061" s="222"/>
    </row>
    <row r="1062">
      <c r="C1062" s="703"/>
      <c r="E1062" s="221"/>
      <c r="F1062" s="222"/>
      <c r="G1062" s="702"/>
      <c r="H1062" s="222"/>
    </row>
    <row r="1063">
      <c r="C1063" s="703"/>
      <c r="E1063" s="221"/>
      <c r="F1063" s="222"/>
      <c r="G1063" s="702"/>
      <c r="H1063" s="222"/>
    </row>
    <row r="1064">
      <c r="C1064" s="703"/>
      <c r="E1064" s="221"/>
      <c r="F1064" s="222"/>
      <c r="G1064" s="702"/>
      <c r="H1064" s="222"/>
    </row>
    <row r="1065">
      <c r="C1065" s="703"/>
      <c r="E1065" s="221"/>
      <c r="F1065" s="222"/>
      <c r="G1065" s="702"/>
      <c r="H1065" s="222"/>
    </row>
    <row r="1066">
      <c r="C1066" s="703"/>
      <c r="E1066" s="221"/>
      <c r="F1066" s="222"/>
      <c r="G1066" s="702"/>
      <c r="H1066" s="222"/>
    </row>
    <row r="1067">
      <c r="C1067" s="703"/>
      <c r="E1067" s="221"/>
      <c r="F1067" s="222"/>
      <c r="G1067" s="702"/>
      <c r="H1067" s="222"/>
    </row>
    <row r="1068">
      <c r="C1068" s="703"/>
      <c r="E1068" s="221"/>
      <c r="F1068" s="222"/>
      <c r="G1068" s="702"/>
      <c r="H1068" s="222"/>
    </row>
    <row r="1069">
      <c r="C1069" s="703"/>
      <c r="E1069" s="221"/>
      <c r="F1069" s="222"/>
      <c r="G1069" s="702"/>
      <c r="H1069" s="222"/>
    </row>
    <row r="1070">
      <c r="C1070" s="703"/>
      <c r="E1070" s="221"/>
      <c r="F1070" s="222"/>
      <c r="G1070" s="702"/>
      <c r="H1070" s="222"/>
    </row>
    <row r="1071">
      <c r="C1071" s="703"/>
      <c r="E1071" s="221"/>
      <c r="F1071" s="222"/>
      <c r="G1071" s="702"/>
      <c r="H1071" s="222"/>
    </row>
    <row r="1072">
      <c r="C1072" s="703"/>
      <c r="E1072" s="221"/>
      <c r="F1072" s="222"/>
      <c r="G1072" s="702"/>
      <c r="H1072" s="222"/>
    </row>
    <row r="1073">
      <c r="C1073" s="703"/>
      <c r="E1073" s="221"/>
      <c r="F1073" s="222"/>
      <c r="G1073" s="702"/>
      <c r="H1073" s="222"/>
    </row>
    <row r="1074">
      <c r="C1074" s="703"/>
      <c r="E1074" s="221"/>
      <c r="F1074" s="222"/>
      <c r="G1074" s="702"/>
      <c r="H1074" s="222"/>
    </row>
    <row r="1075">
      <c r="C1075" s="703"/>
      <c r="E1075" s="221"/>
      <c r="F1075" s="222"/>
      <c r="G1075" s="702"/>
      <c r="H1075" s="222"/>
    </row>
    <row r="1076">
      <c r="C1076" s="703"/>
      <c r="E1076" s="221"/>
      <c r="F1076" s="222"/>
      <c r="G1076" s="702"/>
      <c r="H1076" s="222"/>
    </row>
    <row r="1077">
      <c r="C1077" s="703"/>
      <c r="E1077" s="221"/>
      <c r="F1077" s="222"/>
      <c r="G1077" s="702"/>
      <c r="H1077" s="222"/>
    </row>
    <row r="1078">
      <c r="C1078" s="703"/>
      <c r="E1078" s="221"/>
      <c r="F1078" s="222"/>
      <c r="G1078" s="702"/>
      <c r="H1078" s="222"/>
    </row>
    <row r="1079">
      <c r="C1079" s="703"/>
      <c r="E1079" s="221"/>
      <c r="F1079" s="222"/>
      <c r="G1079" s="702"/>
      <c r="H1079" s="222"/>
    </row>
    <row r="1080">
      <c r="C1080" s="703"/>
      <c r="E1080" s="221"/>
      <c r="F1080" s="222"/>
      <c r="G1080" s="702"/>
      <c r="H1080" s="222"/>
    </row>
    <row r="1081">
      <c r="C1081" s="703"/>
      <c r="E1081" s="221"/>
      <c r="F1081" s="222"/>
      <c r="G1081" s="702"/>
      <c r="H1081" s="222"/>
    </row>
    <row r="1082">
      <c r="C1082" s="703"/>
      <c r="E1082" s="221"/>
      <c r="F1082" s="222"/>
      <c r="G1082" s="702"/>
      <c r="H1082" s="222"/>
    </row>
    <row r="1083">
      <c r="C1083" s="703"/>
      <c r="E1083" s="221"/>
      <c r="F1083" s="222"/>
      <c r="G1083" s="702"/>
      <c r="H1083" s="222"/>
    </row>
    <row r="1084">
      <c r="C1084" s="703"/>
      <c r="E1084" s="221"/>
      <c r="F1084" s="222"/>
      <c r="G1084" s="702"/>
      <c r="H1084" s="222"/>
    </row>
    <row r="1085">
      <c r="C1085" s="703"/>
      <c r="E1085" s="221"/>
      <c r="F1085" s="222"/>
      <c r="G1085" s="702"/>
      <c r="H1085" s="222"/>
    </row>
    <row r="1086">
      <c r="C1086" s="703"/>
      <c r="E1086" s="221"/>
      <c r="F1086" s="222"/>
      <c r="G1086" s="702"/>
      <c r="H1086" s="222"/>
    </row>
    <row r="1087">
      <c r="C1087" s="703"/>
      <c r="E1087" s="221"/>
      <c r="F1087" s="222"/>
      <c r="G1087" s="702"/>
      <c r="H1087" s="222"/>
    </row>
    <row r="1088">
      <c r="C1088" s="703"/>
      <c r="E1088" s="221"/>
      <c r="F1088" s="222"/>
      <c r="G1088" s="702"/>
      <c r="H1088" s="222"/>
    </row>
    <row r="1089">
      <c r="C1089" s="703"/>
      <c r="E1089" s="221"/>
      <c r="F1089" s="222"/>
      <c r="G1089" s="702"/>
      <c r="H1089" s="222"/>
    </row>
    <row r="1090">
      <c r="C1090" s="703"/>
      <c r="E1090" s="221"/>
      <c r="F1090" s="222"/>
      <c r="G1090" s="702"/>
      <c r="H1090" s="222"/>
    </row>
    <row r="1091">
      <c r="C1091" s="703"/>
      <c r="E1091" s="221"/>
      <c r="F1091" s="222"/>
      <c r="G1091" s="702"/>
      <c r="H1091" s="222"/>
    </row>
    <row r="1092">
      <c r="C1092" s="703"/>
      <c r="E1092" s="221"/>
      <c r="F1092" s="222"/>
      <c r="G1092" s="702"/>
      <c r="H1092" s="222"/>
    </row>
    <row r="1093">
      <c r="C1093" s="703"/>
      <c r="E1093" s="221"/>
      <c r="F1093" s="222"/>
      <c r="G1093" s="702"/>
      <c r="H1093" s="222"/>
    </row>
    <row r="1094">
      <c r="C1094" s="703"/>
      <c r="E1094" s="221"/>
      <c r="F1094" s="222"/>
      <c r="G1094" s="702"/>
      <c r="H1094" s="222"/>
    </row>
    <row r="1095">
      <c r="C1095" s="703"/>
      <c r="E1095" s="221"/>
      <c r="F1095" s="222"/>
      <c r="G1095" s="702"/>
      <c r="H1095" s="222"/>
    </row>
    <row r="1096">
      <c r="C1096" s="703"/>
      <c r="E1096" s="221"/>
      <c r="F1096" s="222"/>
      <c r="G1096" s="702"/>
      <c r="H1096" s="222"/>
    </row>
    <row r="1097">
      <c r="C1097" s="703"/>
      <c r="E1097" s="221"/>
      <c r="F1097" s="222"/>
      <c r="G1097" s="702"/>
      <c r="H1097" s="222"/>
    </row>
    <row r="1098">
      <c r="C1098" s="703"/>
      <c r="E1098" s="221"/>
      <c r="F1098" s="222"/>
      <c r="G1098" s="702"/>
      <c r="H1098" s="222"/>
    </row>
    <row r="1099">
      <c r="C1099" s="703"/>
      <c r="E1099" s="221"/>
      <c r="F1099" s="222"/>
      <c r="G1099" s="702"/>
      <c r="H1099" s="222"/>
    </row>
    <row r="1100">
      <c r="C1100" s="703"/>
      <c r="E1100" s="221"/>
      <c r="F1100" s="222"/>
      <c r="G1100" s="702"/>
      <c r="H1100" s="222"/>
    </row>
    <row r="1101">
      <c r="C1101" s="703"/>
      <c r="E1101" s="221"/>
      <c r="F1101" s="222"/>
      <c r="G1101" s="702"/>
      <c r="H1101" s="222"/>
    </row>
    <row r="1102">
      <c r="C1102" s="703"/>
      <c r="E1102" s="221"/>
      <c r="F1102" s="222"/>
      <c r="G1102" s="702"/>
      <c r="H1102" s="222"/>
    </row>
    <row r="1103">
      <c r="C1103" s="703"/>
      <c r="E1103" s="221"/>
      <c r="F1103" s="222"/>
      <c r="G1103" s="702"/>
      <c r="H1103" s="222"/>
    </row>
    <row r="1104">
      <c r="C1104" s="703"/>
      <c r="E1104" s="221"/>
      <c r="F1104" s="222"/>
      <c r="G1104" s="702"/>
      <c r="H1104" s="222"/>
    </row>
    <row r="1105">
      <c r="C1105" s="703"/>
      <c r="E1105" s="221"/>
      <c r="F1105" s="222"/>
      <c r="G1105" s="702"/>
      <c r="H1105" s="222"/>
    </row>
    <row r="1106">
      <c r="C1106" s="703"/>
      <c r="E1106" s="221"/>
      <c r="F1106" s="222"/>
      <c r="G1106" s="702"/>
      <c r="H1106" s="222"/>
    </row>
    <row r="1107">
      <c r="C1107" s="703"/>
      <c r="E1107" s="221"/>
      <c r="F1107" s="222"/>
      <c r="G1107" s="702"/>
      <c r="H1107" s="222"/>
    </row>
    <row r="1108">
      <c r="C1108" s="703"/>
      <c r="E1108" s="221"/>
      <c r="F1108" s="222"/>
      <c r="G1108" s="702"/>
      <c r="H1108" s="222"/>
    </row>
    <row r="1109">
      <c r="C1109" s="703"/>
      <c r="E1109" s="221"/>
      <c r="F1109" s="222"/>
      <c r="G1109" s="702"/>
      <c r="H1109" s="222"/>
    </row>
    <row r="1110">
      <c r="C1110" s="703"/>
      <c r="E1110" s="221"/>
      <c r="F1110" s="222"/>
      <c r="G1110" s="702"/>
      <c r="H1110" s="222"/>
    </row>
    <row r="1111">
      <c r="C1111" s="703"/>
      <c r="E1111" s="221"/>
      <c r="F1111" s="222"/>
      <c r="G1111" s="702"/>
      <c r="H1111" s="222"/>
    </row>
    <row r="1112">
      <c r="C1112" s="703"/>
      <c r="E1112" s="221"/>
      <c r="F1112" s="222"/>
      <c r="G1112" s="702"/>
      <c r="H1112" s="222"/>
    </row>
    <row r="1113">
      <c r="C1113" s="703"/>
      <c r="E1113" s="221"/>
      <c r="F1113" s="222"/>
      <c r="G1113" s="702"/>
      <c r="H1113" s="222"/>
    </row>
    <row r="1114">
      <c r="C1114" s="703"/>
      <c r="E1114" s="221"/>
      <c r="F1114" s="222"/>
      <c r="G1114" s="702"/>
      <c r="H1114" s="222"/>
    </row>
    <row r="1115">
      <c r="C1115" s="703"/>
      <c r="E1115" s="221"/>
      <c r="F1115" s="222"/>
      <c r="G1115" s="702"/>
      <c r="H1115" s="222"/>
    </row>
    <row r="1116">
      <c r="C1116" s="703"/>
      <c r="E1116" s="221"/>
      <c r="F1116" s="222"/>
      <c r="G1116" s="702"/>
      <c r="H1116" s="222"/>
    </row>
    <row r="1117">
      <c r="C1117" s="703"/>
      <c r="E1117" s="221"/>
      <c r="F1117" s="222"/>
      <c r="G1117" s="702"/>
      <c r="H1117" s="222"/>
    </row>
    <row r="1118">
      <c r="C1118" s="703"/>
      <c r="E1118" s="221"/>
      <c r="F1118" s="222"/>
      <c r="G1118" s="702"/>
      <c r="H1118" s="222"/>
    </row>
    <row r="1119">
      <c r="C1119" s="703"/>
      <c r="E1119" s="221"/>
      <c r="F1119" s="222"/>
      <c r="G1119" s="702"/>
      <c r="H1119" s="222"/>
    </row>
    <row r="1120">
      <c r="C1120" s="703"/>
      <c r="E1120" s="221"/>
      <c r="F1120" s="222"/>
      <c r="G1120" s="702"/>
      <c r="H1120" s="222"/>
    </row>
    <row r="1121">
      <c r="C1121" s="703"/>
      <c r="E1121" s="221"/>
      <c r="F1121" s="222"/>
      <c r="G1121" s="702"/>
      <c r="H1121" s="222"/>
    </row>
    <row r="1122">
      <c r="C1122" s="703"/>
      <c r="E1122" s="221"/>
      <c r="F1122" s="222"/>
      <c r="G1122" s="702"/>
      <c r="H1122" s="222"/>
    </row>
    <row r="1123">
      <c r="C1123" s="703"/>
      <c r="E1123" s="221"/>
      <c r="F1123" s="222"/>
      <c r="G1123" s="702"/>
      <c r="H1123" s="222"/>
    </row>
    <row r="1124">
      <c r="C1124" s="703"/>
      <c r="E1124" s="221"/>
      <c r="F1124" s="222"/>
      <c r="G1124" s="702"/>
      <c r="H1124" s="222"/>
    </row>
    <row r="1125">
      <c r="C1125" s="703"/>
      <c r="E1125" s="221"/>
      <c r="F1125" s="222"/>
      <c r="G1125" s="702"/>
      <c r="H1125" s="222"/>
    </row>
    <row r="1126">
      <c r="C1126" s="703"/>
      <c r="E1126" s="221"/>
      <c r="F1126" s="222"/>
      <c r="G1126" s="702"/>
      <c r="H1126" s="222"/>
    </row>
    <row r="1127">
      <c r="C1127" s="703"/>
      <c r="E1127" s="221"/>
      <c r="F1127" s="222"/>
      <c r="G1127" s="702"/>
      <c r="H1127" s="222"/>
    </row>
    <row r="1128">
      <c r="C1128" s="703"/>
      <c r="E1128" s="221"/>
      <c r="F1128" s="222"/>
      <c r="G1128" s="702"/>
      <c r="H1128" s="222"/>
    </row>
    <row r="1129">
      <c r="C1129" s="703"/>
      <c r="E1129" s="221"/>
      <c r="F1129" s="222"/>
      <c r="G1129" s="702"/>
      <c r="H1129" s="222"/>
    </row>
    <row r="1130">
      <c r="C1130" s="703"/>
      <c r="E1130" s="221"/>
      <c r="F1130" s="222"/>
      <c r="G1130" s="702"/>
      <c r="H1130" s="222"/>
    </row>
    <row r="1131">
      <c r="C1131" s="703"/>
      <c r="E1131" s="221"/>
      <c r="F1131" s="222"/>
      <c r="G1131" s="702"/>
      <c r="H1131" s="222"/>
    </row>
    <row r="1132">
      <c r="C1132" s="703"/>
      <c r="E1132" s="221"/>
      <c r="F1132" s="222"/>
      <c r="G1132" s="702"/>
      <c r="H1132" s="222"/>
    </row>
    <row r="1133">
      <c r="C1133" s="703"/>
      <c r="E1133" s="221"/>
      <c r="F1133" s="222"/>
      <c r="G1133" s="702"/>
      <c r="H1133" s="222"/>
    </row>
    <row r="1134">
      <c r="C1134" s="703"/>
      <c r="E1134" s="221"/>
      <c r="F1134" s="222"/>
      <c r="G1134" s="702"/>
      <c r="H1134" s="222"/>
    </row>
    <row r="1135">
      <c r="C1135" s="703"/>
      <c r="E1135" s="221"/>
      <c r="F1135" s="222"/>
      <c r="G1135" s="702"/>
      <c r="H1135" s="222"/>
    </row>
    <row r="1136">
      <c r="C1136" s="703"/>
      <c r="E1136" s="221"/>
      <c r="F1136" s="222"/>
      <c r="G1136" s="702"/>
      <c r="H1136" s="222"/>
    </row>
    <row r="1137">
      <c r="C1137" s="703"/>
      <c r="E1137" s="221"/>
      <c r="F1137" s="222"/>
      <c r="G1137" s="702"/>
      <c r="H1137" s="222"/>
    </row>
    <row r="1138">
      <c r="C1138" s="703"/>
      <c r="E1138" s="221"/>
      <c r="F1138" s="222"/>
      <c r="G1138" s="702"/>
      <c r="H1138" s="222"/>
    </row>
    <row r="1139">
      <c r="C1139" s="703"/>
      <c r="E1139" s="221"/>
      <c r="F1139" s="222"/>
      <c r="G1139" s="702"/>
      <c r="H1139" s="222"/>
    </row>
    <row r="1140">
      <c r="C1140" s="703"/>
      <c r="E1140" s="221"/>
      <c r="F1140" s="222"/>
      <c r="G1140" s="702"/>
      <c r="H1140" s="222"/>
    </row>
    <row r="1141">
      <c r="C1141" s="703"/>
      <c r="E1141" s="221"/>
      <c r="F1141" s="222"/>
      <c r="G1141" s="702"/>
      <c r="H1141" s="222"/>
    </row>
    <row r="1142">
      <c r="C1142" s="703"/>
      <c r="E1142" s="221"/>
      <c r="F1142" s="222"/>
      <c r="G1142" s="702"/>
      <c r="H1142" s="222"/>
    </row>
    <row r="1143">
      <c r="C1143" s="703"/>
      <c r="E1143" s="221"/>
      <c r="F1143" s="222"/>
      <c r="G1143" s="702"/>
      <c r="H1143" s="222"/>
    </row>
    <row r="1144">
      <c r="C1144" s="703"/>
      <c r="E1144" s="221"/>
      <c r="F1144" s="222"/>
      <c r="G1144" s="702"/>
      <c r="H1144" s="222"/>
    </row>
    <row r="1145">
      <c r="C1145" s="703"/>
      <c r="E1145" s="221"/>
      <c r="F1145" s="222"/>
      <c r="G1145" s="702"/>
      <c r="H1145" s="222"/>
    </row>
    <row r="1146">
      <c r="C1146" s="703"/>
      <c r="E1146" s="221"/>
      <c r="F1146" s="222"/>
      <c r="G1146" s="702"/>
      <c r="H1146" s="222"/>
    </row>
    <row r="1147">
      <c r="C1147" s="703"/>
      <c r="E1147" s="221"/>
      <c r="F1147" s="222"/>
      <c r="G1147" s="702"/>
      <c r="H1147" s="222"/>
    </row>
    <row r="1148">
      <c r="C1148" s="703"/>
      <c r="E1148" s="221"/>
      <c r="F1148" s="222"/>
      <c r="G1148" s="702"/>
      <c r="H1148" s="222"/>
    </row>
    <row r="1149">
      <c r="C1149" s="703"/>
      <c r="E1149" s="221"/>
      <c r="F1149" s="222"/>
      <c r="G1149" s="702"/>
      <c r="H1149" s="222"/>
    </row>
    <row r="1150">
      <c r="C1150" s="703"/>
      <c r="E1150" s="221"/>
      <c r="F1150" s="222"/>
      <c r="G1150" s="702"/>
      <c r="H1150" s="222"/>
    </row>
    <row r="1151">
      <c r="C1151" s="703"/>
      <c r="E1151" s="221"/>
      <c r="F1151" s="222"/>
      <c r="G1151" s="702"/>
      <c r="H1151" s="222"/>
    </row>
    <row r="1152">
      <c r="C1152" s="703"/>
      <c r="E1152" s="221"/>
      <c r="F1152" s="222"/>
      <c r="G1152" s="702"/>
      <c r="H1152" s="222"/>
    </row>
    <row r="1153">
      <c r="C1153" s="703"/>
      <c r="E1153" s="221"/>
      <c r="F1153" s="222"/>
      <c r="G1153" s="702"/>
      <c r="H1153" s="222"/>
    </row>
    <row r="1154">
      <c r="C1154" s="703"/>
      <c r="E1154" s="221"/>
      <c r="F1154" s="222"/>
      <c r="G1154" s="702"/>
      <c r="H1154" s="222"/>
    </row>
    <row r="1155">
      <c r="C1155" s="703"/>
      <c r="E1155" s="221"/>
      <c r="F1155" s="222"/>
      <c r="G1155" s="702"/>
      <c r="H1155" s="222"/>
    </row>
    <row r="1156">
      <c r="C1156" s="703"/>
      <c r="E1156" s="221"/>
      <c r="F1156" s="222"/>
      <c r="G1156" s="702"/>
      <c r="H1156" s="222"/>
    </row>
    <row r="1157">
      <c r="C1157" s="703"/>
      <c r="E1157" s="221"/>
      <c r="F1157" s="222"/>
      <c r="G1157" s="702"/>
      <c r="H1157" s="222"/>
    </row>
    <row r="1158">
      <c r="C1158" s="703"/>
      <c r="E1158" s="221"/>
      <c r="F1158" s="222"/>
      <c r="G1158" s="702"/>
      <c r="H1158" s="222"/>
    </row>
    <row r="1159">
      <c r="C1159" s="703"/>
      <c r="E1159" s="221"/>
      <c r="F1159" s="222"/>
      <c r="G1159" s="702"/>
      <c r="H1159" s="222"/>
    </row>
    <row r="1160">
      <c r="C1160" s="703"/>
      <c r="E1160" s="221"/>
      <c r="F1160" s="222"/>
      <c r="G1160" s="702"/>
      <c r="H1160" s="222"/>
    </row>
    <row r="1161">
      <c r="C1161" s="703"/>
      <c r="E1161" s="221"/>
      <c r="F1161" s="222"/>
      <c r="G1161" s="702"/>
      <c r="H1161" s="222"/>
    </row>
    <row r="1162">
      <c r="C1162" s="703"/>
      <c r="E1162" s="221"/>
      <c r="F1162" s="222"/>
      <c r="G1162" s="702"/>
      <c r="H1162" s="222"/>
    </row>
    <row r="1163">
      <c r="C1163" s="703"/>
      <c r="E1163" s="221"/>
      <c r="F1163" s="222"/>
      <c r="G1163" s="702"/>
      <c r="H1163" s="222"/>
    </row>
    <row r="1164">
      <c r="C1164" s="703"/>
      <c r="E1164" s="221"/>
      <c r="F1164" s="222"/>
      <c r="G1164" s="702"/>
      <c r="H1164" s="222"/>
    </row>
    <row r="1165">
      <c r="C1165" s="703"/>
      <c r="E1165" s="221"/>
      <c r="F1165" s="222"/>
      <c r="G1165" s="702"/>
      <c r="H1165" s="222"/>
    </row>
    <row r="1166">
      <c r="C1166" s="703"/>
      <c r="E1166" s="221"/>
      <c r="F1166" s="222"/>
      <c r="G1166" s="702"/>
      <c r="H1166" s="222"/>
    </row>
    <row r="1167">
      <c r="C1167" s="703"/>
      <c r="E1167" s="221"/>
      <c r="F1167" s="222"/>
      <c r="G1167" s="702"/>
      <c r="H1167" s="222"/>
    </row>
    <row r="1168">
      <c r="C1168" s="703"/>
      <c r="E1168" s="221"/>
      <c r="F1168" s="222"/>
      <c r="G1168" s="702"/>
      <c r="H1168" s="222"/>
    </row>
    <row r="1169">
      <c r="C1169" s="703"/>
      <c r="E1169" s="221"/>
      <c r="F1169" s="222"/>
      <c r="G1169" s="702"/>
      <c r="H1169" s="222"/>
    </row>
    <row r="1170">
      <c r="C1170" s="703"/>
      <c r="E1170" s="221"/>
      <c r="F1170" s="222"/>
      <c r="G1170" s="702"/>
      <c r="H1170" s="222"/>
    </row>
    <row r="1171">
      <c r="C1171" s="703"/>
      <c r="E1171" s="221"/>
      <c r="F1171" s="222"/>
      <c r="G1171" s="702"/>
      <c r="H1171" s="222"/>
    </row>
    <row r="1172">
      <c r="C1172" s="703"/>
      <c r="E1172" s="221"/>
      <c r="F1172" s="222"/>
      <c r="G1172" s="702"/>
      <c r="H1172" s="222"/>
    </row>
    <row r="1173">
      <c r="C1173" s="703"/>
      <c r="E1173" s="221"/>
      <c r="F1173" s="222"/>
      <c r="G1173" s="702"/>
      <c r="H1173" s="222"/>
    </row>
    <row r="1174">
      <c r="C1174" s="703"/>
      <c r="E1174" s="221"/>
      <c r="F1174" s="222"/>
      <c r="G1174" s="702"/>
      <c r="H1174" s="222"/>
    </row>
    <row r="1175">
      <c r="C1175" s="703"/>
      <c r="E1175" s="221"/>
      <c r="F1175" s="222"/>
      <c r="G1175" s="702"/>
      <c r="H1175" s="222"/>
    </row>
    <row r="1176">
      <c r="C1176" s="703"/>
      <c r="E1176" s="221"/>
      <c r="F1176" s="222"/>
      <c r="G1176" s="702"/>
      <c r="H1176" s="222"/>
    </row>
    <row r="1177">
      <c r="C1177" s="703"/>
      <c r="E1177" s="221"/>
      <c r="F1177" s="222"/>
      <c r="G1177" s="702"/>
      <c r="H1177" s="222"/>
    </row>
    <row r="1178">
      <c r="C1178" s="703"/>
      <c r="E1178" s="221"/>
      <c r="F1178" s="222"/>
      <c r="G1178" s="702"/>
      <c r="H1178" s="222"/>
    </row>
    <row r="1179">
      <c r="C1179" s="703"/>
      <c r="E1179" s="221"/>
      <c r="F1179" s="222"/>
      <c r="G1179" s="702"/>
      <c r="H1179" s="222"/>
    </row>
    <row r="1180">
      <c r="C1180" s="703"/>
      <c r="E1180" s="221"/>
      <c r="F1180" s="222"/>
      <c r="G1180" s="702"/>
      <c r="H1180" s="222"/>
    </row>
    <row r="1181">
      <c r="C1181" s="703"/>
      <c r="E1181" s="221"/>
      <c r="F1181" s="222"/>
      <c r="G1181" s="702"/>
      <c r="H1181" s="222"/>
    </row>
    <row r="1182">
      <c r="C1182" s="703"/>
      <c r="E1182" s="221"/>
      <c r="F1182" s="222"/>
      <c r="G1182" s="702"/>
      <c r="H1182" s="222"/>
    </row>
    <row r="1183">
      <c r="C1183" s="703"/>
      <c r="E1183" s="221"/>
      <c r="F1183" s="222"/>
      <c r="G1183" s="702"/>
      <c r="H1183" s="222"/>
    </row>
    <row r="1184">
      <c r="C1184" s="703"/>
      <c r="E1184" s="221"/>
      <c r="F1184" s="222"/>
      <c r="G1184" s="702"/>
      <c r="H1184" s="222"/>
    </row>
    <row r="1185">
      <c r="C1185" s="703"/>
      <c r="E1185" s="221"/>
      <c r="F1185" s="222"/>
      <c r="G1185" s="702"/>
      <c r="H1185" s="222"/>
    </row>
    <row r="1186">
      <c r="C1186" s="703"/>
      <c r="E1186" s="221"/>
      <c r="F1186" s="222"/>
      <c r="G1186" s="702"/>
      <c r="H1186" s="222"/>
    </row>
    <row r="1187">
      <c r="C1187" s="703"/>
      <c r="E1187" s="221"/>
      <c r="F1187" s="222"/>
      <c r="G1187" s="702"/>
      <c r="H1187" s="222"/>
    </row>
    <row r="1188">
      <c r="C1188" s="703"/>
      <c r="E1188" s="221"/>
      <c r="F1188" s="222"/>
      <c r="G1188" s="702"/>
      <c r="H1188" s="222"/>
    </row>
    <row r="1189">
      <c r="C1189" s="703"/>
      <c r="E1189" s="221"/>
      <c r="F1189" s="222"/>
      <c r="G1189" s="702"/>
      <c r="H1189" s="222"/>
    </row>
    <row r="1190">
      <c r="C1190" s="703"/>
      <c r="E1190" s="221"/>
      <c r="F1190" s="222"/>
      <c r="G1190" s="702"/>
      <c r="H1190" s="222"/>
    </row>
    <row r="1191">
      <c r="C1191" s="703"/>
      <c r="E1191" s="221"/>
      <c r="F1191" s="222"/>
      <c r="G1191" s="702"/>
      <c r="H1191" s="222"/>
    </row>
    <row r="1192">
      <c r="C1192" s="703"/>
      <c r="E1192" s="221"/>
      <c r="F1192" s="222"/>
      <c r="G1192" s="702"/>
      <c r="H1192" s="222"/>
    </row>
    <row r="1193">
      <c r="C1193" s="703"/>
      <c r="E1193" s="221"/>
      <c r="F1193" s="222"/>
      <c r="G1193" s="702"/>
      <c r="H1193" s="222"/>
    </row>
    <row r="1194">
      <c r="C1194" s="703"/>
      <c r="E1194" s="221"/>
      <c r="F1194" s="222"/>
      <c r="G1194" s="702"/>
      <c r="H1194" s="222"/>
    </row>
    <row r="1195">
      <c r="C1195" s="703"/>
      <c r="E1195" s="221"/>
      <c r="F1195" s="222"/>
      <c r="G1195" s="702"/>
      <c r="H1195" s="222"/>
    </row>
    <row r="1196">
      <c r="C1196" s="703"/>
      <c r="E1196" s="221"/>
      <c r="F1196" s="222"/>
      <c r="G1196" s="702"/>
      <c r="H1196" s="222"/>
    </row>
    <row r="1197">
      <c r="C1197" s="703"/>
      <c r="E1197" s="221"/>
      <c r="F1197" s="222"/>
      <c r="G1197" s="702"/>
      <c r="H1197" s="222"/>
    </row>
    <row r="1198">
      <c r="C1198" s="703"/>
      <c r="E1198" s="221"/>
      <c r="F1198" s="222"/>
      <c r="G1198" s="702"/>
      <c r="H1198" s="222"/>
    </row>
    <row r="1199">
      <c r="C1199" s="703"/>
      <c r="E1199" s="221"/>
      <c r="F1199" s="222"/>
      <c r="G1199" s="702"/>
      <c r="H1199" s="222"/>
    </row>
    <row r="1200">
      <c r="C1200" s="703"/>
      <c r="E1200" s="221"/>
      <c r="F1200" s="222"/>
      <c r="G1200" s="702"/>
      <c r="H1200" s="222"/>
    </row>
    <row r="1201">
      <c r="C1201" s="703"/>
      <c r="E1201" s="221"/>
      <c r="F1201" s="222"/>
      <c r="G1201" s="702"/>
      <c r="H1201" s="222"/>
    </row>
    <row r="1202">
      <c r="C1202" s="703"/>
      <c r="E1202" s="221"/>
      <c r="F1202" s="222"/>
      <c r="G1202" s="702"/>
      <c r="H1202" s="222"/>
    </row>
    <row r="1203">
      <c r="C1203" s="703"/>
      <c r="E1203" s="221"/>
      <c r="F1203" s="222"/>
      <c r="G1203" s="702"/>
      <c r="H1203" s="222"/>
    </row>
    <row r="1204">
      <c r="C1204" s="703"/>
      <c r="E1204" s="221"/>
      <c r="F1204" s="222"/>
      <c r="G1204" s="702"/>
      <c r="H1204" s="222"/>
    </row>
    <row r="1205">
      <c r="C1205" s="703"/>
      <c r="E1205" s="221"/>
      <c r="F1205" s="222"/>
      <c r="G1205" s="702"/>
      <c r="H1205" s="222"/>
    </row>
    <row r="1206">
      <c r="C1206" s="703"/>
      <c r="E1206" s="221"/>
      <c r="F1206" s="222"/>
      <c r="G1206" s="702"/>
      <c r="H1206" s="222"/>
    </row>
    <row r="1207">
      <c r="C1207" s="703"/>
      <c r="E1207" s="221"/>
      <c r="F1207" s="222"/>
      <c r="G1207" s="702"/>
      <c r="H1207" s="222"/>
    </row>
    <row r="1208">
      <c r="C1208" s="703"/>
      <c r="E1208" s="221"/>
      <c r="F1208" s="222"/>
      <c r="G1208" s="702"/>
      <c r="H1208" s="222"/>
    </row>
    <row r="1209">
      <c r="C1209" s="703"/>
      <c r="E1209" s="221"/>
      <c r="F1209" s="222"/>
      <c r="G1209" s="702"/>
      <c r="H1209" s="222"/>
    </row>
    <row r="1210">
      <c r="C1210" s="703"/>
      <c r="E1210" s="221"/>
      <c r="F1210" s="222"/>
      <c r="G1210" s="702"/>
      <c r="H1210" s="222"/>
    </row>
    <row r="1211">
      <c r="C1211" s="703"/>
      <c r="E1211" s="221"/>
      <c r="F1211" s="222"/>
      <c r="G1211" s="702"/>
      <c r="H1211" s="222"/>
    </row>
    <row r="1212">
      <c r="C1212" s="703"/>
      <c r="E1212" s="221"/>
      <c r="F1212" s="222"/>
      <c r="G1212" s="702"/>
      <c r="H1212" s="222"/>
    </row>
    <row r="1213">
      <c r="C1213" s="703"/>
      <c r="E1213" s="221"/>
      <c r="F1213" s="222"/>
      <c r="G1213" s="702"/>
      <c r="H1213" s="222"/>
    </row>
    <row r="1214">
      <c r="C1214" s="703"/>
      <c r="E1214" s="221"/>
      <c r="F1214" s="222"/>
      <c r="G1214" s="702"/>
      <c r="H1214" s="222"/>
    </row>
    <row r="1215">
      <c r="C1215" s="703"/>
      <c r="E1215" s="221"/>
      <c r="F1215" s="222"/>
      <c r="G1215" s="702"/>
      <c r="H1215" s="222"/>
    </row>
    <row r="1216">
      <c r="C1216" s="703"/>
      <c r="E1216" s="221"/>
      <c r="F1216" s="222"/>
      <c r="G1216" s="702"/>
      <c r="H1216" s="222"/>
    </row>
    <row r="1217">
      <c r="C1217" s="703"/>
      <c r="E1217" s="221"/>
      <c r="F1217" s="222"/>
      <c r="G1217" s="702"/>
      <c r="H1217" s="222"/>
    </row>
    <row r="1218">
      <c r="C1218" s="703"/>
      <c r="E1218" s="221"/>
      <c r="F1218" s="222"/>
      <c r="G1218" s="702"/>
      <c r="H1218" s="222"/>
    </row>
    <row r="1219">
      <c r="C1219" s="703"/>
      <c r="E1219" s="221"/>
      <c r="F1219" s="222"/>
      <c r="G1219" s="702"/>
      <c r="H1219" s="222"/>
    </row>
    <row r="1220">
      <c r="C1220" s="703"/>
      <c r="E1220" s="221"/>
      <c r="F1220" s="222"/>
      <c r="G1220" s="702"/>
      <c r="H1220" s="222"/>
    </row>
    <row r="1221">
      <c r="C1221" s="703"/>
      <c r="E1221" s="221"/>
      <c r="F1221" s="222"/>
      <c r="G1221" s="702"/>
      <c r="H1221" s="222"/>
    </row>
    <row r="1222">
      <c r="C1222" s="703"/>
      <c r="E1222" s="221"/>
      <c r="F1222" s="222"/>
      <c r="G1222" s="702"/>
      <c r="H1222" s="222"/>
    </row>
    <row r="1223">
      <c r="C1223" s="703"/>
      <c r="E1223" s="221"/>
      <c r="F1223" s="222"/>
      <c r="G1223" s="702"/>
      <c r="H1223" s="222"/>
    </row>
    <row r="1224">
      <c r="C1224" s="703"/>
      <c r="E1224" s="221"/>
      <c r="F1224" s="222"/>
      <c r="G1224" s="702"/>
      <c r="H1224" s="222"/>
    </row>
    <row r="1225">
      <c r="C1225" s="703"/>
      <c r="E1225" s="221"/>
      <c r="F1225" s="222"/>
      <c r="G1225" s="702"/>
      <c r="H1225" s="222"/>
    </row>
    <row r="1226">
      <c r="C1226" s="703"/>
      <c r="E1226" s="221"/>
      <c r="F1226" s="222"/>
      <c r="G1226" s="702"/>
      <c r="H1226" s="222"/>
    </row>
    <row r="1227">
      <c r="C1227" s="703"/>
      <c r="E1227" s="221"/>
      <c r="F1227" s="222"/>
      <c r="G1227" s="702"/>
      <c r="H1227" s="222"/>
    </row>
    <row r="1228">
      <c r="C1228" s="703"/>
      <c r="E1228" s="221"/>
      <c r="F1228" s="222"/>
      <c r="G1228" s="702"/>
      <c r="H1228" s="222"/>
    </row>
    <row r="1229">
      <c r="C1229" s="703"/>
      <c r="E1229" s="221"/>
      <c r="F1229" s="222"/>
      <c r="G1229" s="702"/>
      <c r="H1229" s="222"/>
    </row>
    <row r="1230">
      <c r="C1230" s="703"/>
      <c r="E1230" s="221"/>
      <c r="F1230" s="222"/>
      <c r="G1230" s="702"/>
      <c r="H1230" s="222"/>
    </row>
    <row r="1231">
      <c r="C1231" s="703"/>
      <c r="E1231" s="221"/>
      <c r="F1231" s="222"/>
      <c r="G1231" s="702"/>
      <c r="H1231" s="222"/>
    </row>
    <row r="1232">
      <c r="C1232" s="703"/>
      <c r="E1232" s="221"/>
      <c r="F1232" s="222"/>
      <c r="G1232" s="702"/>
      <c r="H1232" s="222"/>
    </row>
    <row r="1233">
      <c r="C1233" s="703"/>
      <c r="E1233" s="221"/>
      <c r="F1233" s="222"/>
      <c r="G1233" s="702"/>
      <c r="H1233" s="222"/>
    </row>
    <row r="1234">
      <c r="C1234" s="703"/>
      <c r="E1234" s="221"/>
      <c r="F1234" s="222"/>
      <c r="G1234" s="702"/>
      <c r="H1234" s="222"/>
    </row>
    <row r="1235">
      <c r="C1235" s="703"/>
      <c r="E1235" s="221"/>
      <c r="F1235" s="222"/>
      <c r="G1235" s="702"/>
      <c r="H1235" s="222"/>
    </row>
    <row r="1236">
      <c r="C1236" s="703"/>
      <c r="E1236" s="221"/>
      <c r="F1236" s="222"/>
      <c r="G1236" s="702"/>
      <c r="H1236" s="222"/>
    </row>
    <row r="1237">
      <c r="C1237" s="703"/>
      <c r="E1237" s="221"/>
      <c r="F1237" s="222"/>
      <c r="G1237" s="702"/>
      <c r="H1237" s="222"/>
    </row>
    <row r="1238">
      <c r="C1238" s="703"/>
      <c r="E1238" s="221"/>
      <c r="F1238" s="222"/>
      <c r="G1238" s="702"/>
      <c r="H1238" s="222"/>
    </row>
    <row r="1239">
      <c r="C1239" s="703"/>
      <c r="E1239" s="221"/>
      <c r="F1239" s="222"/>
      <c r="G1239" s="702"/>
      <c r="H1239" s="222"/>
    </row>
    <row r="1240">
      <c r="C1240" s="703"/>
      <c r="E1240" s="221"/>
      <c r="F1240" s="222"/>
      <c r="G1240" s="702"/>
      <c r="H1240" s="222"/>
    </row>
    <row r="1241">
      <c r="C1241" s="703"/>
      <c r="E1241" s="221"/>
      <c r="F1241" s="222"/>
      <c r="G1241" s="702"/>
      <c r="H1241" s="222"/>
    </row>
    <row r="1242">
      <c r="C1242" s="703"/>
      <c r="E1242" s="221"/>
      <c r="F1242" s="222"/>
      <c r="G1242" s="702"/>
      <c r="H1242" s="222"/>
    </row>
    <row r="1243">
      <c r="C1243" s="703"/>
      <c r="E1243" s="221"/>
      <c r="F1243" s="222"/>
      <c r="G1243" s="702"/>
      <c r="H1243" s="222"/>
    </row>
    <row r="1244">
      <c r="C1244" s="703"/>
      <c r="E1244" s="221"/>
      <c r="F1244" s="222"/>
      <c r="G1244" s="702"/>
      <c r="H1244" s="222"/>
    </row>
    <row r="1245">
      <c r="C1245" s="703"/>
      <c r="E1245" s="221"/>
      <c r="F1245" s="222"/>
      <c r="G1245" s="702"/>
      <c r="H1245" s="222"/>
    </row>
    <row r="1246">
      <c r="C1246" s="703"/>
      <c r="E1246" s="221"/>
      <c r="F1246" s="222"/>
      <c r="G1246" s="702"/>
      <c r="H1246" s="222"/>
    </row>
    <row r="1247">
      <c r="C1247" s="703"/>
      <c r="E1247" s="221"/>
      <c r="F1247" s="222"/>
      <c r="G1247" s="702"/>
      <c r="H1247" s="222"/>
    </row>
    <row r="1248">
      <c r="C1248" s="703"/>
      <c r="E1248" s="221"/>
      <c r="F1248" s="222"/>
      <c r="G1248" s="702"/>
      <c r="H1248" s="222"/>
    </row>
    <row r="1249">
      <c r="C1249" s="703"/>
      <c r="E1249" s="221"/>
      <c r="F1249" s="222"/>
      <c r="G1249" s="702"/>
      <c r="H1249" s="222"/>
    </row>
    <row r="1250">
      <c r="C1250" s="703"/>
      <c r="E1250" s="221"/>
      <c r="F1250" s="222"/>
      <c r="G1250" s="702"/>
      <c r="H1250" s="222"/>
    </row>
    <row r="1251">
      <c r="C1251" s="703"/>
      <c r="E1251" s="221"/>
      <c r="F1251" s="222"/>
      <c r="G1251" s="702"/>
      <c r="H1251" s="222"/>
    </row>
    <row r="1252">
      <c r="C1252" s="703"/>
      <c r="E1252" s="221"/>
      <c r="F1252" s="222"/>
      <c r="G1252" s="702"/>
      <c r="H1252" s="222"/>
    </row>
    <row r="1253">
      <c r="C1253" s="703"/>
      <c r="E1253" s="221"/>
      <c r="F1253" s="222"/>
      <c r="G1253" s="702"/>
      <c r="H1253" s="222"/>
    </row>
    <row r="1254">
      <c r="C1254" s="703"/>
      <c r="E1254" s="221"/>
      <c r="F1254" s="222"/>
      <c r="G1254" s="702"/>
      <c r="H1254" s="222"/>
    </row>
    <row r="1255">
      <c r="C1255" s="703"/>
      <c r="E1255" s="221"/>
      <c r="F1255" s="222"/>
      <c r="G1255" s="702"/>
      <c r="H1255" s="222"/>
    </row>
    <row r="1256">
      <c r="C1256" s="703"/>
      <c r="E1256" s="221"/>
      <c r="F1256" s="222"/>
      <c r="G1256" s="702"/>
      <c r="H1256" s="222"/>
    </row>
    <row r="1257">
      <c r="C1257" s="703"/>
      <c r="E1257" s="221"/>
      <c r="F1257" s="222"/>
      <c r="G1257" s="702"/>
      <c r="H1257" s="222"/>
    </row>
    <row r="1258">
      <c r="C1258" s="703"/>
      <c r="E1258" s="221"/>
      <c r="F1258" s="222"/>
      <c r="G1258" s="702"/>
      <c r="H1258" s="222"/>
    </row>
    <row r="1259">
      <c r="C1259" s="703"/>
      <c r="E1259" s="221"/>
      <c r="F1259" s="222"/>
      <c r="G1259" s="702"/>
      <c r="H1259" s="222"/>
    </row>
    <row r="1260">
      <c r="C1260" s="703"/>
      <c r="E1260" s="221"/>
      <c r="F1260" s="222"/>
      <c r="G1260" s="702"/>
      <c r="H1260" s="222"/>
    </row>
    <row r="1261">
      <c r="C1261" s="703"/>
      <c r="E1261" s="221"/>
      <c r="F1261" s="222"/>
      <c r="G1261" s="702"/>
      <c r="H1261" s="222"/>
    </row>
    <row r="1262">
      <c r="C1262" s="703"/>
      <c r="E1262" s="221"/>
      <c r="F1262" s="222"/>
      <c r="G1262" s="702"/>
      <c r="H1262" s="222"/>
    </row>
    <row r="1263">
      <c r="C1263" s="703"/>
      <c r="E1263" s="221"/>
      <c r="F1263" s="222"/>
      <c r="G1263" s="702"/>
      <c r="H1263" s="222"/>
    </row>
    <row r="1264">
      <c r="C1264" s="703"/>
      <c r="E1264" s="221"/>
      <c r="F1264" s="222"/>
      <c r="G1264" s="702"/>
      <c r="H1264" s="222"/>
    </row>
    <row r="1265">
      <c r="C1265" s="703"/>
      <c r="E1265" s="221"/>
      <c r="F1265" s="222"/>
      <c r="G1265" s="702"/>
      <c r="H1265" s="222"/>
    </row>
    <row r="1266">
      <c r="C1266" s="703"/>
      <c r="E1266" s="221"/>
      <c r="F1266" s="222"/>
      <c r="G1266" s="702"/>
      <c r="H1266" s="222"/>
    </row>
    <row r="1267">
      <c r="C1267" s="703"/>
      <c r="E1267" s="221"/>
      <c r="F1267" s="222"/>
      <c r="G1267" s="702"/>
      <c r="H1267" s="222"/>
    </row>
    <row r="1268">
      <c r="C1268" s="703"/>
      <c r="E1268" s="221"/>
      <c r="F1268" s="222"/>
      <c r="G1268" s="702"/>
      <c r="H1268" s="222"/>
    </row>
    <row r="1269">
      <c r="C1269" s="703"/>
      <c r="E1269" s="221"/>
      <c r="F1269" s="222"/>
      <c r="G1269" s="702"/>
      <c r="H1269" s="222"/>
    </row>
    <row r="1270">
      <c r="C1270" s="703"/>
      <c r="E1270" s="221"/>
      <c r="F1270" s="222"/>
      <c r="G1270" s="702"/>
      <c r="H1270" s="222"/>
    </row>
    <row r="1271">
      <c r="C1271" s="703"/>
      <c r="E1271" s="221"/>
      <c r="F1271" s="222"/>
      <c r="G1271" s="702"/>
      <c r="H1271" s="222"/>
    </row>
    <row r="1272">
      <c r="C1272" s="703"/>
      <c r="E1272" s="221"/>
      <c r="F1272" s="222"/>
      <c r="G1272" s="702"/>
      <c r="H1272" s="222"/>
    </row>
    <row r="1273">
      <c r="C1273" s="703"/>
      <c r="E1273" s="221"/>
      <c r="F1273" s="222"/>
      <c r="G1273" s="702"/>
      <c r="H1273" s="222"/>
    </row>
    <row r="1274">
      <c r="C1274" s="703"/>
      <c r="E1274" s="221"/>
      <c r="F1274" s="222"/>
      <c r="G1274" s="702"/>
      <c r="H1274" s="222"/>
    </row>
    <row r="1275">
      <c r="C1275" s="703"/>
      <c r="E1275" s="221"/>
      <c r="F1275" s="222"/>
      <c r="G1275" s="702"/>
      <c r="H1275" s="222"/>
    </row>
    <row r="1276">
      <c r="C1276" s="703"/>
      <c r="E1276" s="221"/>
      <c r="F1276" s="222"/>
      <c r="G1276" s="702"/>
      <c r="H1276" s="222"/>
    </row>
    <row r="1277">
      <c r="C1277" s="703"/>
      <c r="E1277" s="221"/>
      <c r="F1277" s="222"/>
      <c r="G1277" s="702"/>
      <c r="H1277" s="222"/>
    </row>
    <row r="1278">
      <c r="C1278" s="703"/>
      <c r="E1278" s="221"/>
      <c r="F1278" s="222"/>
      <c r="G1278" s="702"/>
      <c r="H1278" s="222"/>
    </row>
    <row r="1279">
      <c r="C1279" s="703"/>
      <c r="E1279" s="221"/>
      <c r="F1279" s="222"/>
      <c r="G1279" s="702"/>
      <c r="H1279" s="222"/>
    </row>
    <row r="1280">
      <c r="C1280" s="703"/>
      <c r="E1280" s="221"/>
      <c r="F1280" s="222"/>
      <c r="G1280" s="702"/>
      <c r="H1280" s="222"/>
    </row>
    <row r="1281">
      <c r="C1281" s="703"/>
      <c r="E1281" s="221"/>
      <c r="F1281" s="222"/>
      <c r="G1281" s="702"/>
      <c r="H1281" s="222"/>
    </row>
    <row r="1282">
      <c r="C1282" s="703"/>
      <c r="E1282" s="221"/>
      <c r="F1282" s="222"/>
      <c r="G1282" s="702"/>
      <c r="H1282" s="222"/>
    </row>
    <row r="1283">
      <c r="C1283" s="703"/>
      <c r="E1283" s="221"/>
      <c r="F1283" s="222"/>
      <c r="G1283" s="702"/>
      <c r="H1283" s="222"/>
    </row>
    <row r="1284">
      <c r="C1284" s="703"/>
      <c r="E1284" s="221"/>
      <c r="F1284" s="222"/>
      <c r="G1284" s="702"/>
      <c r="H1284" s="222"/>
    </row>
    <row r="1285">
      <c r="C1285" s="703"/>
      <c r="E1285" s="221"/>
      <c r="F1285" s="222"/>
      <c r="G1285" s="702"/>
      <c r="H1285" s="222"/>
    </row>
    <row r="1286">
      <c r="C1286" s="703"/>
      <c r="E1286" s="221"/>
      <c r="F1286" s="222"/>
      <c r="G1286" s="702"/>
      <c r="H1286" s="222"/>
    </row>
    <row r="1287">
      <c r="C1287" s="703"/>
      <c r="E1287" s="221"/>
      <c r="F1287" s="222"/>
      <c r="G1287" s="702"/>
      <c r="H1287" s="222"/>
    </row>
    <row r="1288">
      <c r="C1288" s="703"/>
      <c r="E1288" s="221"/>
      <c r="F1288" s="222"/>
      <c r="G1288" s="702"/>
      <c r="H1288" s="222"/>
    </row>
    <row r="1289">
      <c r="C1289" s="703"/>
      <c r="E1289" s="221"/>
      <c r="F1289" s="222"/>
      <c r="G1289" s="702"/>
      <c r="H1289" s="222"/>
    </row>
    <row r="1290">
      <c r="C1290" s="703"/>
      <c r="E1290" s="221"/>
      <c r="F1290" s="222"/>
      <c r="G1290" s="702"/>
      <c r="H1290" s="222"/>
    </row>
    <row r="1291">
      <c r="C1291" s="703"/>
      <c r="E1291" s="221"/>
      <c r="F1291" s="222"/>
      <c r="G1291" s="702"/>
      <c r="H1291" s="222"/>
    </row>
    <row r="1292">
      <c r="C1292" s="703"/>
      <c r="E1292" s="221"/>
      <c r="F1292" s="222"/>
      <c r="G1292" s="702"/>
      <c r="H1292" s="222"/>
    </row>
    <row r="1293">
      <c r="C1293" s="703"/>
      <c r="E1293" s="221"/>
      <c r="F1293" s="222"/>
      <c r="G1293" s="702"/>
      <c r="H1293" s="222"/>
    </row>
    <row r="1294">
      <c r="C1294" s="703"/>
      <c r="E1294" s="221"/>
      <c r="F1294" s="222"/>
      <c r="G1294" s="702"/>
      <c r="H1294" s="222"/>
    </row>
    <row r="1295">
      <c r="C1295" s="703"/>
      <c r="E1295" s="221"/>
      <c r="F1295" s="222"/>
      <c r="G1295" s="702"/>
      <c r="H1295" s="222"/>
    </row>
    <row r="1296">
      <c r="C1296" s="703"/>
      <c r="E1296" s="221"/>
      <c r="F1296" s="222"/>
      <c r="G1296" s="702"/>
      <c r="H1296" s="222"/>
    </row>
    <row r="1297">
      <c r="C1297" s="703"/>
      <c r="E1297" s="221"/>
      <c r="F1297" s="222"/>
      <c r="G1297" s="702"/>
      <c r="H1297" s="222"/>
    </row>
    <row r="1298">
      <c r="C1298" s="703"/>
      <c r="E1298" s="221"/>
      <c r="F1298" s="222"/>
      <c r="G1298" s="702"/>
      <c r="H1298" s="222"/>
    </row>
    <row r="1299">
      <c r="C1299" s="703"/>
      <c r="E1299" s="221"/>
      <c r="F1299" s="222"/>
      <c r="G1299" s="702"/>
      <c r="H1299" s="222"/>
    </row>
    <row r="1300">
      <c r="C1300" s="703"/>
      <c r="E1300" s="221"/>
      <c r="F1300" s="222"/>
      <c r="G1300" s="702"/>
      <c r="H1300" s="222"/>
    </row>
    <row r="1301">
      <c r="C1301" s="703"/>
      <c r="E1301" s="221"/>
      <c r="F1301" s="222"/>
      <c r="G1301" s="702"/>
      <c r="H1301" s="222"/>
    </row>
    <row r="1302">
      <c r="C1302" s="703"/>
      <c r="E1302" s="221"/>
      <c r="F1302" s="222"/>
      <c r="G1302" s="702"/>
      <c r="H1302" s="222"/>
    </row>
    <row r="1303">
      <c r="C1303" s="703"/>
      <c r="E1303" s="221"/>
      <c r="F1303" s="222"/>
      <c r="G1303" s="702"/>
      <c r="H1303" s="222"/>
    </row>
    <row r="1304">
      <c r="C1304" s="703"/>
      <c r="E1304" s="221"/>
      <c r="F1304" s="222"/>
      <c r="G1304" s="702"/>
      <c r="H1304" s="222"/>
    </row>
    <row r="1305">
      <c r="C1305" s="703"/>
      <c r="E1305" s="221"/>
      <c r="F1305" s="222"/>
      <c r="G1305" s="702"/>
      <c r="H1305" s="222"/>
    </row>
    <row r="1306">
      <c r="C1306" s="703"/>
      <c r="E1306" s="221"/>
      <c r="F1306" s="222"/>
      <c r="G1306" s="702"/>
      <c r="H1306" s="222"/>
    </row>
    <row r="1307">
      <c r="C1307" s="703"/>
      <c r="E1307" s="221"/>
      <c r="F1307" s="222"/>
      <c r="G1307" s="702"/>
      <c r="H1307" s="222"/>
    </row>
    <row r="1308">
      <c r="C1308" s="703"/>
      <c r="E1308" s="221"/>
      <c r="F1308" s="222"/>
      <c r="G1308" s="702"/>
      <c r="H1308" s="222"/>
    </row>
    <row r="1309">
      <c r="C1309" s="703"/>
      <c r="E1309" s="221"/>
      <c r="F1309" s="222"/>
      <c r="G1309" s="702"/>
      <c r="H1309" s="222"/>
    </row>
    <row r="1310">
      <c r="C1310" s="703"/>
      <c r="E1310" s="221"/>
      <c r="F1310" s="222"/>
      <c r="G1310" s="702"/>
      <c r="H1310" s="222"/>
    </row>
    <row r="1311">
      <c r="C1311" s="703"/>
      <c r="E1311" s="221"/>
      <c r="F1311" s="222"/>
      <c r="G1311" s="702"/>
      <c r="H1311" s="222"/>
    </row>
    <row r="1312">
      <c r="C1312" s="703"/>
      <c r="E1312" s="221"/>
      <c r="F1312" s="222"/>
      <c r="G1312" s="702"/>
      <c r="H1312" s="222"/>
    </row>
    <row r="1313">
      <c r="C1313" s="703"/>
      <c r="E1313" s="221"/>
      <c r="F1313" s="222"/>
      <c r="G1313" s="702"/>
      <c r="H1313" s="222"/>
    </row>
    <row r="1314">
      <c r="C1314" s="703"/>
      <c r="E1314" s="221"/>
      <c r="F1314" s="222"/>
      <c r="G1314" s="702"/>
      <c r="H1314" s="222"/>
    </row>
    <row r="1315">
      <c r="C1315" s="703"/>
      <c r="E1315" s="221"/>
      <c r="F1315" s="222"/>
      <c r="G1315" s="702"/>
      <c r="H1315" s="222"/>
    </row>
    <row r="1316">
      <c r="C1316" s="703"/>
      <c r="E1316" s="221"/>
      <c r="F1316" s="222"/>
      <c r="G1316" s="702"/>
      <c r="H1316" s="222"/>
    </row>
    <row r="1317">
      <c r="C1317" s="703"/>
      <c r="E1317" s="221"/>
      <c r="F1317" s="222"/>
      <c r="G1317" s="702"/>
      <c r="H1317" s="222"/>
    </row>
    <row r="1318">
      <c r="C1318" s="703"/>
      <c r="E1318" s="221"/>
      <c r="F1318" s="222"/>
      <c r="G1318" s="702"/>
      <c r="H1318" s="222"/>
    </row>
    <row r="1319">
      <c r="C1319" s="703"/>
      <c r="E1319" s="221"/>
      <c r="F1319" s="222"/>
      <c r="G1319" s="702"/>
      <c r="H1319" s="222"/>
    </row>
    <row r="1320">
      <c r="C1320" s="703"/>
      <c r="E1320" s="221"/>
      <c r="F1320" s="222"/>
      <c r="G1320" s="702"/>
      <c r="H1320" s="222"/>
    </row>
    <row r="1321">
      <c r="C1321" s="703"/>
      <c r="E1321" s="221"/>
      <c r="F1321" s="222"/>
      <c r="G1321" s="702"/>
      <c r="H1321" s="222"/>
    </row>
    <row r="1322">
      <c r="C1322" s="703"/>
      <c r="E1322" s="221"/>
      <c r="F1322" s="222"/>
      <c r="G1322" s="702"/>
      <c r="H1322" s="222"/>
    </row>
    <row r="1323">
      <c r="C1323" s="703"/>
      <c r="E1323" s="221"/>
      <c r="F1323" s="222"/>
      <c r="G1323" s="702"/>
      <c r="H1323" s="222"/>
    </row>
    <row r="1324">
      <c r="C1324" s="703"/>
      <c r="E1324" s="221"/>
      <c r="F1324" s="222"/>
      <c r="G1324" s="702"/>
      <c r="H1324" s="222"/>
    </row>
    <row r="1325">
      <c r="C1325" s="703"/>
      <c r="E1325" s="221"/>
      <c r="F1325" s="222"/>
      <c r="G1325" s="702"/>
      <c r="H1325" s="222"/>
    </row>
    <row r="1326">
      <c r="C1326" s="703"/>
      <c r="E1326" s="221"/>
      <c r="F1326" s="222"/>
      <c r="G1326" s="702"/>
      <c r="H1326" s="222"/>
    </row>
    <row r="1327">
      <c r="C1327" s="703"/>
      <c r="E1327" s="221"/>
      <c r="F1327" s="222"/>
      <c r="G1327" s="702"/>
      <c r="H1327" s="222"/>
    </row>
    <row r="1328">
      <c r="C1328" s="703"/>
      <c r="E1328" s="221"/>
      <c r="F1328" s="222"/>
      <c r="G1328" s="702"/>
      <c r="H1328" s="222"/>
    </row>
    <row r="1329">
      <c r="C1329" s="703"/>
      <c r="E1329" s="221"/>
      <c r="F1329" s="222"/>
      <c r="G1329" s="702"/>
      <c r="H1329" s="222"/>
    </row>
    <row r="1330">
      <c r="C1330" s="703"/>
      <c r="E1330" s="221"/>
      <c r="F1330" s="222"/>
      <c r="G1330" s="702"/>
      <c r="H1330" s="222"/>
    </row>
    <row r="1331">
      <c r="C1331" s="703"/>
      <c r="E1331" s="221"/>
      <c r="F1331" s="222"/>
      <c r="G1331" s="702"/>
      <c r="H1331" s="222"/>
    </row>
    <row r="1332">
      <c r="C1332" s="703"/>
      <c r="E1332" s="221"/>
      <c r="F1332" s="222"/>
      <c r="G1332" s="702"/>
      <c r="H1332" s="222"/>
    </row>
    <row r="1333">
      <c r="C1333" s="703"/>
      <c r="E1333" s="221"/>
      <c r="F1333" s="222"/>
      <c r="G1333" s="702"/>
      <c r="H1333" s="222"/>
    </row>
    <row r="1334">
      <c r="C1334" s="703"/>
      <c r="E1334" s="221"/>
      <c r="F1334" s="222"/>
      <c r="G1334" s="702"/>
      <c r="H1334" s="222"/>
    </row>
    <row r="1335">
      <c r="C1335" s="703"/>
      <c r="E1335" s="221"/>
      <c r="F1335" s="222"/>
      <c r="G1335" s="702"/>
      <c r="H1335" s="222"/>
    </row>
    <row r="1336">
      <c r="C1336" s="703"/>
      <c r="E1336" s="221"/>
      <c r="F1336" s="222"/>
      <c r="G1336" s="702"/>
      <c r="H1336" s="222"/>
    </row>
    <row r="1337">
      <c r="C1337" s="703"/>
      <c r="E1337" s="221"/>
      <c r="F1337" s="222"/>
      <c r="G1337" s="702"/>
      <c r="H1337" s="222"/>
    </row>
    <row r="1338">
      <c r="C1338" s="703"/>
      <c r="E1338" s="221"/>
      <c r="F1338" s="222"/>
      <c r="G1338" s="702"/>
      <c r="H1338" s="222"/>
    </row>
    <row r="1339">
      <c r="C1339" s="703"/>
      <c r="E1339" s="221"/>
      <c r="F1339" s="222"/>
      <c r="G1339" s="702"/>
      <c r="H1339" s="222"/>
    </row>
    <row r="1340">
      <c r="C1340" s="703"/>
      <c r="E1340" s="221"/>
      <c r="F1340" s="222"/>
      <c r="G1340" s="702"/>
      <c r="H1340" s="222"/>
    </row>
    <row r="1341">
      <c r="C1341" s="703"/>
      <c r="E1341" s="221"/>
      <c r="F1341" s="222"/>
      <c r="G1341" s="702"/>
      <c r="H1341" s="222"/>
    </row>
    <row r="1342">
      <c r="C1342" s="703"/>
      <c r="E1342" s="221"/>
      <c r="F1342" s="222"/>
      <c r="G1342" s="702"/>
      <c r="H1342" s="222"/>
    </row>
    <row r="1343">
      <c r="C1343" s="703"/>
      <c r="E1343" s="221"/>
      <c r="F1343" s="222"/>
      <c r="G1343" s="702"/>
      <c r="H1343" s="222"/>
    </row>
    <row r="1344">
      <c r="C1344" s="703"/>
      <c r="E1344" s="221"/>
      <c r="F1344" s="222"/>
      <c r="G1344" s="702"/>
      <c r="H1344" s="222"/>
    </row>
    <row r="1345">
      <c r="C1345" s="703"/>
      <c r="E1345" s="221"/>
      <c r="F1345" s="222"/>
      <c r="G1345" s="702"/>
      <c r="H1345" s="222"/>
    </row>
    <row r="1346">
      <c r="C1346" s="703"/>
      <c r="E1346" s="221"/>
      <c r="F1346" s="222"/>
      <c r="G1346" s="702"/>
      <c r="H1346" s="222"/>
    </row>
    <row r="1347">
      <c r="C1347" s="703"/>
      <c r="E1347" s="221"/>
      <c r="F1347" s="222"/>
      <c r="G1347" s="702"/>
      <c r="H1347" s="222"/>
    </row>
    <row r="1348">
      <c r="C1348" s="703"/>
      <c r="E1348" s="221"/>
      <c r="F1348" s="222"/>
      <c r="G1348" s="702"/>
      <c r="H1348" s="222"/>
    </row>
    <row r="1349">
      <c r="C1349" s="703"/>
      <c r="E1349" s="221"/>
      <c r="F1349" s="222"/>
      <c r="G1349" s="702"/>
      <c r="H1349" s="222"/>
    </row>
    <row r="1350">
      <c r="C1350" s="703"/>
      <c r="E1350" s="221"/>
      <c r="F1350" s="222"/>
      <c r="G1350" s="702"/>
      <c r="H1350" s="222"/>
    </row>
    <row r="1351">
      <c r="C1351" s="703"/>
      <c r="E1351" s="221"/>
      <c r="F1351" s="222"/>
      <c r="G1351" s="702"/>
      <c r="H1351" s="222"/>
    </row>
    <row r="1352">
      <c r="C1352" s="703"/>
      <c r="E1352" s="221"/>
      <c r="F1352" s="222"/>
      <c r="G1352" s="702"/>
      <c r="H1352" s="222"/>
    </row>
    <row r="1353">
      <c r="C1353" s="703"/>
      <c r="E1353" s="221"/>
      <c r="F1353" s="222"/>
      <c r="G1353" s="702"/>
      <c r="H1353" s="222"/>
    </row>
    <row r="1354">
      <c r="C1354" s="703"/>
      <c r="E1354" s="221"/>
      <c r="F1354" s="222"/>
      <c r="G1354" s="702"/>
      <c r="H1354" s="222"/>
    </row>
    <row r="1355">
      <c r="C1355" s="703"/>
      <c r="E1355" s="221"/>
      <c r="F1355" s="222"/>
      <c r="G1355" s="702"/>
      <c r="H1355" s="222"/>
    </row>
    <row r="1356">
      <c r="C1356" s="703"/>
      <c r="E1356" s="221"/>
      <c r="F1356" s="222"/>
      <c r="G1356" s="702"/>
      <c r="H1356" s="222"/>
    </row>
    <row r="1357">
      <c r="C1357" s="703"/>
      <c r="E1357" s="221"/>
      <c r="F1357" s="222"/>
      <c r="G1357" s="702"/>
      <c r="H1357" s="222"/>
    </row>
    <row r="1358">
      <c r="C1358" s="703"/>
      <c r="E1358" s="221"/>
      <c r="F1358" s="222"/>
      <c r="G1358" s="702"/>
      <c r="H1358" s="222"/>
    </row>
    <row r="1359">
      <c r="C1359" s="703"/>
      <c r="E1359" s="221"/>
      <c r="F1359" s="222"/>
      <c r="G1359" s="702"/>
      <c r="H1359" s="222"/>
    </row>
    <row r="1360">
      <c r="C1360" s="703"/>
      <c r="E1360" s="221"/>
      <c r="F1360" s="222"/>
      <c r="G1360" s="702"/>
      <c r="H1360" s="222"/>
    </row>
    <row r="1361">
      <c r="C1361" s="703"/>
      <c r="E1361" s="221"/>
      <c r="F1361" s="222"/>
      <c r="G1361" s="702"/>
      <c r="H1361" s="222"/>
    </row>
    <row r="1362">
      <c r="C1362" s="703"/>
      <c r="E1362" s="221"/>
      <c r="F1362" s="222"/>
      <c r="G1362" s="702"/>
      <c r="H1362" s="222"/>
    </row>
    <row r="1363">
      <c r="C1363" s="703"/>
      <c r="E1363" s="221"/>
      <c r="F1363" s="222"/>
      <c r="G1363" s="702"/>
      <c r="H1363" s="222"/>
    </row>
    <row r="1364">
      <c r="C1364" s="703"/>
      <c r="E1364" s="221"/>
      <c r="F1364" s="222"/>
      <c r="G1364" s="702"/>
      <c r="H1364" s="222"/>
    </row>
    <row r="1365">
      <c r="C1365" s="703"/>
      <c r="E1365" s="221"/>
      <c r="F1365" s="222"/>
      <c r="G1365" s="702"/>
      <c r="H1365" s="222"/>
    </row>
    <row r="1366">
      <c r="C1366" s="703"/>
      <c r="E1366" s="221"/>
      <c r="F1366" s="222"/>
      <c r="G1366" s="702"/>
      <c r="H1366" s="222"/>
    </row>
    <row r="1367">
      <c r="C1367" s="703"/>
      <c r="E1367" s="221"/>
      <c r="F1367" s="222"/>
      <c r="G1367" s="702"/>
      <c r="H1367" s="222"/>
    </row>
    <row r="1368">
      <c r="C1368" s="703"/>
      <c r="E1368" s="221"/>
      <c r="F1368" s="222"/>
      <c r="G1368" s="702"/>
      <c r="H1368" s="222"/>
    </row>
    <row r="1369">
      <c r="C1369" s="703"/>
      <c r="E1369" s="221"/>
      <c r="F1369" s="222"/>
      <c r="G1369" s="702"/>
      <c r="H1369" s="222"/>
    </row>
    <row r="1370">
      <c r="C1370" s="703"/>
      <c r="E1370" s="221"/>
      <c r="F1370" s="222"/>
      <c r="G1370" s="702"/>
      <c r="H1370" s="222"/>
    </row>
    <row r="1371">
      <c r="C1371" s="703"/>
      <c r="E1371" s="221"/>
      <c r="F1371" s="222"/>
      <c r="G1371" s="702"/>
      <c r="H1371" s="222"/>
    </row>
    <row r="1372">
      <c r="C1372" s="703"/>
      <c r="E1372" s="221"/>
      <c r="F1372" s="222"/>
      <c r="G1372" s="702"/>
      <c r="H1372" s="222"/>
    </row>
    <row r="1373">
      <c r="C1373" s="703"/>
      <c r="E1373" s="221"/>
      <c r="F1373" s="222"/>
      <c r="G1373" s="702"/>
      <c r="H1373" s="222"/>
    </row>
    <row r="1374">
      <c r="C1374" s="703"/>
      <c r="E1374" s="221"/>
      <c r="F1374" s="222"/>
      <c r="G1374" s="702"/>
      <c r="H1374" s="222"/>
    </row>
    <row r="1375">
      <c r="C1375" s="703"/>
      <c r="E1375" s="221"/>
      <c r="F1375" s="222"/>
      <c r="G1375" s="702"/>
      <c r="H1375" s="222"/>
    </row>
    <row r="1376">
      <c r="C1376" s="703"/>
      <c r="E1376" s="221"/>
      <c r="F1376" s="222"/>
      <c r="G1376" s="702"/>
      <c r="H1376" s="222"/>
    </row>
    <row r="1377">
      <c r="C1377" s="703"/>
      <c r="E1377" s="221"/>
      <c r="F1377" s="222"/>
      <c r="G1377" s="702"/>
      <c r="H1377" s="222"/>
    </row>
    <row r="1378">
      <c r="C1378" s="703"/>
      <c r="E1378" s="221"/>
      <c r="F1378" s="222"/>
      <c r="G1378" s="702"/>
      <c r="H1378" s="222"/>
    </row>
    <row r="1379">
      <c r="C1379" s="703"/>
      <c r="E1379" s="221"/>
      <c r="F1379" s="222"/>
      <c r="G1379" s="702"/>
      <c r="H1379" s="222"/>
    </row>
    <row r="1380">
      <c r="C1380" s="703"/>
      <c r="E1380" s="221"/>
      <c r="F1380" s="222"/>
      <c r="G1380" s="702"/>
      <c r="H1380" s="222"/>
    </row>
    <row r="1381">
      <c r="C1381" s="703"/>
      <c r="E1381" s="221"/>
      <c r="F1381" s="222"/>
      <c r="G1381" s="702"/>
      <c r="H1381" s="222"/>
    </row>
    <row r="1382">
      <c r="C1382" s="703"/>
      <c r="E1382" s="221"/>
      <c r="F1382" s="222"/>
      <c r="G1382" s="702"/>
      <c r="H1382" s="222"/>
    </row>
    <row r="1383">
      <c r="C1383" s="703"/>
      <c r="E1383" s="221"/>
      <c r="F1383" s="222"/>
      <c r="G1383" s="702"/>
      <c r="H1383" s="222"/>
    </row>
    <row r="1384">
      <c r="C1384" s="703"/>
      <c r="E1384" s="221"/>
      <c r="F1384" s="222"/>
      <c r="G1384" s="702"/>
      <c r="H1384" s="222"/>
    </row>
    <row r="1385">
      <c r="C1385" s="703"/>
      <c r="E1385" s="221"/>
      <c r="F1385" s="222"/>
      <c r="G1385" s="702"/>
      <c r="H1385" s="222"/>
    </row>
    <row r="1386">
      <c r="C1386" s="703"/>
      <c r="E1386" s="221"/>
      <c r="F1386" s="222"/>
      <c r="G1386" s="702"/>
      <c r="H1386" s="222"/>
    </row>
    <row r="1387">
      <c r="C1387" s="703"/>
      <c r="E1387" s="221"/>
      <c r="F1387" s="222"/>
      <c r="G1387" s="702"/>
      <c r="H1387" s="222"/>
    </row>
    <row r="1388">
      <c r="C1388" s="703"/>
      <c r="E1388" s="221"/>
      <c r="F1388" s="222"/>
      <c r="G1388" s="702"/>
      <c r="H1388" s="222"/>
    </row>
    <row r="1389">
      <c r="C1389" s="703"/>
      <c r="E1389" s="221"/>
      <c r="F1389" s="222"/>
      <c r="G1389" s="702"/>
      <c r="H1389" s="222"/>
    </row>
    <row r="1390">
      <c r="C1390" s="703"/>
      <c r="E1390" s="221"/>
      <c r="F1390" s="222"/>
      <c r="G1390" s="702"/>
      <c r="H1390" s="222"/>
    </row>
    <row r="1391">
      <c r="C1391" s="703"/>
      <c r="E1391" s="221"/>
      <c r="F1391" s="222"/>
      <c r="G1391" s="702"/>
      <c r="H1391" s="222"/>
    </row>
    <row r="1392">
      <c r="C1392" s="703"/>
      <c r="E1392" s="221"/>
      <c r="F1392" s="222"/>
      <c r="G1392" s="702"/>
      <c r="H1392" s="222"/>
    </row>
    <row r="1393">
      <c r="C1393" s="703"/>
      <c r="E1393" s="221"/>
      <c r="F1393" s="222"/>
      <c r="G1393" s="702"/>
      <c r="H1393" s="222"/>
    </row>
    <row r="1394">
      <c r="C1394" s="703"/>
      <c r="E1394" s="221"/>
      <c r="F1394" s="222"/>
      <c r="G1394" s="702"/>
      <c r="H1394" s="222"/>
    </row>
    <row r="1395">
      <c r="C1395" s="703"/>
      <c r="E1395" s="221"/>
      <c r="F1395" s="222"/>
      <c r="G1395" s="702"/>
      <c r="H1395" s="222"/>
    </row>
    <row r="1396">
      <c r="C1396" s="703"/>
      <c r="E1396" s="221"/>
      <c r="F1396" s="222"/>
      <c r="G1396" s="702"/>
      <c r="H1396" s="222"/>
    </row>
    <row r="1397">
      <c r="C1397" s="703"/>
      <c r="E1397" s="221"/>
      <c r="F1397" s="222"/>
      <c r="G1397" s="702"/>
      <c r="H1397" s="222"/>
    </row>
    <row r="1398">
      <c r="C1398" s="703"/>
      <c r="E1398" s="221"/>
      <c r="F1398" s="222"/>
      <c r="G1398" s="702"/>
      <c r="H1398" s="222"/>
    </row>
    <row r="1399">
      <c r="C1399" s="703"/>
      <c r="E1399" s="221"/>
      <c r="F1399" s="222"/>
      <c r="G1399" s="702"/>
      <c r="H1399" s="222"/>
    </row>
    <row r="1400">
      <c r="C1400" s="703"/>
      <c r="E1400" s="221"/>
      <c r="F1400" s="222"/>
      <c r="G1400" s="702"/>
      <c r="H1400" s="222"/>
    </row>
    <row r="1401">
      <c r="C1401" s="703"/>
      <c r="E1401" s="221"/>
      <c r="F1401" s="222"/>
      <c r="G1401" s="702"/>
      <c r="H1401" s="222"/>
    </row>
    <row r="1402">
      <c r="C1402" s="703"/>
      <c r="E1402" s="221"/>
      <c r="F1402" s="222"/>
      <c r="G1402" s="702"/>
      <c r="H1402" s="222"/>
    </row>
    <row r="1403">
      <c r="C1403" s="703"/>
      <c r="E1403" s="221"/>
      <c r="F1403" s="222"/>
      <c r="G1403" s="702"/>
      <c r="H1403" s="222"/>
    </row>
    <row r="1404">
      <c r="C1404" s="703"/>
      <c r="E1404" s="221"/>
      <c r="F1404" s="222"/>
      <c r="G1404" s="702"/>
      <c r="H1404" s="222"/>
    </row>
    <row r="1405">
      <c r="C1405" s="703"/>
      <c r="E1405" s="221"/>
      <c r="F1405" s="222"/>
      <c r="G1405" s="702"/>
      <c r="H1405" s="222"/>
    </row>
    <row r="1406">
      <c r="C1406" s="703"/>
      <c r="E1406" s="221"/>
      <c r="F1406" s="222"/>
      <c r="G1406" s="702"/>
      <c r="H1406" s="222"/>
    </row>
    <row r="1407">
      <c r="C1407" s="703"/>
      <c r="E1407" s="221"/>
      <c r="F1407" s="222"/>
      <c r="G1407" s="702"/>
      <c r="H1407" s="222"/>
    </row>
    <row r="1408">
      <c r="C1408" s="703"/>
      <c r="E1408" s="221"/>
      <c r="F1408" s="222"/>
      <c r="G1408" s="702"/>
      <c r="H1408" s="222"/>
    </row>
    <row r="1409">
      <c r="C1409" s="703"/>
      <c r="E1409" s="221"/>
      <c r="F1409" s="222"/>
      <c r="G1409" s="702"/>
      <c r="H1409" s="222"/>
    </row>
    <row r="1410">
      <c r="C1410" s="703"/>
      <c r="E1410" s="221"/>
      <c r="F1410" s="222"/>
      <c r="G1410" s="702"/>
      <c r="H1410" s="222"/>
    </row>
    <row r="1411">
      <c r="C1411" s="703"/>
      <c r="E1411" s="221"/>
      <c r="F1411" s="222"/>
      <c r="G1411" s="702"/>
      <c r="H1411" s="222"/>
    </row>
    <row r="1412">
      <c r="C1412" s="703"/>
      <c r="E1412" s="221"/>
      <c r="F1412" s="222"/>
      <c r="G1412" s="702"/>
      <c r="H1412" s="222"/>
    </row>
    <row r="1413">
      <c r="C1413" s="703"/>
      <c r="E1413" s="221"/>
      <c r="F1413" s="222"/>
      <c r="G1413" s="702"/>
      <c r="H1413" s="222"/>
    </row>
    <row r="1414">
      <c r="C1414" s="703"/>
      <c r="E1414" s="221"/>
      <c r="F1414" s="222"/>
      <c r="G1414" s="702"/>
      <c r="H1414" s="222"/>
    </row>
    <row r="1415">
      <c r="C1415" s="703"/>
      <c r="E1415" s="221"/>
      <c r="F1415" s="222"/>
      <c r="G1415" s="702"/>
      <c r="H1415" s="222"/>
    </row>
    <row r="1416">
      <c r="C1416" s="703"/>
      <c r="E1416" s="221"/>
      <c r="F1416" s="222"/>
      <c r="G1416" s="702"/>
      <c r="H1416" s="222"/>
    </row>
    <row r="1417">
      <c r="C1417" s="703"/>
      <c r="E1417" s="221"/>
      <c r="F1417" s="222"/>
      <c r="G1417" s="702"/>
      <c r="H1417" s="222"/>
    </row>
    <row r="1418">
      <c r="C1418" s="703"/>
      <c r="E1418" s="221"/>
      <c r="F1418" s="222"/>
      <c r="G1418" s="702"/>
      <c r="H1418" s="222"/>
    </row>
    <row r="1419">
      <c r="C1419" s="703"/>
      <c r="E1419" s="221"/>
      <c r="F1419" s="222"/>
      <c r="G1419" s="702"/>
      <c r="H1419" s="222"/>
    </row>
    <row r="1420">
      <c r="C1420" s="703"/>
      <c r="E1420" s="221"/>
      <c r="F1420" s="222"/>
      <c r="G1420" s="702"/>
      <c r="H1420" s="222"/>
    </row>
    <row r="1421">
      <c r="C1421" s="703"/>
      <c r="E1421" s="221"/>
      <c r="F1421" s="222"/>
      <c r="G1421" s="702"/>
      <c r="H1421" s="222"/>
    </row>
    <row r="1422">
      <c r="C1422" s="703"/>
      <c r="E1422" s="221"/>
      <c r="F1422" s="222"/>
      <c r="G1422" s="702"/>
      <c r="H1422" s="222"/>
    </row>
    <row r="1423">
      <c r="C1423" s="703"/>
      <c r="E1423" s="221"/>
      <c r="F1423" s="222"/>
      <c r="G1423" s="702"/>
      <c r="H1423" s="222"/>
    </row>
    <row r="1424">
      <c r="C1424" s="703"/>
      <c r="E1424" s="221"/>
      <c r="F1424" s="222"/>
      <c r="G1424" s="702"/>
      <c r="H1424" s="222"/>
    </row>
    <row r="1425">
      <c r="C1425" s="703"/>
      <c r="E1425" s="221"/>
      <c r="F1425" s="222"/>
      <c r="G1425" s="702"/>
      <c r="H1425" s="222"/>
    </row>
    <row r="1426">
      <c r="C1426" s="703"/>
      <c r="E1426" s="221"/>
      <c r="F1426" s="222"/>
      <c r="G1426" s="702"/>
      <c r="H1426" s="222"/>
    </row>
    <row r="1427">
      <c r="C1427" s="703"/>
      <c r="E1427" s="221"/>
      <c r="F1427" s="222"/>
      <c r="G1427" s="702"/>
      <c r="H1427" s="222"/>
    </row>
    <row r="1428">
      <c r="C1428" s="703"/>
      <c r="E1428" s="221"/>
      <c r="F1428" s="222"/>
      <c r="G1428" s="702"/>
      <c r="H1428" s="222"/>
    </row>
    <row r="1429">
      <c r="C1429" s="703"/>
      <c r="E1429" s="221"/>
      <c r="F1429" s="222"/>
      <c r="G1429" s="702"/>
      <c r="H1429" s="222"/>
    </row>
    <row r="1430">
      <c r="C1430" s="703"/>
      <c r="E1430" s="221"/>
      <c r="F1430" s="222"/>
      <c r="G1430" s="702"/>
      <c r="H1430" s="222"/>
    </row>
    <row r="1431">
      <c r="C1431" s="703"/>
      <c r="E1431" s="221"/>
      <c r="F1431" s="222"/>
      <c r="G1431" s="702"/>
      <c r="H1431" s="222"/>
    </row>
    <row r="1432">
      <c r="C1432" s="703"/>
      <c r="E1432" s="221"/>
      <c r="F1432" s="222"/>
      <c r="G1432" s="702"/>
      <c r="H1432" s="222"/>
    </row>
    <row r="1433">
      <c r="C1433" s="703"/>
      <c r="E1433" s="221"/>
      <c r="F1433" s="222"/>
      <c r="G1433" s="702"/>
      <c r="H1433" s="222"/>
    </row>
    <row r="1434">
      <c r="C1434" s="703"/>
      <c r="E1434" s="221"/>
      <c r="F1434" s="222"/>
      <c r="G1434" s="702"/>
      <c r="H1434" s="222"/>
    </row>
    <row r="1435">
      <c r="C1435" s="703"/>
      <c r="E1435" s="221"/>
      <c r="F1435" s="222"/>
      <c r="G1435" s="702"/>
      <c r="H1435" s="222"/>
    </row>
    <row r="1436">
      <c r="C1436" s="703"/>
      <c r="E1436" s="221"/>
      <c r="F1436" s="222"/>
      <c r="G1436" s="702"/>
      <c r="H1436" s="222"/>
    </row>
    <row r="1437">
      <c r="C1437" s="703"/>
      <c r="E1437" s="221"/>
      <c r="F1437" s="222"/>
      <c r="G1437" s="702"/>
      <c r="H1437" s="222"/>
    </row>
    <row r="1438">
      <c r="C1438" s="703"/>
      <c r="E1438" s="221"/>
      <c r="F1438" s="222"/>
      <c r="G1438" s="702"/>
      <c r="H1438" s="222"/>
    </row>
    <row r="1439">
      <c r="C1439" s="703"/>
      <c r="E1439" s="221"/>
      <c r="F1439" s="222"/>
      <c r="G1439" s="702"/>
      <c r="H1439" s="222"/>
    </row>
    <row r="1440">
      <c r="C1440" s="703"/>
      <c r="E1440" s="221"/>
      <c r="F1440" s="222"/>
      <c r="G1440" s="702"/>
      <c r="H1440" s="222"/>
    </row>
    <row r="1441">
      <c r="C1441" s="703"/>
      <c r="E1441" s="221"/>
      <c r="F1441" s="222"/>
      <c r="G1441" s="702"/>
      <c r="H1441" s="222"/>
    </row>
    <row r="1442">
      <c r="C1442" s="703"/>
      <c r="E1442" s="221"/>
      <c r="F1442" s="222"/>
      <c r="G1442" s="702"/>
      <c r="H1442" s="222"/>
    </row>
    <row r="1443">
      <c r="C1443" s="703"/>
      <c r="E1443" s="221"/>
      <c r="F1443" s="222"/>
      <c r="G1443" s="702"/>
      <c r="H1443" s="222"/>
    </row>
    <row r="1444">
      <c r="C1444" s="703"/>
      <c r="E1444" s="221"/>
      <c r="F1444" s="222"/>
      <c r="G1444" s="702"/>
      <c r="H1444" s="222"/>
    </row>
    <row r="1445">
      <c r="C1445" s="703"/>
      <c r="E1445" s="221"/>
      <c r="F1445" s="222"/>
      <c r="G1445" s="702"/>
      <c r="H1445" s="222"/>
    </row>
    <row r="1446">
      <c r="C1446" s="703"/>
      <c r="E1446" s="221"/>
      <c r="F1446" s="222"/>
      <c r="G1446" s="702"/>
      <c r="H1446" s="222"/>
    </row>
    <row r="1447">
      <c r="C1447" s="703"/>
      <c r="E1447" s="221"/>
      <c r="F1447" s="222"/>
      <c r="G1447" s="702"/>
      <c r="H1447" s="222"/>
    </row>
    <row r="1448">
      <c r="C1448" s="703"/>
      <c r="E1448" s="221"/>
      <c r="F1448" s="222"/>
      <c r="G1448" s="702"/>
      <c r="H1448" s="222"/>
    </row>
    <row r="1449">
      <c r="C1449" s="703"/>
      <c r="E1449" s="221"/>
      <c r="F1449" s="222"/>
      <c r="G1449" s="702"/>
      <c r="H1449" s="222"/>
    </row>
    <row r="1450">
      <c r="C1450" s="703"/>
      <c r="E1450" s="221"/>
      <c r="F1450" s="222"/>
      <c r="G1450" s="702"/>
      <c r="H1450" s="222"/>
    </row>
    <row r="1451">
      <c r="C1451" s="703"/>
      <c r="E1451" s="221"/>
      <c r="F1451" s="222"/>
      <c r="G1451" s="702"/>
      <c r="H1451" s="222"/>
    </row>
    <row r="1452">
      <c r="C1452" s="703"/>
      <c r="E1452" s="221"/>
      <c r="F1452" s="222"/>
      <c r="G1452" s="702"/>
      <c r="H1452" s="222"/>
    </row>
    <row r="1453">
      <c r="C1453" s="703"/>
      <c r="E1453" s="221"/>
      <c r="F1453" s="222"/>
      <c r="G1453" s="702"/>
      <c r="H1453" s="222"/>
    </row>
    <row r="1454">
      <c r="C1454" s="703"/>
      <c r="E1454" s="221"/>
      <c r="F1454" s="222"/>
      <c r="G1454" s="702"/>
      <c r="H1454" s="222"/>
    </row>
    <row r="1455">
      <c r="C1455" s="703"/>
      <c r="E1455" s="221"/>
      <c r="F1455" s="222"/>
      <c r="G1455" s="702"/>
      <c r="H1455" s="222"/>
    </row>
    <row r="1456">
      <c r="C1456" s="703"/>
      <c r="E1456" s="221"/>
      <c r="F1456" s="222"/>
      <c r="G1456" s="702"/>
      <c r="H1456" s="222"/>
    </row>
    <row r="1457">
      <c r="C1457" s="703"/>
      <c r="E1457" s="221"/>
      <c r="F1457" s="222"/>
      <c r="G1457" s="702"/>
      <c r="H1457" s="222"/>
    </row>
    <row r="1458">
      <c r="C1458" s="703"/>
      <c r="E1458" s="221"/>
      <c r="F1458" s="222"/>
      <c r="G1458" s="702"/>
      <c r="H1458" s="222"/>
    </row>
    <row r="1459">
      <c r="C1459" s="703"/>
      <c r="E1459" s="221"/>
      <c r="F1459" s="222"/>
      <c r="G1459" s="702"/>
      <c r="H1459" s="222"/>
    </row>
    <row r="1460">
      <c r="C1460" s="703"/>
      <c r="E1460" s="221"/>
      <c r="F1460" s="222"/>
      <c r="G1460" s="702"/>
      <c r="H1460" s="222"/>
    </row>
    <row r="1461">
      <c r="C1461" s="703"/>
      <c r="E1461" s="221"/>
      <c r="F1461" s="222"/>
      <c r="G1461" s="702"/>
      <c r="H1461" s="222"/>
    </row>
    <row r="1462">
      <c r="C1462" s="703"/>
      <c r="E1462" s="221"/>
      <c r="F1462" s="222"/>
      <c r="G1462" s="702"/>
      <c r="H1462" s="222"/>
    </row>
    <row r="1463">
      <c r="C1463" s="703"/>
      <c r="E1463" s="221"/>
      <c r="F1463" s="222"/>
      <c r="G1463" s="702"/>
      <c r="H1463" s="222"/>
    </row>
    <row r="1464">
      <c r="C1464" s="703"/>
      <c r="E1464" s="221"/>
      <c r="F1464" s="222"/>
      <c r="G1464" s="702"/>
      <c r="H1464" s="222"/>
    </row>
    <row r="1465">
      <c r="C1465" s="703"/>
      <c r="E1465" s="221"/>
      <c r="F1465" s="222"/>
      <c r="G1465" s="702"/>
      <c r="H1465" s="222"/>
    </row>
    <row r="1466">
      <c r="C1466" s="703"/>
      <c r="E1466" s="221"/>
      <c r="F1466" s="222"/>
      <c r="G1466" s="702"/>
      <c r="H1466" s="222"/>
    </row>
    <row r="1467">
      <c r="C1467" s="703"/>
      <c r="E1467" s="221"/>
      <c r="F1467" s="222"/>
      <c r="G1467" s="702"/>
      <c r="H1467" s="222"/>
    </row>
    <row r="1468">
      <c r="C1468" s="703"/>
      <c r="E1468" s="221"/>
      <c r="F1468" s="222"/>
      <c r="G1468" s="702"/>
      <c r="H1468" s="222"/>
    </row>
    <row r="1469">
      <c r="C1469" s="703"/>
      <c r="E1469" s="221"/>
      <c r="F1469" s="222"/>
      <c r="G1469" s="702"/>
      <c r="H1469" s="222"/>
    </row>
    <row r="1470">
      <c r="C1470" s="703"/>
      <c r="E1470" s="221"/>
      <c r="F1470" s="222"/>
      <c r="G1470" s="702"/>
      <c r="H1470" s="222"/>
    </row>
    <row r="1471">
      <c r="C1471" s="703"/>
      <c r="E1471" s="221"/>
      <c r="F1471" s="222"/>
      <c r="G1471" s="702"/>
      <c r="H1471" s="222"/>
    </row>
    <row r="1472">
      <c r="C1472" s="703"/>
      <c r="E1472" s="221"/>
      <c r="F1472" s="222"/>
      <c r="G1472" s="702"/>
      <c r="H1472" s="222"/>
    </row>
    <row r="1473">
      <c r="C1473" s="703"/>
      <c r="E1473" s="221"/>
      <c r="F1473" s="222"/>
      <c r="G1473" s="702"/>
      <c r="H1473" s="222"/>
    </row>
    <row r="1474">
      <c r="C1474" s="703"/>
      <c r="E1474" s="221"/>
      <c r="F1474" s="222"/>
      <c r="G1474" s="702"/>
      <c r="H1474" s="222"/>
    </row>
    <row r="1475">
      <c r="C1475" s="703"/>
      <c r="E1475" s="221"/>
      <c r="F1475" s="222"/>
      <c r="G1475" s="702"/>
      <c r="H1475" s="222"/>
    </row>
    <row r="1476">
      <c r="C1476" s="703"/>
      <c r="E1476" s="221"/>
      <c r="F1476" s="222"/>
      <c r="G1476" s="702"/>
      <c r="H1476" s="222"/>
    </row>
    <row r="1477">
      <c r="C1477" s="703"/>
      <c r="E1477" s="221"/>
      <c r="F1477" s="222"/>
      <c r="G1477" s="702"/>
      <c r="H1477" s="222"/>
    </row>
    <row r="1478">
      <c r="C1478" s="703"/>
      <c r="E1478" s="221"/>
      <c r="F1478" s="222"/>
      <c r="G1478" s="702"/>
      <c r="H1478" s="222"/>
    </row>
    <row r="1479">
      <c r="C1479" s="703"/>
      <c r="E1479" s="221"/>
      <c r="F1479" s="222"/>
      <c r="G1479" s="702"/>
      <c r="H1479" s="222"/>
    </row>
    <row r="1480">
      <c r="C1480" s="703"/>
      <c r="E1480" s="221"/>
      <c r="F1480" s="222"/>
      <c r="G1480" s="702"/>
      <c r="H1480" s="222"/>
    </row>
    <row r="1481">
      <c r="C1481" s="703"/>
      <c r="E1481" s="221"/>
      <c r="F1481" s="222"/>
      <c r="G1481" s="702"/>
      <c r="H1481" s="222"/>
    </row>
    <row r="1482">
      <c r="C1482" s="703"/>
      <c r="E1482" s="221"/>
      <c r="F1482" s="222"/>
      <c r="G1482" s="702"/>
      <c r="H1482" s="222"/>
    </row>
    <row r="1483">
      <c r="C1483" s="703"/>
      <c r="E1483" s="221"/>
      <c r="F1483" s="222"/>
      <c r="G1483" s="702"/>
      <c r="H1483" s="222"/>
    </row>
    <row r="1484">
      <c r="C1484" s="703"/>
      <c r="E1484" s="221"/>
      <c r="F1484" s="222"/>
      <c r="G1484" s="702"/>
      <c r="H1484" s="222"/>
    </row>
    <row r="1485">
      <c r="C1485" s="703"/>
      <c r="E1485" s="221"/>
      <c r="F1485" s="222"/>
      <c r="G1485" s="702"/>
      <c r="H1485" s="222"/>
    </row>
    <row r="1486">
      <c r="C1486" s="703"/>
      <c r="E1486" s="221"/>
      <c r="F1486" s="222"/>
      <c r="G1486" s="702"/>
      <c r="H1486" s="222"/>
    </row>
    <row r="1487">
      <c r="C1487" s="703"/>
      <c r="E1487" s="221"/>
      <c r="F1487" s="222"/>
      <c r="G1487" s="702"/>
      <c r="H1487" s="222"/>
    </row>
    <row r="1488">
      <c r="C1488" s="703"/>
      <c r="E1488" s="221"/>
      <c r="F1488" s="222"/>
      <c r="G1488" s="702"/>
      <c r="H1488" s="222"/>
    </row>
    <row r="1489">
      <c r="C1489" s="703"/>
      <c r="E1489" s="221"/>
      <c r="F1489" s="222"/>
      <c r="G1489" s="702"/>
      <c r="H1489" s="222"/>
    </row>
    <row r="1490">
      <c r="C1490" s="703"/>
      <c r="E1490" s="221"/>
      <c r="F1490" s="222"/>
      <c r="G1490" s="702"/>
      <c r="H1490" s="222"/>
    </row>
    <row r="1491">
      <c r="C1491" s="703"/>
      <c r="E1491" s="221"/>
      <c r="F1491" s="222"/>
      <c r="G1491" s="702"/>
      <c r="H1491" s="222"/>
    </row>
    <row r="1492">
      <c r="C1492" s="703"/>
      <c r="E1492" s="221"/>
      <c r="F1492" s="222"/>
      <c r="G1492" s="702"/>
      <c r="H1492" s="222"/>
    </row>
    <row r="1493">
      <c r="C1493" s="703"/>
      <c r="E1493" s="221"/>
      <c r="F1493" s="222"/>
      <c r="G1493" s="702"/>
      <c r="H1493" s="222"/>
    </row>
    <row r="1494">
      <c r="C1494" s="703"/>
      <c r="E1494" s="221"/>
      <c r="F1494" s="222"/>
      <c r="G1494" s="702"/>
      <c r="H1494" s="222"/>
    </row>
    <row r="1495">
      <c r="C1495" s="703"/>
      <c r="E1495" s="221"/>
      <c r="F1495" s="222"/>
      <c r="G1495" s="702"/>
      <c r="H1495" s="222"/>
    </row>
    <row r="1496">
      <c r="C1496" s="703"/>
      <c r="E1496" s="221"/>
      <c r="F1496" s="222"/>
      <c r="G1496" s="702"/>
      <c r="H1496" s="222"/>
    </row>
    <row r="1497">
      <c r="C1497" s="703"/>
      <c r="E1497" s="221"/>
      <c r="F1497" s="222"/>
      <c r="G1497" s="702"/>
      <c r="H1497" s="222"/>
    </row>
    <row r="1498">
      <c r="C1498" s="703"/>
      <c r="E1498" s="221"/>
      <c r="F1498" s="222"/>
      <c r="G1498" s="702"/>
      <c r="H1498" s="222"/>
    </row>
    <row r="1499">
      <c r="C1499" s="703"/>
      <c r="E1499" s="221"/>
      <c r="F1499" s="222"/>
      <c r="G1499" s="702"/>
      <c r="H1499" s="222"/>
    </row>
    <row r="1500">
      <c r="C1500" s="703"/>
      <c r="E1500" s="221"/>
      <c r="F1500" s="222"/>
      <c r="G1500" s="702"/>
      <c r="H1500" s="222"/>
    </row>
    <row r="1501">
      <c r="C1501" s="703"/>
      <c r="E1501" s="221"/>
      <c r="F1501" s="222"/>
      <c r="G1501" s="702"/>
      <c r="H1501" s="222"/>
    </row>
    <row r="1502">
      <c r="C1502" s="703"/>
      <c r="E1502" s="221"/>
      <c r="F1502" s="222"/>
      <c r="G1502" s="702"/>
      <c r="H1502" s="222"/>
    </row>
    <row r="1503">
      <c r="C1503" s="703"/>
      <c r="E1503" s="221"/>
      <c r="F1503" s="222"/>
      <c r="G1503" s="702"/>
      <c r="H1503" s="222"/>
    </row>
    <row r="1504">
      <c r="C1504" s="703"/>
      <c r="E1504" s="221"/>
      <c r="F1504" s="222"/>
      <c r="G1504" s="702"/>
      <c r="H1504" s="222"/>
    </row>
    <row r="1505">
      <c r="C1505" s="703"/>
      <c r="E1505" s="221"/>
      <c r="F1505" s="222"/>
      <c r="G1505" s="702"/>
      <c r="H1505" s="222"/>
    </row>
    <row r="1506">
      <c r="C1506" s="703"/>
      <c r="E1506" s="221"/>
      <c r="F1506" s="222"/>
      <c r="G1506" s="702"/>
      <c r="H1506" s="222"/>
    </row>
    <row r="1507">
      <c r="C1507" s="703"/>
      <c r="E1507" s="221"/>
      <c r="F1507" s="222"/>
      <c r="G1507" s="702"/>
      <c r="H1507" s="222"/>
    </row>
    <row r="1508">
      <c r="C1508" s="703"/>
      <c r="E1508" s="221"/>
      <c r="F1508" s="222"/>
      <c r="G1508" s="702"/>
      <c r="H1508" s="222"/>
    </row>
    <row r="1509">
      <c r="C1509" s="703"/>
      <c r="E1509" s="221"/>
      <c r="F1509" s="222"/>
      <c r="G1509" s="702"/>
      <c r="H1509" s="222"/>
    </row>
    <row r="1510">
      <c r="C1510" s="703"/>
      <c r="E1510" s="221"/>
      <c r="F1510" s="222"/>
      <c r="G1510" s="702"/>
      <c r="H1510" s="222"/>
    </row>
    <row r="1511">
      <c r="C1511" s="703"/>
      <c r="E1511" s="221"/>
      <c r="F1511" s="222"/>
      <c r="G1511" s="702"/>
      <c r="H1511" s="222"/>
    </row>
    <row r="1512">
      <c r="C1512" s="703"/>
      <c r="E1512" s="221"/>
      <c r="F1512" s="222"/>
      <c r="G1512" s="702"/>
      <c r="H1512" s="222"/>
    </row>
    <row r="1513">
      <c r="C1513" s="703"/>
      <c r="E1513" s="221"/>
      <c r="F1513" s="222"/>
      <c r="G1513" s="702"/>
      <c r="H1513" s="222"/>
    </row>
    <row r="1514">
      <c r="C1514" s="703"/>
      <c r="E1514" s="221"/>
      <c r="F1514" s="222"/>
      <c r="G1514" s="702"/>
      <c r="H1514" s="222"/>
    </row>
    <row r="1515">
      <c r="C1515" s="703"/>
      <c r="E1515" s="221"/>
      <c r="F1515" s="222"/>
      <c r="G1515" s="702"/>
      <c r="H1515" s="222"/>
    </row>
    <row r="1516">
      <c r="C1516" s="703"/>
      <c r="E1516" s="221"/>
      <c r="F1516" s="222"/>
      <c r="G1516" s="702"/>
      <c r="H1516" s="222"/>
    </row>
    <row r="1517">
      <c r="C1517" s="703"/>
      <c r="E1517" s="221"/>
      <c r="F1517" s="222"/>
      <c r="G1517" s="702"/>
      <c r="H1517" s="222"/>
    </row>
    <row r="1518">
      <c r="C1518" s="703"/>
      <c r="E1518" s="221"/>
      <c r="F1518" s="222"/>
      <c r="G1518" s="702"/>
      <c r="H1518" s="222"/>
    </row>
    <row r="1519">
      <c r="C1519" s="703"/>
      <c r="E1519" s="221"/>
      <c r="F1519" s="222"/>
      <c r="G1519" s="702"/>
      <c r="H1519" s="222"/>
    </row>
    <row r="1520">
      <c r="C1520" s="703"/>
      <c r="E1520" s="221"/>
      <c r="F1520" s="222"/>
      <c r="G1520" s="702"/>
      <c r="H1520" s="222"/>
    </row>
    <row r="1521">
      <c r="C1521" s="703"/>
      <c r="E1521" s="221"/>
      <c r="F1521" s="222"/>
      <c r="G1521" s="702"/>
      <c r="H1521" s="222"/>
    </row>
    <row r="1522">
      <c r="C1522" s="703"/>
      <c r="E1522" s="221"/>
      <c r="F1522" s="222"/>
      <c r="G1522" s="702"/>
      <c r="H1522" s="222"/>
    </row>
    <row r="1523">
      <c r="C1523" s="703"/>
      <c r="E1523" s="221"/>
      <c r="F1523" s="222"/>
      <c r="G1523" s="702"/>
      <c r="H1523" s="222"/>
    </row>
    <row r="1524">
      <c r="C1524" s="703"/>
      <c r="E1524" s="221"/>
      <c r="F1524" s="222"/>
      <c r="G1524" s="702"/>
      <c r="H1524" s="222"/>
    </row>
    <row r="1525">
      <c r="C1525" s="703"/>
      <c r="E1525" s="221"/>
      <c r="F1525" s="222"/>
      <c r="G1525" s="702"/>
      <c r="H1525" s="222"/>
    </row>
    <row r="1526">
      <c r="C1526" s="703"/>
      <c r="E1526" s="221"/>
      <c r="F1526" s="222"/>
      <c r="G1526" s="702"/>
      <c r="H1526" s="222"/>
    </row>
    <row r="1527">
      <c r="C1527" s="703"/>
      <c r="E1527" s="221"/>
      <c r="F1527" s="222"/>
      <c r="G1527" s="702"/>
      <c r="H1527" s="222"/>
    </row>
    <row r="1528">
      <c r="C1528" s="703"/>
      <c r="E1528" s="221"/>
      <c r="F1528" s="222"/>
      <c r="G1528" s="702"/>
      <c r="H1528" s="222"/>
    </row>
    <row r="1529">
      <c r="C1529" s="703"/>
      <c r="E1529" s="221"/>
      <c r="F1529" s="222"/>
      <c r="G1529" s="702"/>
      <c r="H1529" s="222"/>
    </row>
    <row r="1530">
      <c r="C1530" s="703"/>
      <c r="E1530" s="221"/>
      <c r="F1530" s="222"/>
      <c r="G1530" s="702"/>
      <c r="H1530" s="222"/>
    </row>
    <row r="1531">
      <c r="C1531" s="703"/>
      <c r="E1531" s="221"/>
      <c r="F1531" s="222"/>
      <c r="G1531" s="702"/>
      <c r="H1531" s="222"/>
    </row>
    <row r="1532">
      <c r="C1532" s="703"/>
      <c r="E1532" s="221"/>
      <c r="F1532" s="222"/>
      <c r="G1532" s="702"/>
      <c r="H1532" s="222"/>
    </row>
    <row r="1533">
      <c r="C1533" s="703"/>
      <c r="E1533" s="221"/>
      <c r="F1533" s="222"/>
      <c r="G1533" s="702"/>
      <c r="H1533" s="222"/>
    </row>
    <row r="1534">
      <c r="C1534" s="703"/>
      <c r="E1534" s="221"/>
      <c r="F1534" s="222"/>
      <c r="G1534" s="702"/>
      <c r="H1534" s="222"/>
    </row>
    <row r="1535">
      <c r="C1535" s="703"/>
      <c r="E1535" s="221"/>
      <c r="F1535" s="222"/>
      <c r="G1535" s="702"/>
      <c r="H1535" s="222"/>
    </row>
    <row r="1536">
      <c r="C1536" s="703"/>
      <c r="E1536" s="221"/>
      <c r="F1536" s="222"/>
      <c r="G1536" s="702"/>
      <c r="H1536" s="222"/>
    </row>
    <row r="1537">
      <c r="C1537" s="703"/>
      <c r="E1537" s="221"/>
      <c r="F1537" s="222"/>
      <c r="G1537" s="702"/>
      <c r="H1537" s="222"/>
    </row>
    <row r="1538">
      <c r="C1538" s="703"/>
      <c r="E1538" s="221"/>
      <c r="F1538" s="222"/>
      <c r="G1538" s="702"/>
      <c r="H1538" s="222"/>
    </row>
    <row r="1539">
      <c r="C1539" s="703"/>
      <c r="E1539" s="221"/>
      <c r="F1539" s="222"/>
      <c r="G1539" s="702"/>
      <c r="H1539" s="222"/>
    </row>
    <row r="1540">
      <c r="C1540" s="703"/>
      <c r="E1540" s="221"/>
      <c r="F1540" s="222"/>
      <c r="G1540" s="702"/>
      <c r="H1540" s="222"/>
    </row>
    <row r="1541">
      <c r="C1541" s="703"/>
      <c r="E1541" s="221"/>
      <c r="F1541" s="222"/>
      <c r="G1541" s="702"/>
      <c r="H1541" s="222"/>
    </row>
    <row r="1542">
      <c r="C1542" s="703"/>
      <c r="E1542" s="221"/>
      <c r="F1542" s="222"/>
      <c r="G1542" s="702"/>
      <c r="H1542" s="222"/>
    </row>
    <row r="1543">
      <c r="C1543" s="703"/>
      <c r="E1543" s="221"/>
      <c r="F1543" s="222"/>
      <c r="G1543" s="702"/>
      <c r="H1543" s="222"/>
    </row>
    <row r="1544">
      <c r="C1544" s="703"/>
      <c r="E1544" s="221"/>
      <c r="F1544" s="222"/>
      <c r="G1544" s="702"/>
      <c r="H1544" s="222"/>
    </row>
    <row r="1545">
      <c r="C1545" s="703"/>
      <c r="E1545" s="221"/>
      <c r="F1545" s="222"/>
      <c r="G1545" s="702"/>
      <c r="H1545" s="222"/>
    </row>
    <row r="1546">
      <c r="C1546" s="703"/>
      <c r="E1546" s="221"/>
      <c r="F1546" s="222"/>
      <c r="G1546" s="702"/>
      <c r="H1546" s="222"/>
    </row>
    <row r="1547">
      <c r="C1547" s="703"/>
      <c r="E1547" s="221"/>
      <c r="F1547" s="222"/>
      <c r="G1547" s="702"/>
      <c r="H1547" s="222"/>
    </row>
    <row r="1548">
      <c r="C1548" s="703"/>
      <c r="E1548" s="221"/>
      <c r="F1548" s="222"/>
      <c r="G1548" s="702"/>
      <c r="H1548" s="222"/>
    </row>
    <row r="1549">
      <c r="C1549" s="703"/>
      <c r="E1549" s="221"/>
      <c r="F1549" s="222"/>
      <c r="G1549" s="702"/>
      <c r="H1549" s="222"/>
    </row>
    <row r="1550">
      <c r="C1550" s="703"/>
      <c r="E1550" s="221"/>
      <c r="F1550" s="222"/>
      <c r="G1550" s="702"/>
      <c r="H1550" s="222"/>
    </row>
    <row r="1551">
      <c r="C1551" s="703"/>
      <c r="E1551" s="221"/>
      <c r="F1551" s="222"/>
      <c r="G1551" s="702"/>
      <c r="H1551" s="222"/>
    </row>
    <row r="1552">
      <c r="C1552" s="703"/>
      <c r="E1552" s="221"/>
      <c r="F1552" s="222"/>
      <c r="G1552" s="702"/>
      <c r="H1552" s="222"/>
    </row>
    <row r="1553">
      <c r="C1553" s="703"/>
      <c r="E1553" s="221"/>
      <c r="F1553" s="222"/>
      <c r="G1553" s="702"/>
      <c r="H1553" s="222"/>
    </row>
    <row r="1554">
      <c r="C1554" s="703"/>
      <c r="E1554" s="221"/>
      <c r="F1554" s="222"/>
      <c r="G1554" s="702"/>
      <c r="H1554" s="222"/>
    </row>
    <row r="1555">
      <c r="C1555" s="703"/>
      <c r="E1555" s="221"/>
      <c r="F1555" s="222"/>
      <c r="G1555" s="702"/>
      <c r="H1555" s="222"/>
    </row>
    <row r="1556">
      <c r="C1556" s="703"/>
      <c r="E1556" s="221"/>
      <c r="F1556" s="222"/>
      <c r="G1556" s="702"/>
      <c r="H1556" s="222"/>
    </row>
    <row r="1557">
      <c r="C1557" s="703"/>
      <c r="E1557" s="221"/>
      <c r="F1557" s="222"/>
      <c r="G1557" s="702"/>
      <c r="H1557" s="222"/>
    </row>
    <row r="1558">
      <c r="C1558" s="703"/>
      <c r="E1558" s="221"/>
      <c r="F1558" s="222"/>
      <c r="G1558" s="702"/>
      <c r="H1558" s="222"/>
    </row>
    <row r="1559">
      <c r="C1559" s="703"/>
      <c r="E1559" s="221"/>
      <c r="F1559" s="222"/>
      <c r="G1559" s="702"/>
      <c r="H1559" s="222"/>
    </row>
    <row r="1560">
      <c r="C1560" s="703"/>
      <c r="E1560" s="221"/>
      <c r="F1560" s="222"/>
      <c r="G1560" s="702"/>
      <c r="H1560" s="222"/>
    </row>
    <row r="1561">
      <c r="C1561" s="703"/>
      <c r="E1561" s="221"/>
      <c r="F1561" s="222"/>
      <c r="G1561" s="702"/>
      <c r="H1561" s="222"/>
    </row>
    <row r="1562">
      <c r="C1562" s="703"/>
      <c r="E1562" s="221"/>
      <c r="F1562" s="222"/>
      <c r="G1562" s="702"/>
      <c r="H1562" s="222"/>
    </row>
    <row r="1563">
      <c r="C1563" s="703"/>
      <c r="E1563" s="221"/>
      <c r="F1563" s="222"/>
      <c r="G1563" s="702"/>
      <c r="H1563" s="222"/>
    </row>
    <row r="1564">
      <c r="C1564" s="703"/>
      <c r="E1564" s="221"/>
      <c r="F1564" s="222"/>
      <c r="G1564" s="702"/>
      <c r="H1564" s="222"/>
    </row>
    <row r="1565">
      <c r="C1565" s="703"/>
      <c r="E1565" s="221"/>
      <c r="F1565" s="222"/>
      <c r="G1565" s="702"/>
      <c r="H1565" s="222"/>
    </row>
    <row r="1566">
      <c r="C1566" s="703"/>
      <c r="E1566" s="221"/>
      <c r="F1566" s="222"/>
      <c r="G1566" s="702"/>
      <c r="H1566" s="222"/>
    </row>
    <row r="1567">
      <c r="C1567" s="703"/>
      <c r="E1567" s="221"/>
      <c r="F1567" s="222"/>
      <c r="G1567" s="702"/>
      <c r="H1567" s="222"/>
    </row>
    <row r="1568">
      <c r="C1568" s="703"/>
      <c r="E1568" s="221"/>
      <c r="F1568" s="222"/>
      <c r="G1568" s="702"/>
      <c r="H1568" s="222"/>
    </row>
    <row r="1569">
      <c r="C1569" s="703"/>
      <c r="E1569" s="221"/>
      <c r="F1569" s="222"/>
      <c r="G1569" s="702"/>
      <c r="H1569" s="222"/>
    </row>
    <row r="1570">
      <c r="C1570" s="703"/>
      <c r="E1570" s="221"/>
      <c r="F1570" s="222"/>
      <c r="G1570" s="702"/>
      <c r="H1570" s="222"/>
    </row>
    <row r="1571">
      <c r="C1571" s="703"/>
      <c r="E1571" s="221"/>
      <c r="F1571" s="222"/>
      <c r="G1571" s="702"/>
      <c r="H1571" s="222"/>
    </row>
    <row r="1572">
      <c r="C1572" s="703"/>
      <c r="E1572" s="221"/>
      <c r="F1572" s="222"/>
      <c r="G1572" s="702"/>
      <c r="H1572" s="222"/>
    </row>
    <row r="1573">
      <c r="C1573" s="703"/>
      <c r="E1573" s="221"/>
      <c r="F1573" s="222"/>
      <c r="G1573" s="702"/>
      <c r="H1573" s="222"/>
    </row>
    <row r="1574">
      <c r="C1574" s="703"/>
      <c r="E1574" s="221"/>
      <c r="F1574" s="222"/>
      <c r="G1574" s="702"/>
      <c r="H1574" s="222"/>
    </row>
    <row r="1575">
      <c r="C1575" s="703"/>
      <c r="E1575" s="221"/>
      <c r="F1575" s="222"/>
      <c r="G1575" s="702"/>
      <c r="H1575" s="222"/>
    </row>
    <row r="1576">
      <c r="C1576" s="703"/>
      <c r="E1576" s="221"/>
      <c r="F1576" s="222"/>
      <c r="G1576" s="702"/>
      <c r="H1576" s="222"/>
    </row>
    <row r="1577">
      <c r="C1577" s="703"/>
      <c r="E1577" s="221"/>
      <c r="F1577" s="222"/>
      <c r="G1577" s="702"/>
      <c r="H1577" s="222"/>
    </row>
    <row r="1578">
      <c r="C1578" s="703"/>
      <c r="E1578" s="221"/>
      <c r="F1578" s="222"/>
      <c r="G1578" s="702"/>
      <c r="H1578" s="222"/>
    </row>
    <row r="1579">
      <c r="C1579" s="703"/>
      <c r="E1579" s="221"/>
      <c r="F1579" s="222"/>
      <c r="G1579" s="702"/>
      <c r="H1579" s="222"/>
    </row>
    <row r="1580">
      <c r="C1580" s="703"/>
      <c r="E1580" s="221"/>
      <c r="F1580" s="222"/>
      <c r="G1580" s="702"/>
      <c r="H1580" s="222"/>
    </row>
    <row r="1581">
      <c r="C1581" s="703"/>
      <c r="E1581" s="221"/>
      <c r="F1581" s="222"/>
      <c r="G1581" s="702"/>
      <c r="H1581" s="222"/>
    </row>
    <row r="1582">
      <c r="C1582" s="703"/>
      <c r="E1582" s="221"/>
      <c r="F1582" s="222"/>
      <c r="G1582" s="702"/>
      <c r="H1582" s="222"/>
    </row>
    <row r="1583">
      <c r="C1583" s="703"/>
      <c r="E1583" s="221"/>
      <c r="F1583" s="222"/>
      <c r="G1583" s="702"/>
      <c r="H1583" s="222"/>
    </row>
    <row r="1584">
      <c r="C1584" s="703"/>
      <c r="E1584" s="221"/>
      <c r="F1584" s="222"/>
      <c r="G1584" s="702"/>
      <c r="H1584" s="222"/>
    </row>
    <row r="1585">
      <c r="C1585" s="703"/>
      <c r="E1585" s="221"/>
      <c r="F1585" s="222"/>
      <c r="G1585" s="702"/>
      <c r="H1585" s="222"/>
    </row>
    <row r="1586">
      <c r="C1586" s="703"/>
      <c r="E1586" s="221"/>
      <c r="F1586" s="222"/>
      <c r="G1586" s="702"/>
      <c r="H1586" s="222"/>
    </row>
    <row r="1587">
      <c r="C1587" s="703"/>
      <c r="E1587" s="221"/>
      <c r="F1587" s="222"/>
      <c r="G1587" s="702"/>
      <c r="H1587" s="222"/>
    </row>
    <row r="1588">
      <c r="C1588" s="703"/>
      <c r="E1588" s="221"/>
      <c r="F1588" s="222"/>
      <c r="G1588" s="702"/>
      <c r="H1588" s="222"/>
    </row>
    <row r="1589">
      <c r="C1589" s="703"/>
      <c r="E1589" s="221"/>
      <c r="F1589" s="222"/>
      <c r="G1589" s="702"/>
      <c r="H1589" s="222"/>
    </row>
    <row r="1590">
      <c r="C1590" s="703"/>
      <c r="E1590" s="221"/>
      <c r="F1590" s="222"/>
      <c r="G1590" s="702"/>
      <c r="H1590" s="222"/>
    </row>
    <row r="1591">
      <c r="C1591" s="703"/>
      <c r="E1591" s="221"/>
      <c r="F1591" s="222"/>
      <c r="G1591" s="702"/>
      <c r="H1591" s="222"/>
    </row>
    <row r="1592">
      <c r="C1592" s="703"/>
      <c r="E1592" s="221"/>
      <c r="F1592" s="222"/>
      <c r="G1592" s="702"/>
      <c r="H1592" s="222"/>
    </row>
    <row r="1593">
      <c r="C1593" s="703"/>
      <c r="E1593" s="221"/>
      <c r="F1593" s="222"/>
      <c r="G1593" s="702"/>
      <c r="H1593" s="222"/>
    </row>
    <row r="1594">
      <c r="C1594" s="703"/>
      <c r="E1594" s="221"/>
      <c r="F1594" s="222"/>
      <c r="G1594" s="702"/>
      <c r="H1594" s="222"/>
    </row>
    <row r="1595">
      <c r="C1595" s="703"/>
      <c r="E1595" s="221"/>
      <c r="F1595" s="222"/>
      <c r="G1595" s="702"/>
      <c r="H1595" s="222"/>
    </row>
    <row r="1596">
      <c r="C1596" s="703"/>
      <c r="E1596" s="221"/>
      <c r="F1596" s="222"/>
      <c r="G1596" s="702"/>
      <c r="H1596" s="222"/>
    </row>
    <row r="1597">
      <c r="C1597" s="703"/>
      <c r="E1597" s="221"/>
      <c r="F1597" s="222"/>
      <c r="G1597" s="702"/>
      <c r="H1597" s="222"/>
    </row>
    <row r="1598">
      <c r="C1598" s="703"/>
      <c r="E1598" s="221"/>
      <c r="F1598" s="222"/>
      <c r="G1598" s="702"/>
      <c r="H1598" s="222"/>
    </row>
    <row r="1599">
      <c r="C1599" s="703"/>
      <c r="E1599" s="221"/>
      <c r="F1599" s="222"/>
      <c r="G1599" s="702"/>
      <c r="H1599" s="222"/>
    </row>
    <row r="1600">
      <c r="C1600" s="703"/>
      <c r="E1600" s="221"/>
      <c r="F1600" s="222"/>
      <c r="G1600" s="702"/>
      <c r="H1600" s="222"/>
    </row>
    <row r="1601">
      <c r="C1601" s="703"/>
      <c r="E1601" s="221"/>
      <c r="F1601" s="222"/>
      <c r="G1601" s="702"/>
      <c r="H1601" s="222"/>
    </row>
    <row r="1602">
      <c r="C1602" s="703"/>
      <c r="E1602" s="221"/>
      <c r="F1602" s="222"/>
      <c r="G1602" s="702"/>
      <c r="H1602" s="222"/>
    </row>
    <row r="1603">
      <c r="C1603" s="703"/>
      <c r="E1603" s="221"/>
      <c r="F1603" s="222"/>
      <c r="G1603" s="702"/>
      <c r="H1603" s="222"/>
    </row>
    <row r="1604">
      <c r="C1604" s="703"/>
      <c r="E1604" s="221"/>
      <c r="F1604" s="222"/>
      <c r="G1604" s="702"/>
      <c r="H1604" s="222"/>
    </row>
    <row r="1605">
      <c r="C1605" s="703"/>
      <c r="E1605" s="221"/>
      <c r="F1605" s="222"/>
      <c r="G1605" s="702"/>
      <c r="H1605" s="222"/>
    </row>
    <row r="1606">
      <c r="C1606" s="703"/>
      <c r="E1606" s="221"/>
      <c r="F1606" s="222"/>
      <c r="G1606" s="702"/>
      <c r="H1606" s="222"/>
    </row>
    <row r="1607">
      <c r="C1607" s="703"/>
      <c r="E1607" s="221"/>
      <c r="F1607" s="222"/>
      <c r="G1607" s="702"/>
      <c r="H1607" s="222"/>
    </row>
    <row r="1608">
      <c r="C1608" s="703"/>
      <c r="E1608" s="221"/>
      <c r="F1608" s="222"/>
      <c r="G1608" s="702"/>
      <c r="H1608" s="222"/>
    </row>
    <row r="1609">
      <c r="C1609" s="703"/>
      <c r="E1609" s="221"/>
      <c r="F1609" s="222"/>
      <c r="G1609" s="702"/>
      <c r="H1609" s="222"/>
    </row>
    <row r="1610">
      <c r="C1610" s="703"/>
      <c r="E1610" s="221"/>
      <c r="F1610" s="222"/>
      <c r="G1610" s="702"/>
      <c r="H1610" s="222"/>
    </row>
    <row r="1611">
      <c r="C1611" s="703"/>
      <c r="E1611" s="221"/>
      <c r="F1611" s="222"/>
      <c r="G1611" s="702"/>
      <c r="H1611" s="222"/>
    </row>
    <row r="1612">
      <c r="C1612" s="703"/>
      <c r="E1612" s="221"/>
      <c r="F1612" s="222"/>
      <c r="G1612" s="702"/>
      <c r="H1612" s="222"/>
    </row>
    <row r="1613">
      <c r="C1613" s="703"/>
      <c r="E1613" s="221"/>
      <c r="F1613" s="222"/>
      <c r="G1613" s="702"/>
      <c r="H1613" s="222"/>
    </row>
    <row r="1614">
      <c r="C1614" s="703"/>
      <c r="E1614" s="221"/>
      <c r="F1614" s="222"/>
      <c r="G1614" s="702"/>
      <c r="H1614" s="222"/>
    </row>
    <row r="1615">
      <c r="C1615" s="703"/>
      <c r="E1615" s="221"/>
      <c r="F1615" s="222"/>
      <c r="G1615" s="702"/>
      <c r="H1615" s="222"/>
    </row>
    <row r="1616">
      <c r="C1616" s="703"/>
      <c r="E1616" s="221"/>
      <c r="F1616" s="222"/>
      <c r="G1616" s="702"/>
      <c r="H1616" s="222"/>
    </row>
    <row r="1617">
      <c r="C1617" s="703"/>
      <c r="E1617" s="221"/>
      <c r="F1617" s="222"/>
      <c r="G1617" s="702"/>
      <c r="H1617" s="222"/>
    </row>
    <row r="1618">
      <c r="C1618" s="703"/>
      <c r="E1618" s="221"/>
      <c r="F1618" s="222"/>
      <c r="G1618" s="702"/>
      <c r="H1618" s="222"/>
    </row>
    <row r="1619">
      <c r="C1619" s="703"/>
      <c r="E1619" s="221"/>
      <c r="F1619" s="222"/>
      <c r="G1619" s="702"/>
      <c r="H1619" s="222"/>
    </row>
    <row r="1620">
      <c r="C1620" s="703"/>
      <c r="E1620" s="221"/>
      <c r="F1620" s="222"/>
      <c r="G1620" s="702"/>
      <c r="H1620" s="222"/>
    </row>
    <row r="1621">
      <c r="C1621" s="703"/>
      <c r="E1621" s="221"/>
      <c r="F1621" s="222"/>
      <c r="G1621" s="702"/>
      <c r="H1621" s="222"/>
    </row>
    <row r="1622">
      <c r="C1622" s="703"/>
      <c r="E1622" s="221"/>
      <c r="F1622" s="222"/>
      <c r="G1622" s="702"/>
      <c r="H1622" s="222"/>
    </row>
    <row r="1623">
      <c r="C1623" s="703"/>
      <c r="E1623" s="221"/>
      <c r="F1623" s="222"/>
      <c r="G1623" s="702"/>
      <c r="H1623" s="222"/>
    </row>
    <row r="1624">
      <c r="C1624" s="703"/>
      <c r="E1624" s="221"/>
      <c r="F1624" s="222"/>
      <c r="G1624" s="702"/>
      <c r="H1624" s="222"/>
    </row>
    <row r="1625">
      <c r="C1625" s="703"/>
      <c r="E1625" s="221"/>
      <c r="F1625" s="222"/>
      <c r="G1625" s="702"/>
      <c r="H1625" s="222"/>
    </row>
    <row r="1626">
      <c r="C1626" s="703"/>
      <c r="E1626" s="221"/>
      <c r="F1626" s="222"/>
      <c r="G1626" s="702"/>
      <c r="H1626" s="222"/>
    </row>
    <row r="1627">
      <c r="C1627" s="703"/>
      <c r="E1627" s="221"/>
      <c r="F1627" s="222"/>
      <c r="G1627" s="702"/>
      <c r="H1627" s="222"/>
    </row>
    <row r="1628">
      <c r="C1628" s="703"/>
      <c r="E1628" s="221"/>
      <c r="F1628" s="222"/>
      <c r="G1628" s="702"/>
      <c r="H1628" s="222"/>
    </row>
    <row r="1629">
      <c r="C1629" s="703"/>
      <c r="E1629" s="221"/>
      <c r="F1629" s="222"/>
      <c r="G1629" s="702"/>
      <c r="H1629" s="222"/>
    </row>
    <row r="1630">
      <c r="C1630" s="703"/>
      <c r="E1630" s="221"/>
      <c r="F1630" s="222"/>
      <c r="G1630" s="702"/>
      <c r="H1630" s="222"/>
    </row>
    <row r="1631">
      <c r="C1631" s="703"/>
      <c r="E1631" s="221"/>
      <c r="F1631" s="222"/>
      <c r="G1631" s="702"/>
      <c r="H1631" s="222"/>
    </row>
    <row r="1632">
      <c r="C1632" s="703"/>
      <c r="E1632" s="221"/>
      <c r="F1632" s="222"/>
      <c r="G1632" s="702"/>
      <c r="H1632" s="222"/>
    </row>
    <row r="1633">
      <c r="C1633" s="703"/>
      <c r="E1633" s="221"/>
      <c r="F1633" s="222"/>
      <c r="G1633" s="702"/>
      <c r="H1633" s="222"/>
    </row>
    <row r="1634">
      <c r="C1634" s="703"/>
      <c r="E1634" s="221"/>
      <c r="F1634" s="222"/>
      <c r="G1634" s="702"/>
      <c r="H1634" s="222"/>
    </row>
    <row r="1635">
      <c r="C1635" s="703"/>
      <c r="E1635" s="221"/>
      <c r="F1635" s="222"/>
      <c r="G1635" s="702"/>
      <c r="H1635" s="222"/>
    </row>
    <row r="1636">
      <c r="C1636" s="703"/>
      <c r="E1636" s="221"/>
      <c r="F1636" s="222"/>
      <c r="G1636" s="702"/>
      <c r="H1636" s="222"/>
    </row>
    <row r="1637">
      <c r="C1637" s="703"/>
      <c r="E1637" s="221"/>
      <c r="F1637" s="222"/>
      <c r="G1637" s="702"/>
      <c r="H1637" s="222"/>
    </row>
    <row r="1638">
      <c r="C1638" s="703"/>
      <c r="E1638" s="221"/>
      <c r="F1638" s="222"/>
      <c r="G1638" s="702"/>
      <c r="H1638" s="222"/>
    </row>
    <row r="1639">
      <c r="C1639" s="703"/>
      <c r="E1639" s="221"/>
      <c r="F1639" s="222"/>
      <c r="G1639" s="702"/>
      <c r="H1639" s="222"/>
    </row>
    <row r="1640">
      <c r="C1640" s="703"/>
      <c r="E1640" s="221"/>
      <c r="F1640" s="222"/>
      <c r="G1640" s="702"/>
      <c r="H1640" s="222"/>
    </row>
    <row r="1641">
      <c r="C1641" s="703"/>
      <c r="E1641" s="221"/>
      <c r="F1641" s="222"/>
      <c r="G1641" s="702"/>
      <c r="H1641" s="222"/>
    </row>
    <row r="1642">
      <c r="C1642" s="703"/>
      <c r="E1642" s="221"/>
      <c r="F1642" s="222"/>
      <c r="G1642" s="702"/>
      <c r="H1642" s="222"/>
    </row>
    <row r="1643">
      <c r="C1643" s="703"/>
      <c r="E1643" s="221"/>
      <c r="F1643" s="222"/>
      <c r="G1643" s="702"/>
      <c r="H1643" s="222"/>
    </row>
    <row r="1644">
      <c r="C1644" s="703"/>
      <c r="E1644" s="221"/>
      <c r="F1644" s="222"/>
      <c r="G1644" s="702"/>
      <c r="H1644" s="222"/>
    </row>
    <row r="1645">
      <c r="C1645" s="703"/>
      <c r="E1645" s="221"/>
      <c r="F1645" s="222"/>
      <c r="G1645" s="702"/>
      <c r="H1645" s="222"/>
    </row>
    <row r="1646">
      <c r="C1646" s="703"/>
      <c r="E1646" s="221"/>
      <c r="F1646" s="222"/>
      <c r="G1646" s="702"/>
      <c r="H1646" s="222"/>
    </row>
    <row r="1647">
      <c r="C1647" s="703"/>
      <c r="E1647" s="221"/>
      <c r="F1647" s="222"/>
      <c r="G1647" s="702"/>
      <c r="H1647" s="222"/>
    </row>
    <row r="1648">
      <c r="C1648" s="703"/>
      <c r="E1648" s="221"/>
      <c r="F1648" s="222"/>
      <c r="G1648" s="702"/>
      <c r="H1648" s="222"/>
    </row>
    <row r="1649">
      <c r="C1649" s="703"/>
      <c r="E1649" s="221"/>
      <c r="F1649" s="222"/>
      <c r="G1649" s="702"/>
      <c r="H1649" s="222"/>
    </row>
    <row r="1650">
      <c r="C1650" s="703"/>
      <c r="E1650" s="221"/>
      <c r="F1650" s="222"/>
      <c r="G1650" s="702"/>
      <c r="H1650" s="222"/>
    </row>
    <row r="1651">
      <c r="C1651" s="703"/>
      <c r="E1651" s="221"/>
      <c r="F1651" s="222"/>
      <c r="G1651" s="702"/>
      <c r="H1651" s="222"/>
    </row>
    <row r="1652">
      <c r="C1652" s="703"/>
      <c r="E1652" s="221"/>
      <c r="F1652" s="222"/>
      <c r="G1652" s="702"/>
      <c r="H1652" s="222"/>
    </row>
    <row r="1653">
      <c r="C1653" s="703"/>
      <c r="E1653" s="221"/>
      <c r="F1653" s="222"/>
      <c r="G1653" s="702"/>
      <c r="H1653" s="222"/>
    </row>
    <row r="1654">
      <c r="C1654" s="703"/>
      <c r="E1654" s="221"/>
      <c r="F1654" s="222"/>
      <c r="G1654" s="702"/>
      <c r="H1654" s="222"/>
    </row>
    <row r="1655">
      <c r="C1655" s="703"/>
      <c r="E1655" s="221"/>
      <c r="F1655" s="222"/>
      <c r="G1655" s="702"/>
      <c r="H1655" s="222"/>
    </row>
    <row r="1656">
      <c r="C1656" s="703"/>
      <c r="E1656" s="221"/>
      <c r="F1656" s="222"/>
      <c r="G1656" s="702"/>
      <c r="H1656" s="222"/>
    </row>
    <row r="1657">
      <c r="C1657" s="703"/>
      <c r="E1657" s="221"/>
      <c r="F1657" s="222"/>
      <c r="G1657" s="702"/>
      <c r="H1657" s="222"/>
    </row>
    <row r="1658">
      <c r="C1658" s="703"/>
      <c r="E1658" s="221"/>
      <c r="F1658" s="222"/>
      <c r="G1658" s="702"/>
      <c r="H1658" s="222"/>
    </row>
    <row r="1659">
      <c r="C1659" s="703"/>
      <c r="E1659" s="221"/>
      <c r="F1659" s="222"/>
      <c r="G1659" s="702"/>
      <c r="H1659" s="222"/>
    </row>
    <row r="1660">
      <c r="C1660" s="703"/>
      <c r="E1660" s="221"/>
      <c r="F1660" s="222"/>
      <c r="G1660" s="702"/>
      <c r="H1660" s="222"/>
    </row>
    <row r="1661">
      <c r="C1661" s="703"/>
      <c r="E1661" s="221"/>
      <c r="F1661" s="222"/>
      <c r="G1661" s="702"/>
      <c r="H1661" s="222"/>
    </row>
    <row r="1662">
      <c r="C1662" s="703"/>
      <c r="E1662" s="221"/>
      <c r="F1662" s="222"/>
      <c r="G1662" s="702"/>
      <c r="H1662" s="222"/>
    </row>
    <row r="1663">
      <c r="C1663" s="703"/>
      <c r="E1663" s="221"/>
      <c r="F1663" s="222"/>
      <c r="G1663" s="702"/>
      <c r="H1663" s="222"/>
    </row>
    <row r="1664">
      <c r="C1664" s="703"/>
      <c r="E1664" s="221"/>
      <c r="F1664" s="222"/>
      <c r="G1664" s="702"/>
      <c r="H1664" s="222"/>
    </row>
    <row r="1665">
      <c r="C1665" s="703"/>
      <c r="E1665" s="221"/>
      <c r="F1665" s="222"/>
      <c r="G1665" s="702"/>
      <c r="H1665" s="222"/>
    </row>
    <row r="1666">
      <c r="C1666" s="703"/>
      <c r="E1666" s="221"/>
      <c r="F1666" s="222"/>
      <c r="G1666" s="702"/>
      <c r="H1666" s="222"/>
    </row>
    <row r="1667">
      <c r="C1667" s="703"/>
      <c r="E1667" s="221"/>
      <c r="F1667" s="222"/>
      <c r="G1667" s="702"/>
      <c r="H1667" s="222"/>
    </row>
    <row r="1668">
      <c r="C1668" s="703"/>
      <c r="E1668" s="221"/>
      <c r="F1668" s="222"/>
      <c r="G1668" s="702"/>
      <c r="H1668" s="222"/>
    </row>
    <row r="1669">
      <c r="C1669" s="703"/>
      <c r="E1669" s="221"/>
      <c r="F1669" s="222"/>
      <c r="G1669" s="702"/>
      <c r="H1669" s="222"/>
    </row>
    <row r="1670">
      <c r="C1670" s="703"/>
      <c r="E1670" s="221"/>
      <c r="F1670" s="222"/>
      <c r="G1670" s="702"/>
      <c r="H1670" s="222"/>
    </row>
    <row r="1671">
      <c r="C1671" s="703"/>
      <c r="E1671" s="221"/>
      <c r="F1671" s="222"/>
      <c r="G1671" s="702"/>
      <c r="H1671" s="222"/>
    </row>
    <row r="1672">
      <c r="C1672" s="703"/>
      <c r="E1672" s="221"/>
      <c r="F1672" s="222"/>
      <c r="G1672" s="702"/>
      <c r="H1672" s="222"/>
    </row>
    <row r="1673">
      <c r="C1673" s="703"/>
      <c r="E1673" s="221"/>
      <c r="F1673" s="222"/>
      <c r="G1673" s="702"/>
      <c r="H1673" s="222"/>
    </row>
    <row r="1674">
      <c r="C1674" s="703"/>
      <c r="E1674" s="221"/>
      <c r="F1674" s="222"/>
      <c r="G1674" s="702"/>
      <c r="H1674" s="222"/>
    </row>
    <row r="1675">
      <c r="C1675" s="703"/>
      <c r="E1675" s="221"/>
      <c r="F1675" s="222"/>
      <c r="G1675" s="702"/>
      <c r="H1675" s="222"/>
    </row>
    <row r="1676">
      <c r="C1676" s="703"/>
      <c r="E1676" s="221"/>
      <c r="F1676" s="222"/>
      <c r="G1676" s="702"/>
      <c r="H1676" s="222"/>
    </row>
    <row r="1677">
      <c r="C1677" s="703"/>
      <c r="E1677" s="221"/>
      <c r="F1677" s="222"/>
      <c r="G1677" s="702"/>
      <c r="H1677" s="222"/>
    </row>
    <row r="1678">
      <c r="C1678" s="703"/>
      <c r="E1678" s="221"/>
      <c r="F1678" s="222"/>
      <c r="G1678" s="702"/>
      <c r="H1678" s="222"/>
    </row>
    <row r="1679">
      <c r="C1679" s="703"/>
      <c r="E1679" s="221"/>
      <c r="F1679" s="222"/>
      <c r="G1679" s="702"/>
      <c r="H1679" s="222"/>
    </row>
    <row r="1680">
      <c r="C1680" s="703"/>
      <c r="E1680" s="221"/>
      <c r="F1680" s="222"/>
      <c r="G1680" s="702"/>
      <c r="H1680" s="222"/>
    </row>
    <row r="1681">
      <c r="C1681" s="703"/>
      <c r="E1681" s="221"/>
      <c r="F1681" s="222"/>
      <c r="G1681" s="702"/>
      <c r="H1681" s="222"/>
    </row>
    <row r="1682">
      <c r="C1682" s="703"/>
      <c r="E1682" s="221"/>
      <c r="F1682" s="222"/>
      <c r="G1682" s="702"/>
      <c r="H1682" s="222"/>
    </row>
    <row r="1683">
      <c r="C1683" s="703"/>
      <c r="E1683" s="221"/>
      <c r="F1683" s="222"/>
      <c r="G1683" s="702"/>
      <c r="H1683" s="222"/>
    </row>
    <row r="1684">
      <c r="C1684" s="703"/>
      <c r="E1684" s="221"/>
      <c r="F1684" s="222"/>
      <c r="G1684" s="702"/>
      <c r="H1684" s="222"/>
    </row>
    <row r="1685">
      <c r="C1685" s="703"/>
      <c r="E1685" s="221"/>
      <c r="F1685" s="222"/>
      <c r="G1685" s="702"/>
      <c r="H1685" s="222"/>
    </row>
    <row r="1686">
      <c r="C1686" s="703"/>
      <c r="E1686" s="221"/>
      <c r="F1686" s="222"/>
      <c r="G1686" s="702"/>
      <c r="H1686" s="222"/>
    </row>
    <row r="1687">
      <c r="C1687" s="703"/>
      <c r="E1687" s="221"/>
      <c r="F1687" s="222"/>
      <c r="G1687" s="702"/>
      <c r="H1687" s="222"/>
    </row>
    <row r="1688">
      <c r="C1688" s="703"/>
      <c r="E1688" s="221"/>
      <c r="F1688" s="222"/>
      <c r="G1688" s="702"/>
      <c r="H1688" s="222"/>
    </row>
    <row r="1689">
      <c r="C1689" s="703"/>
      <c r="E1689" s="221"/>
      <c r="F1689" s="222"/>
      <c r="G1689" s="702"/>
      <c r="H1689" s="222"/>
    </row>
    <row r="1690">
      <c r="C1690" s="703"/>
      <c r="E1690" s="221"/>
      <c r="F1690" s="222"/>
      <c r="G1690" s="702"/>
      <c r="H1690" s="222"/>
    </row>
    <row r="1691">
      <c r="C1691" s="703"/>
      <c r="E1691" s="221"/>
      <c r="F1691" s="222"/>
      <c r="G1691" s="702"/>
      <c r="H1691" s="222"/>
    </row>
    <row r="1692">
      <c r="C1692" s="703"/>
      <c r="E1692" s="221"/>
      <c r="F1692" s="222"/>
      <c r="G1692" s="702"/>
      <c r="H1692" s="222"/>
    </row>
    <row r="1693">
      <c r="C1693" s="703"/>
      <c r="E1693" s="221"/>
      <c r="F1693" s="222"/>
      <c r="G1693" s="702"/>
      <c r="H1693" s="222"/>
    </row>
    <row r="1694">
      <c r="C1694" s="703"/>
      <c r="E1694" s="221"/>
      <c r="F1694" s="222"/>
      <c r="G1694" s="702"/>
      <c r="H1694" s="222"/>
    </row>
    <row r="1695">
      <c r="C1695" s="703"/>
      <c r="E1695" s="221"/>
      <c r="F1695" s="222"/>
      <c r="G1695" s="702"/>
      <c r="H1695" s="222"/>
    </row>
    <row r="1696">
      <c r="C1696" s="703"/>
      <c r="E1696" s="221"/>
      <c r="F1696" s="222"/>
      <c r="G1696" s="702"/>
      <c r="H1696" s="222"/>
    </row>
    <row r="1697">
      <c r="C1697" s="703"/>
      <c r="E1697" s="221"/>
      <c r="F1697" s="222"/>
      <c r="G1697" s="702"/>
      <c r="H1697" s="222"/>
    </row>
    <row r="1698">
      <c r="C1698" s="703"/>
      <c r="E1698" s="221"/>
      <c r="F1698" s="222"/>
      <c r="G1698" s="702"/>
      <c r="H1698" s="222"/>
    </row>
    <row r="1699">
      <c r="C1699" s="703"/>
      <c r="E1699" s="221"/>
      <c r="F1699" s="222"/>
      <c r="G1699" s="702"/>
      <c r="H1699" s="222"/>
    </row>
    <row r="1700">
      <c r="C1700" s="703"/>
      <c r="E1700" s="221"/>
      <c r="F1700" s="222"/>
      <c r="G1700" s="702"/>
      <c r="H1700" s="222"/>
    </row>
    <row r="1701">
      <c r="C1701" s="703"/>
      <c r="E1701" s="221"/>
      <c r="F1701" s="222"/>
      <c r="G1701" s="702"/>
      <c r="H1701" s="222"/>
    </row>
    <row r="1702">
      <c r="C1702" s="703"/>
      <c r="E1702" s="221"/>
      <c r="F1702" s="222"/>
      <c r="G1702" s="702"/>
      <c r="H1702" s="222"/>
    </row>
    <row r="1703">
      <c r="C1703" s="703"/>
      <c r="E1703" s="221"/>
      <c r="F1703" s="222"/>
      <c r="G1703" s="702"/>
      <c r="H1703" s="222"/>
    </row>
    <row r="1704">
      <c r="C1704" s="703"/>
      <c r="E1704" s="221"/>
      <c r="F1704" s="222"/>
      <c r="G1704" s="702"/>
      <c r="H1704" s="222"/>
    </row>
    <row r="1705">
      <c r="C1705" s="703"/>
      <c r="E1705" s="221"/>
      <c r="F1705" s="222"/>
      <c r="G1705" s="702"/>
      <c r="H1705" s="222"/>
    </row>
    <row r="1706">
      <c r="C1706" s="703"/>
      <c r="E1706" s="221"/>
      <c r="F1706" s="222"/>
      <c r="G1706" s="702"/>
      <c r="H1706" s="222"/>
    </row>
    <row r="1707">
      <c r="C1707" s="703"/>
      <c r="E1707" s="221"/>
      <c r="F1707" s="222"/>
      <c r="G1707" s="702"/>
      <c r="H1707" s="222"/>
    </row>
    <row r="1708">
      <c r="C1708" s="703"/>
      <c r="E1708" s="221"/>
      <c r="F1708" s="222"/>
      <c r="G1708" s="702"/>
      <c r="H1708" s="222"/>
    </row>
    <row r="1709">
      <c r="C1709" s="703"/>
      <c r="E1709" s="221"/>
      <c r="F1709" s="222"/>
      <c r="G1709" s="702"/>
      <c r="H1709" s="222"/>
    </row>
    <row r="1710">
      <c r="C1710" s="703"/>
      <c r="E1710" s="221"/>
      <c r="F1710" s="222"/>
      <c r="G1710" s="702"/>
      <c r="H1710" s="222"/>
    </row>
    <row r="1711">
      <c r="C1711" s="703"/>
      <c r="E1711" s="221"/>
      <c r="F1711" s="222"/>
      <c r="G1711" s="702"/>
      <c r="H1711" s="222"/>
    </row>
    <row r="1712">
      <c r="C1712" s="703"/>
      <c r="E1712" s="221"/>
      <c r="F1712" s="222"/>
      <c r="G1712" s="702"/>
      <c r="H1712" s="222"/>
    </row>
    <row r="1713">
      <c r="C1713" s="703"/>
      <c r="E1713" s="221"/>
      <c r="F1713" s="222"/>
      <c r="G1713" s="702"/>
      <c r="H1713" s="222"/>
    </row>
    <row r="1714">
      <c r="C1714" s="703"/>
      <c r="E1714" s="221"/>
      <c r="F1714" s="222"/>
      <c r="G1714" s="702"/>
      <c r="H1714" s="222"/>
    </row>
    <row r="1715">
      <c r="C1715" s="703"/>
      <c r="E1715" s="221"/>
      <c r="F1715" s="222"/>
      <c r="G1715" s="702"/>
      <c r="H1715" s="222"/>
    </row>
    <row r="1716">
      <c r="C1716" s="703"/>
      <c r="E1716" s="221"/>
      <c r="F1716" s="222"/>
      <c r="G1716" s="702"/>
      <c r="H1716" s="222"/>
    </row>
    <row r="1717">
      <c r="C1717" s="703"/>
      <c r="E1717" s="221"/>
      <c r="F1717" s="222"/>
      <c r="G1717" s="702"/>
      <c r="H1717" s="222"/>
    </row>
    <row r="1718">
      <c r="C1718" s="703"/>
      <c r="E1718" s="221"/>
      <c r="F1718" s="222"/>
      <c r="G1718" s="702"/>
      <c r="H1718" s="222"/>
    </row>
    <row r="1719">
      <c r="C1719" s="703"/>
      <c r="E1719" s="221"/>
      <c r="F1719" s="222"/>
      <c r="G1719" s="702"/>
      <c r="H1719" s="222"/>
    </row>
    <row r="1720">
      <c r="C1720" s="703"/>
      <c r="E1720" s="221"/>
      <c r="F1720" s="222"/>
      <c r="G1720" s="702"/>
      <c r="H1720" s="222"/>
    </row>
    <row r="1721">
      <c r="C1721" s="703"/>
      <c r="E1721" s="221"/>
      <c r="F1721" s="222"/>
      <c r="G1721" s="702"/>
      <c r="H1721" s="222"/>
    </row>
    <row r="1722">
      <c r="C1722" s="703"/>
      <c r="E1722" s="221"/>
      <c r="F1722" s="222"/>
      <c r="G1722" s="702"/>
      <c r="H1722" s="222"/>
    </row>
    <row r="1723">
      <c r="C1723" s="703"/>
      <c r="E1723" s="221"/>
      <c r="F1723" s="222"/>
      <c r="G1723" s="702"/>
      <c r="H1723" s="222"/>
    </row>
    <row r="1724">
      <c r="C1724" s="703"/>
      <c r="E1724" s="221"/>
      <c r="F1724" s="222"/>
      <c r="G1724" s="702"/>
      <c r="H1724" s="222"/>
    </row>
    <row r="1725">
      <c r="C1725" s="703"/>
      <c r="E1725" s="221"/>
      <c r="F1725" s="222"/>
      <c r="G1725" s="702"/>
      <c r="H1725" s="222"/>
    </row>
    <row r="1726">
      <c r="C1726" s="703"/>
      <c r="E1726" s="221"/>
      <c r="F1726" s="222"/>
      <c r="G1726" s="702"/>
      <c r="H1726" s="222"/>
    </row>
    <row r="1727">
      <c r="C1727" s="703"/>
      <c r="E1727" s="221"/>
      <c r="F1727" s="222"/>
      <c r="G1727" s="702"/>
      <c r="H1727" s="222"/>
    </row>
    <row r="1728">
      <c r="C1728" s="703"/>
      <c r="E1728" s="221"/>
      <c r="F1728" s="222"/>
      <c r="G1728" s="702"/>
      <c r="H1728" s="222"/>
    </row>
    <row r="1729">
      <c r="C1729" s="703"/>
      <c r="E1729" s="221"/>
      <c r="F1729" s="222"/>
      <c r="G1729" s="702"/>
      <c r="H1729" s="222"/>
    </row>
    <row r="1730">
      <c r="C1730" s="703"/>
      <c r="E1730" s="221"/>
      <c r="F1730" s="222"/>
      <c r="G1730" s="702"/>
      <c r="H1730" s="222"/>
    </row>
    <row r="1731">
      <c r="C1731" s="703"/>
      <c r="E1731" s="221"/>
      <c r="F1731" s="222"/>
      <c r="G1731" s="702"/>
      <c r="H1731" s="222"/>
    </row>
    <row r="1732">
      <c r="C1732" s="703"/>
      <c r="E1732" s="221"/>
      <c r="F1732" s="222"/>
      <c r="G1732" s="702"/>
      <c r="H1732" s="222"/>
    </row>
    <row r="1733">
      <c r="C1733" s="703"/>
      <c r="E1733" s="221"/>
      <c r="F1733" s="222"/>
      <c r="G1733" s="702"/>
      <c r="H1733" s="222"/>
    </row>
    <row r="1734">
      <c r="C1734" s="703"/>
      <c r="E1734" s="221"/>
      <c r="F1734" s="222"/>
      <c r="G1734" s="702"/>
      <c r="H1734" s="222"/>
    </row>
    <row r="1735">
      <c r="C1735" s="703"/>
      <c r="E1735" s="221"/>
      <c r="F1735" s="222"/>
      <c r="G1735" s="702"/>
      <c r="H1735" s="222"/>
    </row>
    <row r="1736">
      <c r="C1736" s="703"/>
      <c r="E1736" s="221"/>
      <c r="F1736" s="222"/>
      <c r="G1736" s="702"/>
      <c r="H1736" s="222"/>
    </row>
    <row r="1737">
      <c r="C1737" s="703"/>
      <c r="E1737" s="221"/>
      <c r="F1737" s="222"/>
      <c r="G1737" s="702"/>
      <c r="H1737" s="222"/>
    </row>
    <row r="1738">
      <c r="C1738" s="703"/>
      <c r="E1738" s="221"/>
      <c r="F1738" s="222"/>
      <c r="G1738" s="702"/>
      <c r="H1738" s="222"/>
    </row>
    <row r="1739">
      <c r="C1739" s="703"/>
      <c r="E1739" s="221"/>
      <c r="F1739" s="222"/>
      <c r="G1739" s="702"/>
      <c r="H1739" s="222"/>
    </row>
    <row r="1740">
      <c r="C1740" s="703"/>
      <c r="E1740" s="221"/>
      <c r="F1740" s="222"/>
      <c r="G1740" s="702"/>
      <c r="H1740" s="222"/>
    </row>
    <row r="1741">
      <c r="C1741" s="703"/>
      <c r="E1741" s="221"/>
      <c r="F1741" s="222"/>
      <c r="G1741" s="702"/>
      <c r="H1741" s="222"/>
    </row>
    <row r="1742">
      <c r="C1742" s="703"/>
      <c r="E1742" s="221"/>
      <c r="F1742" s="222"/>
      <c r="G1742" s="702"/>
      <c r="H1742" s="222"/>
    </row>
    <row r="1743">
      <c r="C1743" s="703"/>
      <c r="E1743" s="221"/>
      <c r="F1743" s="222"/>
      <c r="G1743" s="702"/>
      <c r="H1743" s="222"/>
    </row>
    <row r="1744">
      <c r="C1744" s="703"/>
      <c r="E1744" s="221"/>
      <c r="F1744" s="222"/>
      <c r="G1744" s="702"/>
      <c r="H1744" s="222"/>
    </row>
    <row r="1745">
      <c r="C1745" s="703"/>
      <c r="E1745" s="221"/>
      <c r="F1745" s="222"/>
      <c r="G1745" s="702"/>
      <c r="H1745" s="222"/>
    </row>
    <row r="1746">
      <c r="C1746" s="703"/>
      <c r="E1746" s="221"/>
      <c r="F1746" s="222"/>
      <c r="G1746" s="702"/>
      <c r="H1746" s="222"/>
    </row>
    <row r="1747">
      <c r="C1747" s="703"/>
      <c r="E1747" s="221"/>
      <c r="F1747" s="222"/>
      <c r="G1747" s="702"/>
      <c r="H1747" s="222"/>
    </row>
    <row r="1748">
      <c r="C1748" s="703"/>
      <c r="E1748" s="221"/>
      <c r="F1748" s="222"/>
      <c r="G1748" s="702"/>
      <c r="H1748" s="222"/>
    </row>
    <row r="1749">
      <c r="C1749" s="703"/>
      <c r="E1749" s="221"/>
      <c r="F1749" s="222"/>
      <c r="G1749" s="702"/>
      <c r="H1749" s="222"/>
    </row>
    <row r="1750">
      <c r="C1750" s="703"/>
      <c r="E1750" s="221"/>
      <c r="F1750" s="222"/>
      <c r="G1750" s="702"/>
      <c r="H1750" s="222"/>
    </row>
    <row r="1751">
      <c r="C1751" s="703"/>
      <c r="E1751" s="221"/>
      <c r="F1751" s="222"/>
      <c r="G1751" s="702"/>
      <c r="H1751" s="222"/>
    </row>
    <row r="1752">
      <c r="C1752" s="703"/>
      <c r="E1752" s="221"/>
      <c r="F1752" s="222"/>
      <c r="G1752" s="702"/>
      <c r="H1752" s="222"/>
    </row>
    <row r="1753">
      <c r="C1753" s="703"/>
      <c r="E1753" s="221"/>
      <c r="F1753" s="222"/>
      <c r="G1753" s="702"/>
      <c r="H1753" s="222"/>
    </row>
    <row r="1754">
      <c r="C1754" s="703"/>
      <c r="E1754" s="221"/>
      <c r="F1754" s="222"/>
      <c r="G1754" s="702"/>
      <c r="H1754" s="222"/>
    </row>
    <row r="1755">
      <c r="C1755" s="703"/>
      <c r="E1755" s="221"/>
      <c r="F1755" s="222"/>
      <c r="G1755" s="702"/>
      <c r="H1755" s="222"/>
    </row>
    <row r="1756">
      <c r="C1756" s="703"/>
      <c r="E1756" s="221"/>
      <c r="F1756" s="222"/>
      <c r="G1756" s="702"/>
      <c r="H1756" s="222"/>
    </row>
    <row r="1757">
      <c r="C1757" s="703"/>
      <c r="E1757" s="221"/>
      <c r="F1757" s="222"/>
      <c r="G1757" s="702"/>
      <c r="H1757" s="222"/>
    </row>
    <row r="1758">
      <c r="C1758" s="703"/>
      <c r="E1758" s="221"/>
      <c r="F1758" s="222"/>
      <c r="G1758" s="702"/>
      <c r="H1758" s="222"/>
    </row>
    <row r="1759">
      <c r="C1759" s="703"/>
      <c r="E1759" s="221"/>
      <c r="F1759" s="222"/>
      <c r="G1759" s="702"/>
      <c r="H1759" s="222"/>
    </row>
    <row r="1760">
      <c r="C1760" s="703"/>
      <c r="E1760" s="221"/>
      <c r="F1760" s="222"/>
      <c r="G1760" s="702"/>
      <c r="H1760" s="222"/>
    </row>
    <row r="1761">
      <c r="C1761" s="703"/>
      <c r="E1761" s="221"/>
      <c r="F1761" s="222"/>
      <c r="G1761" s="702"/>
      <c r="H1761" s="222"/>
    </row>
    <row r="1762">
      <c r="C1762" s="703"/>
      <c r="E1762" s="221"/>
      <c r="F1762" s="222"/>
      <c r="G1762" s="702"/>
      <c r="H1762" s="222"/>
    </row>
    <row r="1763">
      <c r="C1763" s="703"/>
      <c r="E1763" s="221"/>
      <c r="F1763" s="222"/>
      <c r="G1763" s="702"/>
      <c r="H1763" s="222"/>
    </row>
    <row r="1764">
      <c r="C1764" s="703"/>
      <c r="E1764" s="221"/>
      <c r="F1764" s="222"/>
      <c r="G1764" s="702"/>
      <c r="H1764" s="222"/>
    </row>
    <row r="1765">
      <c r="C1765" s="703"/>
      <c r="E1765" s="221"/>
      <c r="F1765" s="222"/>
      <c r="G1765" s="702"/>
      <c r="H1765" s="222"/>
    </row>
    <row r="1766">
      <c r="C1766" s="703"/>
      <c r="E1766" s="221"/>
      <c r="F1766" s="222"/>
      <c r="G1766" s="702"/>
      <c r="H1766" s="222"/>
    </row>
    <row r="1767">
      <c r="C1767" s="703"/>
      <c r="E1767" s="221"/>
      <c r="F1767" s="222"/>
      <c r="G1767" s="702"/>
      <c r="H1767" s="222"/>
    </row>
    <row r="1768">
      <c r="C1768" s="703"/>
      <c r="E1768" s="221"/>
      <c r="F1768" s="222"/>
      <c r="G1768" s="702"/>
      <c r="H1768" s="222"/>
    </row>
    <row r="1769">
      <c r="C1769" s="703"/>
      <c r="E1769" s="221"/>
      <c r="F1769" s="222"/>
      <c r="G1769" s="702"/>
      <c r="H1769" s="222"/>
    </row>
    <row r="1770">
      <c r="C1770" s="703"/>
      <c r="E1770" s="221"/>
      <c r="F1770" s="222"/>
      <c r="G1770" s="702"/>
      <c r="H1770" s="222"/>
    </row>
    <row r="1771">
      <c r="C1771" s="703"/>
      <c r="E1771" s="221"/>
      <c r="F1771" s="222"/>
      <c r="G1771" s="702"/>
      <c r="H1771" s="222"/>
    </row>
    <row r="1772">
      <c r="C1772" s="703"/>
      <c r="E1772" s="221"/>
      <c r="F1772" s="222"/>
      <c r="G1772" s="702"/>
      <c r="H1772" s="222"/>
    </row>
    <row r="1773">
      <c r="C1773" s="703"/>
      <c r="E1773" s="221"/>
      <c r="F1773" s="222"/>
      <c r="G1773" s="702"/>
      <c r="H1773" s="222"/>
    </row>
    <row r="1774">
      <c r="C1774" s="703"/>
      <c r="E1774" s="221"/>
      <c r="F1774" s="222"/>
      <c r="G1774" s="702"/>
      <c r="H1774" s="222"/>
    </row>
    <row r="1775">
      <c r="C1775" s="703"/>
      <c r="E1775" s="221"/>
      <c r="F1775" s="222"/>
      <c r="G1775" s="702"/>
      <c r="H1775" s="222"/>
    </row>
    <row r="1776">
      <c r="C1776" s="703"/>
      <c r="E1776" s="221"/>
      <c r="F1776" s="222"/>
      <c r="G1776" s="702"/>
      <c r="H1776" s="222"/>
    </row>
    <row r="1777">
      <c r="C1777" s="703"/>
      <c r="E1777" s="221"/>
      <c r="F1777" s="222"/>
      <c r="G1777" s="702"/>
      <c r="H1777" s="222"/>
    </row>
    <row r="1778">
      <c r="C1778" s="703"/>
      <c r="E1778" s="221"/>
      <c r="F1778" s="222"/>
      <c r="G1778" s="702"/>
      <c r="H1778" s="222"/>
    </row>
    <row r="1779">
      <c r="C1779" s="703"/>
      <c r="E1779" s="221"/>
      <c r="F1779" s="222"/>
      <c r="G1779" s="702"/>
      <c r="H1779" s="222"/>
    </row>
    <row r="1780">
      <c r="C1780" s="703"/>
      <c r="E1780" s="221"/>
      <c r="F1780" s="222"/>
      <c r="G1780" s="702"/>
      <c r="H1780" s="222"/>
    </row>
    <row r="1781">
      <c r="C1781" s="703"/>
      <c r="E1781" s="221"/>
      <c r="F1781" s="222"/>
      <c r="G1781" s="702"/>
      <c r="H1781" s="222"/>
    </row>
    <row r="1782">
      <c r="C1782" s="703"/>
      <c r="E1782" s="221"/>
      <c r="F1782" s="222"/>
      <c r="G1782" s="702"/>
      <c r="H1782" s="222"/>
    </row>
    <row r="1783">
      <c r="C1783" s="703"/>
      <c r="E1783" s="221"/>
      <c r="F1783" s="222"/>
      <c r="G1783" s="702"/>
      <c r="H1783" s="222"/>
    </row>
    <row r="1784">
      <c r="C1784" s="703"/>
      <c r="E1784" s="221"/>
      <c r="F1784" s="222"/>
      <c r="G1784" s="702"/>
      <c r="H1784" s="222"/>
    </row>
    <row r="1785">
      <c r="C1785" s="703"/>
      <c r="E1785" s="221"/>
      <c r="F1785" s="222"/>
      <c r="G1785" s="702"/>
      <c r="H1785" s="222"/>
    </row>
    <row r="1786">
      <c r="C1786" s="703"/>
      <c r="E1786" s="221"/>
      <c r="F1786" s="222"/>
      <c r="G1786" s="702"/>
      <c r="H1786" s="222"/>
    </row>
    <row r="1787">
      <c r="C1787" s="703"/>
      <c r="E1787" s="221"/>
      <c r="F1787" s="222"/>
      <c r="G1787" s="702"/>
      <c r="H1787" s="222"/>
    </row>
    <row r="1788">
      <c r="C1788" s="703"/>
      <c r="E1788" s="221"/>
      <c r="F1788" s="222"/>
      <c r="G1788" s="702"/>
      <c r="H1788" s="222"/>
    </row>
    <row r="1789">
      <c r="C1789" s="703"/>
      <c r="E1789" s="221"/>
      <c r="F1789" s="222"/>
      <c r="G1789" s="702"/>
      <c r="H1789" s="222"/>
    </row>
    <row r="1790">
      <c r="C1790" s="703"/>
      <c r="E1790" s="221"/>
      <c r="F1790" s="222"/>
      <c r="G1790" s="702"/>
      <c r="H1790" s="222"/>
    </row>
    <row r="1791">
      <c r="C1791" s="703"/>
      <c r="E1791" s="221"/>
      <c r="F1791" s="222"/>
      <c r="G1791" s="702"/>
      <c r="H1791" s="222"/>
    </row>
    <row r="1792">
      <c r="C1792" s="703"/>
      <c r="E1792" s="221"/>
      <c r="F1792" s="222"/>
      <c r="G1792" s="702"/>
      <c r="H1792" s="222"/>
    </row>
    <row r="1793">
      <c r="C1793" s="703"/>
      <c r="E1793" s="221"/>
      <c r="F1793" s="222"/>
      <c r="G1793" s="702"/>
      <c r="H1793" s="222"/>
    </row>
    <row r="1794">
      <c r="C1794" s="703"/>
      <c r="E1794" s="221"/>
      <c r="F1794" s="222"/>
      <c r="G1794" s="702"/>
      <c r="H1794" s="222"/>
    </row>
    <row r="1795">
      <c r="C1795" s="703"/>
      <c r="E1795" s="221"/>
      <c r="F1795" s="222"/>
      <c r="G1795" s="702"/>
      <c r="H1795" s="222"/>
    </row>
    <row r="1796">
      <c r="C1796" s="703"/>
      <c r="E1796" s="221"/>
      <c r="F1796" s="222"/>
      <c r="G1796" s="702"/>
      <c r="H1796" s="222"/>
    </row>
    <row r="1797">
      <c r="C1797" s="703"/>
      <c r="E1797" s="221"/>
      <c r="F1797" s="222"/>
      <c r="G1797" s="702"/>
      <c r="H1797" s="222"/>
    </row>
    <row r="1798">
      <c r="C1798" s="703"/>
      <c r="E1798" s="221"/>
      <c r="F1798" s="222"/>
      <c r="G1798" s="702"/>
      <c r="H1798" s="222"/>
    </row>
    <row r="1799">
      <c r="C1799" s="703"/>
      <c r="E1799" s="221"/>
      <c r="F1799" s="222"/>
      <c r="G1799" s="702"/>
      <c r="H1799" s="222"/>
    </row>
    <row r="1800">
      <c r="C1800" s="703"/>
      <c r="E1800" s="221"/>
      <c r="F1800" s="222"/>
      <c r="G1800" s="702"/>
      <c r="H1800" s="222"/>
    </row>
    <row r="1801">
      <c r="C1801" s="703"/>
      <c r="E1801" s="221"/>
      <c r="F1801" s="222"/>
      <c r="G1801" s="702"/>
      <c r="H1801" s="222"/>
    </row>
    <row r="1802">
      <c r="C1802" s="703"/>
      <c r="E1802" s="221"/>
      <c r="F1802" s="222"/>
      <c r="G1802" s="702"/>
      <c r="H1802" s="222"/>
    </row>
    <row r="1803">
      <c r="C1803" s="703"/>
      <c r="E1803" s="221"/>
      <c r="F1803" s="222"/>
      <c r="G1803" s="702"/>
      <c r="H1803" s="222"/>
    </row>
    <row r="1804">
      <c r="C1804" s="703"/>
      <c r="E1804" s="221"/>
      <c r="F1804" s="222"/>
      <c r="G1804" s="702"/>
      <c r="H1804" s="222"/>
    </row>
    <row r="1805">
      <c r="C1805" s="703"/>
      <c r="E1805" s="221"/>
      <c r="F1805" s="222"/>
      <c r="G1805" s="702"/>
      <c r="H1805" s="222"/>
    </row>
    <row r="1806">
      <c r="C1806" s="703"/>
      <c r="E1806" s="221"/>
      <c r="F1806" s="222"/>
      <c r="G1806" s="702"/>
      <c r="H1806" s="222"/>
    </row>
    <row r="1807">
      <c r="C1807" s="703"/>
      <c r="E1807" s="221"/>
      <c r="F1807" s="222"/>
      <c r="G1807" s="702"/>
      <c r="H1807" s="222"/>
    </row>
    <row r="1808">
      <c r="C1808" s="703"/>
      <c r="E1808" s="221"/>
      <c r="F1808" s="222"/>
      <c r="G1808" s="702"/>
      <c r="H1808" s="222"/>
    </row>
    <row r="1809">
      <c r="C1809" s="703"/>
      <c r="E1809" s="221"/>
      <c r="F1809" s="222"/>
      <c r="G1809" s="702"/>
      <c r="H1809" s="222"/>
    </row>
    <row r="1810">
      <c r="C1810" s="703"/>
      <c r="E1810" s="221"/>
      <c r="F1810" s="222"/>
      <c r="G1810" s="702"/>
      <c r="H1810" s="222"/>
    </row>
    <row r="1811">
      <c r="C1811" s="703"/>
      <c r="E1811" s="221"/>
      <c r="F1811" s="222"/>
      <c r="G1811" s="702"/>
      <c r="H1811" s="222"/>
    </row>
    <row r="1812">
      <c r="C1812" s="703"/>
      <c r="E1812" s="221"/>
      <c r="F1812" s="222"/>
      <c r="G1812" s="702"/>
      <c r="H1812" s="222"/>
    </row>
    <row r="1813">
      <c r="C1813" s="703"/>
      <c r="E1813" s="221"/>
      <c r="F1813" s="222"/>
      <c r="G1813" s="702"/>
      <c r="H1813" s="222"/>
    </row>
    <row r="1814">
      <c r="C1814" s="703"/>
      <c r="E1814" s="221"/>
      <c r="F1814" s="222"/>
      <c r="G1814" s="702"/>
      <c r="H1814" s="222"/>
    </row>
    <row r="1815">
      <c r="C1815" s="703"/>
      <c r="E1815" s="221"/>
      <c r="F1815" s="222"/>
      <c r="G1815" s="702"/>
      <c r="H1815" s="222"/>
    </row>
    <row r="1816">
      <c r="C1816" s="703"/>
      <c r="E1816" s="221"/>
      <c r="F1816" s="222"/>
      <c r="G1816" s="702"/>
      <c r="H1816" s="222"/>
    </row>
    <row r="1817">
      <c r="C1817" s="703"/>
      <c r="E1817" s="221"/>
      <c r="F1817" s="222"/>
      <c r="G1817" s="702"/>
      <c r="H1817" s="222"/>
    </row>
    <row r="1818">
      <c r="C1818" s="703"/>
      <c r="E1818" s="221"/>
      <c r="F1818" s="222"/>
      <c r="G1818" s="702"/>
      <c r="H1818" s="222"/>
    </row>
    <row r="1819">
      <c r="C1819" s="703"/>
      <c r="E1819" s="221"/>
      <c r="F1819" s="222"/>
      <c r="G1819" s="702"/>
      <c r="H1819" s="222"/>
    </row>
    <row r="1820">
      <c r="C1820" s="703"/>
      <c r="E1820" s="221"/>
      <c r="F1820" s="222"/>
      <c r="G1820" s="702"/>
      <c r="H1820" s="222"/>
    </row>
    <row r="1821">
      <c r="C1821" s="703"/>
      <c r="E1821" s="221"/>
      <c r="F1821" s="222"/>
      <c r="G1821" s="702"/>
      <c r="H1821" s="222"/>
    </row>
    <row r="1822">
      <c r="C1822" s="703"/>
      <c r="E1822" s="221"/>
      <c r="F1822" s="222"/>
      <c r="G1822" s="702"/>
      <c r="H1822" s="222"/>
    </row>
    <row r="1823">
      <c r="C1823" s="703"/>
      <c r="E1823" s="221"/>
      <c r="F1823" s="222"/>
      <c r="G1823" s="702"/>
      <c r="H1823" s="222"/>
    </row>
    <row r="1824">
      <c r="C1824" s="703"/>
      <c r="E1824" s="221"/>
      <c r="F1824" s="222"/>
      <c r="G1824" s="702"/>
      <c r="H1824" s="222"/>
    </row>
    <row r="1825">
      <c r="C1825" s="703"/>
      <c r="E1825" s="221"/>
      <c r="F1825" s="222"/>
      <c r="G1825" s="702"/>
      <c r="H1825" s="222"/>
    </row>
    <row r="1826">
      <c r="C1826" s="703"/>
      <c r="E1826" s="221"/>
      <c r="F1826" s="222"/>
      <c r="G1826" s="702"/>
      <c r="H1826" s="222"/>
    </row>
    <row r="1827">
      <c r="C1827" s="703"/>
      <c r="E1827" s="221"/>
      <c r="F1827" s="222"/>
      <c r="G1827" s="702"/>
      <c r="H1827" s="222"/>
    </row>
    <row r="1828">
      <c r="C1828" s="703"/>
      <c r="E1828" s="221"/>
      <c r="F1828" s="222"/>
      <c r="G1828" s="702"/>
      <c r="H1828" s="222"/>
    </row>
    <row r="1829">
      <c r="C1829" s="703"/>
      <c r="E1829" s="221"/>
      <c r="F1829" s="222"/>
      <c r="G1829" s="702"/>
      <c r="H1829" s="222"/>
    </row>
    <row r="1830">
      <c r="C1830" s="703"/>
      <c r="E1830" s="221"/>
      <c r="F1830" s="222"/>
      <c r="G1830" s="702"/>
      <c r="H1830" s="222"/>
    </row>
    <row r="1831">
      <c r="C1831" s="703"/>
      <c r="E1831" s="221"/>
      <c r="F1831" s="222"/>
      <c r="G1831" s="702"/>
      <c r="H1831" s="222"/>
    </row>
    <row r="1832">
      <c r="C1832" s="703"/>
      <c r="E1832" s="221"/>
      <c r="F1832" s="222"/>
      <c r="G1832" s="702"/>
      <c r="H1832" s="222"/>
    </row>
    <row r="1833">
      <c r="C1833" s="703"/>
      <c r="E1833" s="221"/>
      <c r="F1833" s="222"/>
      <c r="G1833" s="702"/>
      <c r="H1833" s="222"/>
    </row>
    <row r="1834">
      <c r="C1834" s="703"/>
      <c r="E1834" s="221"/>
      <c r="F1834" s="222"/>
      <c r="G1834" s="702"/>
      <c r="H1834" s="222"/>
    </row>
    <row r="1835">
      <c r="C1835" s="703"/>
      <c r="E1835" s="221"/>
      <c r="F1835" s="222"/>
      <c r="G1835" s="702"/>
      <c r="H1835" s="222"/>
    </row>
    <row r="1836">
      <c r="C1836" s="703"/>
      <c r="E1836" s="221"/>
      <c r="F1836" s="222"/>
      <c r="G1836" s="702"/>
      <c r="H1836" s="222"/>
    </row>
    <row r="1837">
      <c r="C1837" s="703"/>
      <c r="E1837" s="221"/>
      <c r="F1837" s="222"/>
      <c r="G1837" s="702"/>
      <c r="H1837" s="222"/>
    </row>
    <row r="1838">
      <c r="C1838" s="703"/>
      <c r="E1838" s="221"/>
      <c r="F1838" s="222"/>
      <c r="G1838" s="702"/>
      <c r="H1838" s="222"/>
    </row>
    <row r="1839">
      <c r="C1839" s="703"/>
      <c r="E1839" s="221"/>
      <c r="F1839" s="222"/>
      <c r="G1839" s="702"/>
      <c r="H1839" s="222"/>
    </row>
    <row r="1840">
      <c r="C1840" s="703"/>
      <c r="E1840" s="221"/>
      <c r="F1840" s="222"/>
      <c r="G1840" s="702"/>
      <c r="H1840" s="222"/>
    </row>
    <row r="1841">
      <c r="C1841" s="703"/>
      <c r="E1841" s="221"/>
      <c r="F1841" s="222"/>
      <c r="G1841" s="702"/>
      <c r="H1841" s="222"/>
    </row>
    <row r="1842">
      <c r="C1842" s="703"/>
      <c r="E1842" s="221"/>
      <c r="F1842" s="222"/>
      <c r="G1842" s="702"/>
      <c r="H1842" s="222"/>
    </row>
    <row r="1843">
      <c r="C1843" s="703"/>
      <c r="E1843" s="221"/>
      <c r="F1843" s="222"/>
      <c r="G1843" s="702"/>
      <c r="H1843" s="222"/>
    </row>
    <row r="1844">
      <c r="C1844" s="703"/>
      <c r="E1844" s="221"/>
      <c r="F1844" s="222"/>
      <c r="G1844" s="702"/>
      <c r="H1844" s="222"/>
    </row>
    <row r="1845">
      <c r="C1845" s="703"/>
      <c r="E1845" s="221"/>
      <c r="F1845" s="222"/>
      <c r="G1845" s="702"/>
      <c r="H1845" s="222"/>
    </row>
    <row r="1846">
      <c r="C1846" s="703"/>
      <c r="E1846" s="221"/>
      <c r="F1846" s="222"/>
      <c r="G1846" s="702"/>
      <c r="H1846" s="222"/>
    </row>
    <row r="1847">
      <c r="C1847" s="703"/>
      <c r="E1847" s="221"/>
      <c r="F1847" s="222"/>
      <c r="G1847" s="702"/>
      <c r="H1847" s="222"/>
    </row>
    <row r="1848">
      <c r="C1848" s="703"/>
      <c r="E1848" s="221"/>
      <c r="F1848" s="222"/>
      <c r="G1848" s="702"/>
      <c r="H1848" s="222"/>
    </row>
    <row r="1849">
      <c r="C1849" s="703"/>
      <c r="E1849" s="221"/>
      <c r="F1849" s="222"/>
      <c r="G1849" s="702"/>
      <c r="H1849" s="222"/>
    </row>
    <row r="1850">
      <c r="C1850" s="703"/>
      <c r="E1850" s="221"/>
      <c r="F1850" s="222"/>
      <c r="G1850" s="702"/>
      <c r="H1850" s="222"/>
    </row>
    <row r="1851">
      <c r="C1851" s="703"/>
      <c r="E1851" s="221"/>
      <c r="F1851" s="222"/>
      <c r="G1851" s="702"/>
      <c r="H1851" s="222"/>
    </row>
    <row r="1852">
      <c r="C1852" s="703"/>
      <c r="E1852" s="221"/>
      <c r="F1852" s="222"/>
      <c r="G1852" s="702"/>
      <c r="H1852" s="222"/>
    </row>
    <row r="1853">
      <c r="C1853" s="703"/>
      <c r="E1853" s="221"/>
      <c r="F1853" s="222"/>
      <c r="G1853" s="702"/>
      <c r="H1853" s="222"/>
    </row>
    <row r="1854">
      <c r="C1854" s="703"/>
      <c r="E1854" s="221"/>
      <c r="F1854" s="222"/>
      <c r="G1854" s="702"/>
      <c r="H1854" s="222"/>
    </row>
    <row r="1855">
      <c r="C1855" s="703"/>
      <c r="E1855" s="221"/>
      <c r="F1855" s="222"/>
      <c r="G1855" s="702"/>
      <c r="H1855" s="222"/>
    </row>
    <row r="1856">
      <c r="C1856" s="703"/>
      <c r="E1856" s="221"/>
      <c r="F1856" s="222"/>
      <c r="G1856" s="702"/>
      <c r="H1856" s="222"/>
    </row>
    <row r="1857">
      <c r="C1857" s="703"/>
      <c r="E1857" s="221"/>
      <c r="F1857" s="222"/>
      <c r="G1857" s="702"/>
      <c r="H1857" s="222"/>
    </row>
    <row r="1858">
      <c r="C1858" s="703"/>
      <c r="E1858" s="221"/>
      <c r="F1858" s="222"/>
      <c r="G1858" s="702"/>
      <c r="H1858" s="222"/>
    </row>
    <row r="1859">
      <c r="C1859" s="703"/>
      <c r="E1859" s="221"/>
      <c r="F1859" s="222"/>
      <c r="G1859" s="702"/>
      <c r="H1859" s="222"/>
    </row>
    <row r="1860">
      <c r="C1860" s="703"/>
      <c r="E1860" s="221"/>
      <c r="F1860" s="222"/>
      <c r="G1860" s="702"/>
      <c r="H1860" s="222"/>
    </row>
    <row r="1861">
      <c r="C1861" s="703"/>
      <c r="E1861" s="221"/>
      <c r="F1861" s="222"/>
      <c r="G1861" s="702"/>
      <c r="H1861" s="222"/>
    </row>
    <row r="1862">
      <c r="C1862" s="703"/>
      <c r="E1862" s="221"/>
      <c r="F1862" s="222"/>
      <c r="G1862" s="702"/>
      <c r="H1862" s="222"/>
    </row>
    <row r="1863">
      <c r="C1863" s="703"/>
      <c r="E1863" s="221"/>
      <c r="F1863" s="222"/>
      <c r="G1863" s="702"/>
      <c r="H1863" s="222"/>
    </row>
    <row r="1864">
      <c r="C1864" s="703"/>
      <c r="E1864" s="221"/>
      <c r="F1864" s="222"/>
      <c r="G1864" s="702"/>
      <c r="H1864" s="222"/>
    </row>
    <row r="1865">
      <c r="C1865" s="703"/>
      <c r="E1865" s="221"/>
      <c r="F1865" s="222"/>
      <c r="G1865" s="702"/>
      <c r="H1865" s="222"/>
    </row>
    <row r="1866">
      <c r="C1866" s="703"/>
      <c r="E1866" s="221"/>
      <c r="F1866" s="222"/>
      <c r="G1866" s="702"/>
      <c r="H1866" s="222"/>
    </row>
    <row r="1867">
      <c r="C1867" s="703"/>
      <c r="E1867" s="221"/>
      <c r="F1867" s="222"/>
      <c r="G1867" s="702"/>
      <c r="H1867" s="222"/>
    </row>
    <row r="1868">
      <c r="C1868" s="703"/>
      <c r="E1868" s="221"/>
      <c r="F1868" s="222"/>
      <c r="G1868" s="702"/>
      <c r="H1868" s="222"/>
    </row>
    <row r="1869">
      <c r="C1869" s="703"/>
      <c r="E1869" s="221"/>
      <c r="F1869" s="222"/>
      <c r="G1869" s="702"/>
      <c r="H1869" s="222"/>
    </row>
    <row r="1870">
      <c r="C1870" s="703"/>
      <c r="E1870" s="221"/>
      <c r="F1870" s="222"/>
      <c r="G1870" s="702"/>
      <c r="H1870" s="222"/>
    </row>
    <row r="1871">
      <c r="C1871" s="703"/>
      <c r="E1871" s="221"/>
      <c r="F1871" s="222"/>
      <c r="G1871" s="702"/>
      <c r="H1871" s="222"/>
    </row>
    <row r="1872">
      <c r="C1872" s="703"/>
      <c r="E1872" s="221"/>
      <c r="F1872" s="222"/>
      <c r="G1872" s="702"/>
      <c r="H1872" s="222"/>
    </row>
    <row r="1873">
      <c r="C1873" s="703"/>
      <c r="E1873" s="221"/>
      <c r="F1873" s="222"/>
      <c r="G1873" s="702"/>
      <c r="H1873" s="222"/>
    </row>
    <row r="1874">
      <c r="C1874" s="703"/>
      <c r="E1874" s="221"/>
      <c r="F1874" s="222"/>
      <c r="G1874" s="702"/>
      <c r="H1874" s="222"/>
    </row>
    <row r="1875">
      <c r="C1875" s="703"/>
      <c r="E1875" s="221"/>
      <c r="F1875" s="222"/>
      <c r="G1875" s="702"/>
      <c r="H1875" s="222"/>
    </row>
    <row r="1876">
      <c r="C1876" s="703"/>
      <c r="E1876" s="221"/>
      <c r="F1876" s="222"/>
      <c r="G1876" s="702"/>
      <c r="H1876" s="222"/>
    </row>
    <row r="1877">
      <c r="C1877" s="703"/>
      <c r="E1877" s="221"/>
      <c r="F1877" s="222"/>
      <c r="G1877" s="702"/>
      <c r="H1877" s="222"/>
    </row>
    <row r="1878">
      <c r="C1878" s="703"/>
      <c r="E1878" s="221"/>
      <c r="F1878" s="222"/>
      <c r="G1878" s="702"/>
      <c r="H1878" s="222"/>
    </row>
    <row r="1879">
      <c r="C1879" s="703"/>
      <c r="E1879" s="221"/>
      <c r="F1879" s="222"/>
      <c r="G1879" s="702"/>
      <c r="H1879" s="222"/>
    </row>
    <row r="1880">
      <c r="C1880" s="703"/>
      <c r="E1880" s="221"/>
      <c r="F1880" s="222"/>
      <c r="G1880" s="702"/>
      <c r="H1880" s="222"/>
    </row>
    <row r="1881">
      <c r="C1881" s="703"/>
      <c r="E1881" s="221"/>
      <c r="F1881" s="222"/>
      <c r="G1881" s="702"/>
      <c r="H1881" s="222"/>
    </row>
    <row r="1882">
      <c r="C1882" s="703"/>
      <c r="E1882" s="221"/>
      <c r="F1882" s="222"/>
      <c r="G1882" s="702"/>
      <c r="H1882" s="222"/>
    </row>
    <row r="1883">
      <c r="C1883" s="703"/>
      <c r="E1883" s="221"/>
      <c r="F1883" s="222"/>
      <c r="G1883" s="702"/>
      <c r="H1883" s="222"/>
    </row>
    <row r="1884">
      <c r="C1884" s="703"/>
      <c r="E1884" s="221"/>
      <c r="F1884" s="222"/>
      <c r="G1884" s="702"/>
      <c r="H1884" s="222"/>
    </row>
    <row r="1885">
      <c r="C1885" s="703"/>
      <c r="E1885" s="221"/>
      <c r="F1885" s="222"/>
      <c r="G1885" s="702"/>
      <c r="H1885" s="222"/>
    </row>
    <row r="1886">
      <c r="C1886" s="703"/>
      <c r="E1886" s="221"/>
      <c r="F1886" s="222"/>
      <c r="G1886" s="702"/>
      <c r="H1886" s="222"/>
    </row>
    <row r="1887">
      <c r="C1887" s="703"/>
      <c r="E1887" s="221"/>
      <c r="F1887" s="222"/>
      <c r="G1887" s="702"/>
      <c r="H1887" s="222"/>
    </row>
    <row r="1888">
      <c r="C1888" s="703"/>
      <c r="E1888" s="221"/>
      <c r="F1888" s="222"/>
      <c r="G1888" s="702"/>
      <c r="H1888" s="222"/>
    </row>
    <row r="1889">
      <c r="C1889" s="703"/>
      <c r="E1889" s="221"/>
      <c r="F1889" s="222"/>
      <c r="G1889" s="702"/>
      <c r="H1889" s="222"/>
    </row>
    <row r="1890">
      <c r="C1890" s="703"/>
      <c r="E1890" s="221"/>
      <c r="F1890" s="222"/>
      <c r="G1890" s="702"/>
      <c r="H1890" s="222"/>
    </row>
    <row r="1891">
      <c r="C1891" s="703"/>
      <c r="E1891" s="221"/>
      <c r="F1891" s="222"/>
      <c r="G1891" s="702"/>
      <c r="H1891" s="222"/>
    </row>
    <row r="1892">
      <c r="C1892" s="703"/>
      <c r="E1892" s="221"/>
      <c r="F1892" s="222"/>
      <c r="G1892" s="702"/>
      <c r="H1892" s="222"/>
    </row>
    <row r="1893">
      <c r="C1893" s="703"/>
      <c r="E1893" s="221"/>
      <c r="F1893" s="222"/>
      <c r="G1893" s="702"/>
      <c r="H1893" s="222"/>
    </row>
    <row r="1894">
      <c r="C1894" s="703"/>
      <c r="E1894" s="221"/>
      <c r="F1894" s="222"/>
      <c r="G1894" s="702"/>
      <c r="H1894" s="222"/>
    </row>
    <row r="1895">
      <c r="C1895" s="703"/>
      <c r="E1895" s="221"/>
      <c r="F1895" s="222"/>
      <c r="G1895" s="702"/>
      <c r="H1895" s="222"/>
    </row>
    <row r="1896">
      <c r="C1896" s="703"/>
      <c r="E1896" s="221"/>
      <c r="F1896" s="222"/>
      <c r="G1896" s="702"/>
      <c r="H1896" s="222"/>
    </row>
    <row r="1897">
      <c r="C1897" s="703"/>
      <c r="E1897" s="221"/>
      <c r="F1897" s="222"/>
      <c r="G1897" s="702"/>
      <c r="H1897" s="222"/>
    </row>
    <row r="1898">
      <c r="C1898" s="703"/>
      <c r="E1898" s="221"/>
      <c r="F1898" s="222"/>
      <c r="G1898" s="702"/>
      <c r="H1898" s="222"/>
    </row>
    <row r="1899">
      <c r="C1899" s="703"/>
      <c r="E1899" s="221"/>
      <c r="F1899" s="222"/>
      <c r="G1899" s="702"/>
      <c r="H1899" s="222"/>
    </row>
    <row r="1900">
      <c r="C1900" s="703"/>
      <c r="E1900" s="221"/>
      <c r="F1900" s="222"/>
      <c r="G1900" s="702"/>
      <c r="H1900" s="222"/>
    </row>
    <row r="1901">
      <c r="C1901" s="703"/>
      <c r="E1901" s="221"/>
      <c r="F1901" s="222"/>
      <c r="G1901" s="702"/>
      <c r="H1901" s="222"/>
    </row>
    <row r="1902">
      <c r="C1902" s="703"/>
      <c r="E1902" s="221"/>
      <c r="F1902" s="222"/>
      <c r="G1902" s="702"/>
      <c r="H1902" s="222"/>
    </row>
    <row r="1903">
      <c r="C1903" s="703"/>
      <c r="E1903" s="221"/>
      <c r="F1903" s="222"/>
      <c r="G1903" s="702"/>
      <c r="H1903" s="222"/>
    </row>
    <row r="1904">
      <c r="C1904" s="703"/>
      <c r="E1904" s="221"/>
      <c r="F1904" s="222"/>
      <c r="G1904" s="702"/>
      <c r="H1904" s="222"/>
    </row>
    <row r="1905">
      <c r="C1905" s="703"/>
      <c r="E1905" s="221"/>
      <c r="F1905" s="222"/>
      <c r="G1905" s="702"/>
      <c r="H1905" s="222"/>
    </row>
    <row r="1906">
      <c r="C1906" s="703"/>
      <c r="E1906" s="221"/>
      <c r="F1906" s="222"/>
      <c r="G1906" s="702"/>
      <c r="H1906" s="222"/>
    </row>
    <row r="1907">
      <c r="C1907" s="703"/>
      <c r="E1907" s="221"/>
      <c r="F1907" s="222"/>
      <c r="G1907" s="702"/>
      <c r="H1907" s="222"/>
    </row>
    <row r="1908">
      <c r="C1908" s="703"/>
      <c r="E1908" s="221"/>
      <c r="F1908" s="222"/>
      <c r="G1908" s="702"/>
      <c r="H1908" s="222"/>
    </row>
    <row r="1909">
      <c r="C1909" s="703"/>
      <c r="E1909" s="221"/>
      <c r="F1909" s="222"/>
      <c r="G1909" s="702"/>
      <c r="H1909" s="222"/>
    </row>
    <row r="1910">
      <c r="C1910" s="703"/>
      <c r="E1910" s="221"/>
      <c r="F1910" s="222"/>
      <c r="G1910" s="702"/>
      <c r="H1910" s="222"/>
    </row>
    <row r="1911">
      <c r="C1911" s="703"/>
      <c r="E1911" s="221"/>
      <c r="F1911" s="222"/>
      <c r="G1911" s="702"/>
      <c r="H1911" s="222"/>
    </row>
    <row r="1912">
      <c r="C1912" s="703"/>
      <c r="E1912" s="221"/>
      <c r="F1912" s="222"/>
      <c r="G1912" s="702"/>
      <c r="H1912" s="222"/>
    </row>
    <row r="1913">
      <c r="C1913" s="703"/>
      <c r="E1913" s="221"/>
      <c r="F1913" s="222"/>
      <c r="G1913" s="702"/>
      <c r="H1913" s="222"/>
    </row>
    <row r="1914">
      <c r="C1914" s="703"/>
      <c r="E1914" s="221"/>
      <c r="F1914" s="222"/>
      <c r="G1914" s="702"/>
      <c r="H1914" s="222"/>
    </row>
    <row r="1915">
      <c r="C1915" s="703"/>
      <c r="E1915" s="221"/>
      <c r="F1915" s="222"/>
      <c r="G1915" s="702"/>
      <c r="H1915" s="222"/>
    </row>
    <row r="1916">
      <c r="C1916" s="703"/>
      <c r="E1916" s="221"/>
      <c r="F1916" s="222"/>
      <c r="G1916" s="702"/>
      <c r="H1916" s="222"/>
    </row>
    <row r="1917">
      <c r="C1917" s="703"/>
      <c r="E1917" s="221"/>
      <c r="F1917" s="222"/>
      <c r="G1917" s="702"/>
      <c r="H1917" s="222"/>
    </row>
    <row r="1918">
      <c r="C1918" s="703"/>
      <c r="E1918" s="221"/>
      <c r="F1918" s="222"/>
      <c r="G1918" s="702"/>
      <c r="H1918" s="222"/>
    </row>
    <row r="1919">
      <c r="C1919" s="703"/>
      <c r="E1919" s="221"/>
      <c r="F1919" s="222"/>
      <c r="G1919" s="702"/>
      <c r="H1919" s="222"/>
    </row>
    <row r="1920">
      <c r="C1920" s="703"/>
      <c r="E1920" s="221"/>
      <c r="F1920" s="222"/>
      <c r="G1920" s="702"/>
      <c r="H1920" s="222"/>
    </row>
    <row r="1921">
      <c r="C1921" s="703"/>
      <c r="E1921" s="221"/>
      <c r="F1921" s="222"/>
      <c r="G1921" s="702"/>
      <c r="H1921" s="222"/>
    </row>
    <row r="1922">
      <c r="C1922" s="703"/>
      <c r="E1922" s="221"/>
      <c r="F1922" s="222"/>
      <c r="G1922" s="702"/>
      <c r="H1922" s="222"/>
    </row>
    <row r="1923">
      <c r="C1923" s="703"/>
      <c r="E1923" s="221"/>
      <c r="F1923" s="222"/>
      <c r="G1923" s="702"/>
      <c r="H1923" s="222"/>
    </row>
    <row r="1924">
      <c r="C1924" s="703"/>
      <c r="E1924" s="221"/>
      <c r="F1924" s="222"/>
      <c r="G1924" s="702"/>
      <c r="H1924" s="222"/>
    </row>
    <row r="1925">
      <c r="C1925" s="703"/>
      <c r="E1925" s="221"/>
      <c r="F1925" s="222"/>
      <c r="G1925" s="702"/>
      <c r="H1925" s="222"/>
    </row>
    <row r="1926">
      <c r="C1926" s="703"/>
      <c r="E1926" s="221"/>
      <c r="F1926" s="222"/>
      <c r="G1926" s="702"/>
      <c r="H1926" s="222"/>
    </row>
    <row r="1927">
      <c r="C1927" s="703"/>
      <c r="E1927" s="221"/>
      <c r="F1927" s="222"/>
      <c r="G1927" s="702"/>
      <c r="H1927" s="222"/>
    </row>
    <row r="1928">
      <c r="C1928" s="703"/>
      <c r="E1928" s="221"/>
      <c r="F1928" s="222"/>
      <c r="G1928" s="702"/>
      <c r="H1928" s="222"/>
    </row>
    <row r="1929">
      <c r="C1929" s="703"/>
      <c r="E1929" s="221"/>
      <c r="F1929" s="222"/>
      <c r="G1929" s="702"/>
      <c r="H1929" s="222"/>
    </row>
    <row r="1930">
      <c r="C1930" s="703"/>
      <c r="E1930" s="221"/>
      <c r="F1930" s="222"/>
      <c r="G1930" s="702"/>
      <c r="H1930" s="222"/>
    </row>
    <row r="1931">
      <c r="C1931" s="703"/>
      <c r="E1931" s="221"/>
      <c r="F1931" s="222"/>
      <c r="G1931" s="702"/>
      <c r="H1931" s="222"/>
    </row>
    <row r="1932">
      <c r="C1932" s="703"/>
      <c r="E1932" s="221"/>
      <c r="F1932" s="222"/>
      <c r="G1932" s="702"/>
      <c r="H1932" s="222"/>
    </row>
    <row r="1933">
      <c r="C1933" s="703"/>
      <c r="E1933" s="221"/>
      <c r="F1933" s="222"/>
      <c r="G1933" s="702"/>
      <c r="H1933" s="222"/>
    </row>
    <row r="1934">
      <c r="C1934" s="703"/>
      <c r="E1934" s="221"/>
      <c r="F1934" s="222"/>
      <c r="G1934" s="702"/>
      <c r="H1934" s="222"/>
    </row>
    <row r="1935">
      <c r="C1935" s="703"/>
      <c r="E1935" s="221"/>
      <c r="F1935" s="222"/>
      <c r="G1935" s="702"/>
      <c r="H1935" s="222"/>
    </row>
    <row r="1936">
      <c r="C1936" s="703"/>
      <c r="E1936" s="221"/>
      <c r="F1936" s="222"/>
      <c r="G1936" s="702"/>
      <c r="H1936" s="222"/>
    </row>
    <row r="1937">
      <c r="C1937" s="703"/>
      <c r="E1937" s="221"/>
      <c r="F1937" s="222"/>
      <c r="G1937" s="702"/>
      <c r="H1937" s="222"/>
    </row>
    <row r="1938">
      <c r="C1938" s="703"/>
      <c r="E1938" s="221"/>
      <c r="F1938" s="222"/>
      <c r="G1938" s="702"/>
      <c r="H1938" s="222"/>
    </row>
    <row r="1939">
      <c r="C1939" s="703"/>
      <c r="E1939" s="221"/>
      <c r="F1939" s="222"/>
      <c r="G1939" s="702"/>
      <c r="H1939" s="222"/>
    </row>
    <row r="1940">
      <c r="C1940" s="703"/>
      <c r="E1940" s="221"/>
      <c r="F1940" s="222"/>
      <c r="G1940" s="702"/>
      <c r="H1940" s="222"/>
    </row>
    <row r="1941">
      <c r="C1941" s="703"/>
      <c r="E1941" s="221"/>
      <c r="F1941" s="222"/>
      <c r="G1941" s="702"/>
      <c r="H1941" s="222"/>
    </row>
    <row r="1942">
      <c r="C1942" s="703"/>
      <c r="E1942" s="221"/>
      <c r="F1942" s="222"/>
      <c r="G1942" s="702"/>
      <c r="H1942" s="222"/>
    </row>
    <row r="1943">
      <c r="C1943" s="703"/>
      <c r="E1943" s="221"/>
      <c r="F1943" s="222"/>
      <c r="G1943" s="702"/>
      <c r="H1943" s="222"/>
    </row>
    <row r="1944">
      <c r="C1944" s="703"/>
      <c r="E1944" s="221"/>
      <c r="F1944" s="222"/>
      <c r="G1944" s="702"/>
      <c r="H1944" s="222"/>
    </row>
    <row r="1945">
      <c r="C1945" s="703"/>
      <c r="E1945" s="221"/>
      <c r="F1945" s="222"/>
      <c r="G1945" s="702"/>
      <c r="H1945" s="222"/>
    </row>
    <row r="1946">
      <c r="C1946" s="703"/>
      <c r="E1946" s="221"/>
      <c r="F1946" s="222"/>
      <c r="G1946" s="702"/>
      <c r="H1946" s="222"/>
    </row>
    <row r="1947">
      <c r="C1947" s="703"/>
      <c r="E1947" s="221"/>
      <c r="F1947" s="222"/>
      <c r="G1947" s="702"/>
      <c r="H1947" s="222"/>
    </row>
    <row r="1948">
      <c r="C1948" s="703"/>
      <c r="E1948" s="221"/>
      <c r="F1948" s="222"/>
      <c r="G1948" s="702"/>
      <c r="H1948" s="222"/>
    </row>
    <row r="1949">
      <c r="C1949" s="703"/>
      <c r="E1949" s="221"/>
      <c r="F1949" s="222"/>
      <c r="G1949" s="702"/>
      <c r="H1949" s="222"/>
    </row>
    <row r="1950">
      <c r="C1950" s="703"/>
      <c r="E1950" s="221"/>
      <c r="F1950" s="222"/>
      <c r="G1950" s="702"/>
      <c r="H1950" s="222"/>
    </row>
    <row r="1951">
      <c r="C1951" s="703"/>
      <c r="E1951" s="221"/>
      <c r="F1951" s="222"/>
      <c r="G1951" s="702"/>
      <c r="H1951" s="222"/>
    </row>
    <row r="1952">
      <c r="C1952" s="703"/>
      <c r="E1952" s="221"/>
      <c r="F1952" s="222"/>
      <c r="G1952" s="702"/>
      <c r="H1952" s="222"/>
    </row>
    <row r="1953">
      <c r="C1953" s="703"/>
      <c r="E1953" s="221"/>
      <c r="F1953" s="222"/>
      <c r="G1953" s="702"/>
      <c r="H1953" s="222"/>
    </row>
    <row r="1954">
      <c r="C1954" s="703"/>
      <c r="E1954" s="221"/>
      <c r="F1954" s="222"/>
      <c r="G1954" s="702"/>
      <c r="H1954" s="222"/>
    </row>
    <row r="1955">
      <c r="C1955" s="703"/>
      <c r="E1955" s="221"/>
      <c r="F1955" s="222"/>
      <c r="G1955" s="702"/>
      <c r="H1955" s="222"/>
    </row>
    <row r="1956">
      <c r="C1956" s="703"/>
      <c r="E1956" s="221"/>
      <c r="F1956" s="222"/>
      <c r="G1956" s="702"/>
      <c r="H1956" s="222"/>
    </row>
    <row r="1957">
      <c r="C1957" s="703"/>
      <c r="E1957" s="221"/>
      <c r="F1957" s="222"/>
      <c r="G1957" s="702"/>
      <c r="H1957" s="222"/>
    </row>
    <row r="1958">
      <c r="C1958" s="703"/>
      <c r="E1958" s="221"/>
      <c r="F1958" s="222"/>
      <c r="G1958" s="702"/>
      <c r="H1958" s="222"/>
    </row>
    <row r="1959">
      <c r="C1959" s="703"/>
      <c r="E1959" s="221"/>
      <c r="F1959" s="222"/>
      <c r="G1959" s="702"/>
      <c r="H1959" s="222"/>
    </row>
    <row r="1960">
      <c r="C1960" s="703"/>
      <c r="E1960" s="221"/>
      <c r="F1960" s="222"/>
      <c r="G1960" s="702"/>
      <c r="H1960" s="222"/>
    </row>
    <row r="1961">
      <c r="C1961" s="703"/>
      <c r="E1961" s="221"/>
      <c r="F1961" s="222"/>
      <c r="G1961" s="702"/>
      <c r="H1961" s="222"/>
    </row>
    <row r="1962">
      <c r="C1962" s="703"/>
      <c r="E1962" s="221"/>
      <c r="F1962" s="222"/>
      <c r="G1962" s="702"/>
      <c r="H1962" s="222"/>
    </row>
    <row r="1963">
      <c r="C1963" s="703"/>
      <c r="E1963" s="221"/>
      <c r="F1963" s="222"/>
      <c r="G1963" s="702"/>
      <c r="H1963" s="222"/>
    </row>
    <row r="1964">
      <c r="C1964" s="703"/>
      <c r="E1964" s="221"/>
      <c r="F1964" s="222"/>
      <c r="G1964" s="702"/>
      <c r="H1964" s="222"/>
    </row>
    <row r="1965">
      <c r="C1965" s="703"/>
      <c r="E1965" s="221"/>
      <c r="F1965" s="222"/>
      <c r="G1965" s="702"/>
      <c r="H1965" s="222"/>
    </row>
    <row r="1966">
      <c r="C1966" s="703"/>
      <c r="E1966" s="221"/>
      <c r="F1966" s="222"/>
      <c r="G1966" s="702"/>
      <c r="H1966" s="222"/>
    </row>
    <row r="1967">
      <c r="C1967" s="703"/>
      <c r="E1967" s="221"/>
      <c r="F1967" s="222"/>
      <c r="G1967" s="702"/>
      <c r="H1967" s="222"/>
    </row>
    <row r="1968">
      <c r="C1968" s="703"/>
      <c r="E1968" s="221"/>
      <c r="F1968" s="222"/>
      <c r="G1968" s="702"/>
      <c r="H1968" s="222"/>
    </row>
    <row r="1969">
      <c r="C1969" s="703"/>
      <c r="E1969" s="221"/>
      <c r="F1969" s="222"/>
      <c r="G1969" s="702"/>
      <c r="H1969" s="222"/>
    </row>
    <row r="1970">
      <c r="C1970" s="703"/>
      <c r="E1970" s="221"/>
      <c r="F1970" s="222"/>
      <c r="G1970" s="702"/>
      <c r="H1970" s="222"/>
    </row>
    <row r="1971">
      <c r="C1971" s="703"/>
      <c r="E1971" s="221"/>
      <c r="F1971" s="222"/>
      <c r="G1971" s="702"/>
      <c r="H1971" s="222"/>
    </row>
    <row r="1972">
      <c r="C1972" s="703"/>
      <c r="E1972" s="221"/>
      <c r="F1972" s="222"/>
      <c r="G1972" s="702"/>
      <c r="H1972" s="222"/>
    </row>
    <row r="1973">
      <c r="C1973" s="703"/>
      <c r="E1973" s="221"/>
      <c r="F1973" s="222"/>
      <c r="G1973" s="702"/>
      <c r="H1973" s="222"/>
    </row>
    <row r="1974">
      <c r="C1974" s="703"/>
      <c r="E1974" s="221"/>
      <c r="F1974" s="222"/>
      <c r="G1974" s="702"/>
      <c r="H1974" s="222"/>
    </row>
    <row r="1975">
      <c r="C1975" s="703"/>
      <c r="E1975" s="221"/>
      <c r="F1975" s="222"/>
      <c r="G1975" s="702"/>
      <c r="H1975" s="222"/>
    </row>
    <row r="1976">
      <c r="C1976" s="703"/>
      <c r="E1976" s="221"/>
      <c r="F1976" s="222"/>
      <c r="G1976" s="702"/>
      <c r="H1976" s="222"/>
    </row>
    <row r="1977">
      <c r="C1977" s="703"/>
      <c r="E1977" s="221"/>
      <c r="F1977" s="222"/>
      <c r="G1977" s="702"/>
      <c r="H1977" s="222"/>
    </row>
    <row r="1978">
      <c r="C1978" s="703"/>
      <c r="E1978" s="221"/>
      <c r="F1978" s="222"/>
      <c r="G1978" s="702"/>
      <c r="H1978" s="222"/>
    </row>
    <row r="1979">
      <c r="C1979" s="703"/>
      <c r="E1979" s="221"/>
      <c r="F1979" s="222"/>
      <c r="G1979" s="702"/>
      <c r="H1979" s="222"/>
    </row>
    <row r="1980">
      <c r="C1980" s="703"/>
      <c r="E1980" s="221"/>
      <c r="F1980" s="222"/>
      <c r="G1980" s="702"/>
      <c r="H1980" s="222"/>
    </row>
    <row r="1981">
      <c r="C1981" s="703"/>
      <c r="E1981" s="221"/>
      <c r="F1981" s="222"/>
      <c r="G1981" s="702"/>
      <c r="H1981" s="222"/>
    </row>
    <row r="1982">
      <c r="C1982" s="703"/>
      <c r="E1982" s="221"/>
      <c r="F1982" s="222"/>
      <c r="G1982" s="702"/>
      <c r="H1982" s="222"/>
    </row>
    <row r="1983">
      <c r="C1983" s="703"/>
      <c r="E1983" s="221"/>
      <c r="F1983" s="222"/>
      <c r="G1983" s="702"/>
      <c r="H1983" s="222"/>
    </row>
    <row r="1984">
      <c r="C1984" s="703"/>
      <c r="E1984" s="221"/>
      <c r="F1984" s="222"/>
      <c r="G1984" s="702"/>
      <c r="H1984" s="222"/>
    </row>
    <row r="1985">
      <c r="C1985" s="703"/>
      <c r="E1985" s="221"/>
      <c r="F1985" s="222"/>
      <c r="G1985" s="702"/>
      <c r="H1985" s="222"/>
    </row>
    <row r="1986">
      <c r="C1986" s="703"/>
      <c r="E1986" s="221"/>
      <c r="F1986" s="222"/>
      <c r="G1986" s="702"/>
      <c r="H1986" s="222"/>
    </row>
    <row r="1987">
      <c r="C1987" s="703"/>
      <c r="E1987" s="221"/>
      <c r="F1987" s="222"/>
      <c r="G1987" s="702"/>
      <c r="H1987" s="222"/>
    </row>
    <row r="1988">
      <c r="C1988" s="703"/>
      <c r="E1988" s="221"/>
      <c r="F1988" s="222"/>
      <c r="G1988" s="702"/>
      <c r="H1988" s="222"/>
    </row>
    <row r="1989">
      <c r="C1989" s="703"/>
      <c r="E1989" s="221"/>
      <c r="F1989" s="222"/>
      <c r="G1989" s="702"/>
      <c r="H1989" s="222"/>
    </row>
    <row r="1990">
      <c r="C1990" s="703"/>
      <c r="E1990" s="221"/>
      <c r="F1990" s="222"/>
      <c r="G1990" s="702"/>
      <c r="H1990" s="222"/>
    </row>
    <row r="1991">
      <c r="C1991" s="703"/>
      <c r="E1991" s="221"/>
      <c r="F1991" s="222"/>
      <c r="G1991" s="702"/>
      <c r="H1991" s="222"/>
    </row>
    <row r="1992">
      <c r="C1992" s="703"/>
      <c r="E1992" s="221"/>
      <c r="F1992" s="222"/>
      <c r="G1992" s="702"/>
      <c r="H1992" s="222"/>
    </row>
    <row r="1993">
      <c r="C1993" s="703"/>
      <c r="E1993" s="221"/>
      <c r="F1993" s="222"/>
      <c r="G1993" s="702"/>
      <c r="H1993" s="222"/>
    </row>
    <row r="1994">
      <c r="C1994" s="703"/>
      <c r="E1994" s="221"/>
      <c r="F1994" s="222"/>
      <c r="G1994" s="702"/>
      <c r="H1994" s="222"/>
    </row>
    <row r="1995">
      <c r="C1995" s="703"/>
      <c r="E1995" s="221"/>
      <c r="F1995" s="222"/>
      <c r="G1995" s="702"/>
      <c r="H1995" s="222"/>
    </row>
    <row r="1996">
      <c r="C1996" s="703"/>
      <c r="E1996" s="221"/>
      <c r="F1996" s="222"/>
      <c r="G1996" s="702"/>
      <c r="H1996" s="222"/>
    </row>
    <row r="1997">
      <c r="C1997" s="703"/>
      <c r="E1997" s="221"/>
      <c r="F1997" s="222"/>
      <c r="G1997" s="702"/>
      <c r="H1997" s="222"/>
    </row>
    <row r="1998">
      <c r="C1998" s="703"/>
      <c r="E1998" s="221"/>
      <c r="F1998" s="222"/>
      <c r="G1998" s="702"/>
      <c r="H1998" s="222"/>
    </row>
    <row r="1999">
      <c r="C1999" s="703"/>
      <c r="E1999" s="221"/>
      <c r="F1999" s="222"/>
      <c r="G1999" s="702"/>
      <c r="H1999" s="222"/>
    </row>
    <row r="2000">
      <c r="C2000" s="703"/>
      <c r="E2000" s="221"/>
      <c r="F2000" s="222"/>
      <c r="G2000" s="702"/>
      <c r="H2000" s="222"/>
    </row>
    <row r="2001">
      <c r="C2001" s="703"/>
      <c r="E2001" s="221"/>
      <c r="F2001" s="222"/>
      <c r="G2001" s="702"/>
      <c r="H2001" s="222"/>
    </row>
    <row r="2002">
      <c r="C2002" s="703"/>
      <c r="E2002" s="221"/>
      <c r="F2002" s="222"/>
      <c r="G2002" s="702"/>
      <c r="H2002" s="222"/>
    </row>
    <row r="2003">
      <c r="C2003" s="703"/>
      <c r="E2003" s="221"/>
      <c r="F2003" s="222"/>
      <c r="G2003" s="702"/>
      <c r="H2003" s="222"/>
    </row>
    <row r="2004">
      <c r="C2004" s="703"/>
      <c r="E2004" s="221"/>
      <c r="F2004" s="222"/>
      <c r="G2004" s="702"/>
      <c r="H2004" s="222"/>
    </row>
    <row r="2005">
      <c r="C2005" s="703"/>
      <c r="E2005" s="221"/>
      <c r="F2005" s="222"/>
      <c r="G2005" s="702"/>
      <c r="H2005" s="222"/>
    </row>
    <row r="2006">
      <c r="C2006" s="703"/>
      <c r="E2006" s="221"/>
      <c r="F2006" s="222"/>
      <c r="G2006" s="702"/>
      <c r="H2006" s="222"/>
    </row>
    <row r="2007">
      <c r="C2007" s="703"/>
      <c r="E2007" s="221"/>
      <c r="F2007" s="222"/>
      <c r="G2007" s="702"/>
      <c r="H2007" s="222"/>
    </row>
    <row r="2008">
      <c r="C2008" s="703"/>
      <c r="E2008" s="221"/>
      <c r="F2008" s="222"/>
      <c r="G2008" s="702"/>
      <c r="H2008" s="222"/>
    </row>
    <row r="2009">
      <c r="C2009" s="703"/>
      <c r="E2009" s="221"/>
      <c r="F2009" s="222"/>
      <c r="G2009" s="702"/>
      <c r="H2009" s="222"/>
    </row>
    <row r="2010">
      <c r="C2010" s="703"/>
      <c r="E2010" s="221"/>
      <c r="F2010" s="222"/>
      <c r="G2010" s="702"/>
      <c r="H2010" s="222"/>
    </row>
    <row r="2011">
      <c r="C2011" s="703"/>
      <c r="E2011" s="221"/>
      <c r="F2011" s="222"/>
      <c r="G2011" s="702"/>
      <c r="H2011" s="222"/>
    </row>
    <row r="2012">
      <c r="C2012" s="703"/>
      <c r="E2012" s="221"/>
      <c r="F2012" s="222"/>
      <c r="G2012" s="702"/>
      <c r="H2012" s="222"/>
    </row>
    <row r="2013">
      <c r="C2013" s="703"/>
      <c r="E2013" s="221"/>
      <c r="F2013" s="222"/>
      <c r="G2013" s="702"/>
      <c r="H2013" s="222"/>
    </row>
    <row r="2014">
      <c r="C2014" s="703"/>
      <c r="E2014" s="221"/>
      <c r="F2014" s="222"/>
      <c r="G2014" s="702"/>
      <c r="H2014" s="222"/>
    </row>
    <row r="2015">
      <c r="C2015" s="703"/>
      <c r="E2015" s="221"/>
      <c r="F2015" s="222"/>
      <c r="G2015" s="702"/>
      <c r="H2015" s="222"/>
    </row>
    <row r="2016">
      <c r="C2016" s="703"/>
      <c r="E2016" s="221"/>
      <c r="F2016" s="222"/>
      <c r="G2016" s="702"/>
      <c r="H2016" s="222"/>
    </row>
    <row r="2017">
      <c r="C2017" s="703"/>
      <c r="E2017" s="221"/>
      <c r="F2017" s="222"/>
      <c r="G2017" s="702"/>
      <c r="H2017" s="222"/>
    </row>
    <row r="2018">
      <c r="C2018" s="703"/>
      <c r="E2018" s="221"/>
      <c r="F2018" s="222"/>
      <c r="G2018" s="702"/>
      <c r="H2018" s="222"/>
    </row>
    <row r="2019">
      <c r="C2019" s="703"/>
      <c r="E2019" s="221"/>
      <c r="F2019" s="222"/>
      <c r="G2019" s="702"/>
      <c r="H2019" s="222"/>
    </row>
    <row r="2020">
      <c r="C2020" s="703"/>
      <c r="E2020" s="221"/>
      <c r="F2020" s="222"/>
      <c r="G2020" s="702"/>
      <c r="H2020" s="222"/>
    </row>
    <row r="2021">
      <c r="C2021" s="703"/>
      <c r="E2021" s="221"/>
      <c r="F2021" s="222"/>
      <c r="G2021" s="702"/>
      <c r="H2021" s="222"/>
    </row>
    <row r="2022">
      <c r="C2022" s="703"/>
      <c r="E2022" s="221"/>
      <c r="F2022" s="222"/>
      <c r="G2022" s="702"/>
      <c r="H2022" s="222"/>
    </row>
    <row r="2023">
      <c r="C2023" s="703"/>
      <c r="E2023" s="221"/>
      <c r="F2023" s="222"/>
      <c r="G2023" s="702"/>
      <c r="H2023" s="222"/>
    </row>
    <row r="2024">
      <c r="C2024" s="703"/>
      <c r="E2024" s="221"/>
      <c r="F2024" s="222"/>
      <c r="G2024" s="702"/>
      <c r="H2024" s="222"/>
    </row>
    <row r="2025">
      <c r="C2025" s="703"/>
      <c r="E2025" s="221"/>
      <c r="F2025" s="222"/>
      <c r="G2025" s="702"/>
      <c r="H2025" s="222"/>
    </row>
    <row r="2026">
      <c r="C2026" s="703"/>
      <c r="E2026" s="221"/>
      <c r="F2026" s="222"/>
      <c r="G2026" s="702"/>
      <c r="H2026" s="222"/>
    </row>
    <row r="2027">
      <c r="C2027" s="703"/>
      <c r="E2027" s="221"/>
      <c r="F2027" s="222"/>
      <c r="G2027" s="702"/>
      <c r="H2027" s="222"/>
    </row>
    <row r="2028">
      <c r="C2028" s="703"/>
      <c r="E2028" s="221"/>
      <c r="F2028" s="222"/>
      <c r="G2028" s="702"/>
      <c r="H2028" s="222"/>
    </row>
    <row r="2029">
      <c r="C2029" s="703"/>
      <c r="E2029" s="221"/>
      <c r="F2029" s="222"/>
      <c r="G2029" s="702"/>
      <c r="H2029" s="222"/>
    </row>
    <row r="2030">
      <c r="C2030" s="703"/>
      <c r="E2030" s="221"/>
      <c r="F2030" s="222"/>
      <c r="G2030" s="702"/>
      <c r="H2030" s="222"/>
    </row>
    <row r="2031">
      <c r="C2031" s="703"/>
      <c r="E2031" s="221"/>
      <c r="F2031" s="222"/>
      <c r="G2031" s="702"/>
      <c r="H2031" s="222"/>
    </row>
    <row r="2032">
      <c r="C2032" s="703"/>
      <c r="E2032" s="221"/>
      <c r="F2032" s="222"/>
      <c r="G2032" s="702"/>
      <c r="H2032" s="222"/>
    </row>
    <row r="2033">
      <c r="C2033" s="703"/>
      <c r="E2033" s="221"/>
      <c r="F2033" s="222"/>
      <c r="G2033" s="702"/>
      <c r="H2033" s="222"/>
    </row>
    <row r="2034">
      <c r="C2034" s="703"/>
      <c r="E2034" s="221"/>
      <c r="F2034" s="222"/>
      <c r="G2034" s="702"/>
      <c r="H2034" s="222"/>
    </row>
    <row r="2035">
      <c r="C2035" s="703"/>
      <c r="E2035" s="221"/>
      <c r="F2035" s="222"/>
      <c r="G2035" s="702"/>
      <c r="H2035" s="222"/>
    </row>
    <row r="2036">
      <c r="C2036" s="703"/>
      <c r="E2036" s="221"/>
      <c r="F2036" s="222"/>
      <c r="G2036" s="702"/>
      <c r="H2036" s="222"/>
    </row>
    <row r="2037">
      <c r="C2037" s="703"/>
      <c r="E2037" s="221"/>
      <c r="F2037" s="222"/>
      <c r="G2037" s="702"/>
      <c r="H2037" s="222"/>
    </row>
    <row r="2038">
      <c r="C2038" s="703"/>
      <c r="E2038" s="221"/>
      <c r="F2038" s="222"/>
      <c r="G2038" s="702"/>
      <c r="H2038" s="222"/>
    </row>
    <row r="2039">
      <c r="C2039" s="703"/>
      <c r="E2039" s="221"/>
      <c r="F2039" s="222"/>
      <c r="G2039" s="702"/>
      <c r="H2039" s="222"/>
    </row>
    <row r="2040">
      <c r="C2040" s="703"/>
      <c r="E2040" s="221"/>
      <c r="F2040" s="222"/>
      <c r="G2040" s="702"/>
      <c r="H2040" s="222"/>
    </row>
    <row r="2041">
      <c r="C2041" s="703"/>
      <c r="E2041" s="221"/>
      <c r="F2041" s="222"/>
      <c r="G2041" s="702"/>
      <c r="H2041" s="222"/>
    </row>
    <row r="2042">
      <c r="C2042" s="703"/>
      <c r="E2042" s="221"/>
      <c r="F2042" s="222"/>
      <c r="G2042" s="702"/>
      <c r="H2042" s="222"/>
    </row>
    <row r="2043">
      <c r="C2043" s="703"/>
      <c r="E2043" s="221"/>
      <c r="F2043" s="222"/>
      <c r="G2043" s="702"/>
      <c r="H2043" s="222"/>
    </row>
    <row r="2044">
      <c r="C2044" s="703"/>
      <c r="E2044" s="221"/>
      <c r="F2044" s="222"/>
      <c r="G2044" s="702"/>
      <c r="H2044" s="222"/>
    </row>
    <row r="2045">
      <c r="C2045" s="703"/>
      <c r="E2045" s="221"/>
      <c r="F2045" s="222"/>
      <c r="G2045" s="702"/>
      <c r="H2045" s="222"/>
    </row>
    <row r="2046">
      <c r="C2046" s="703"/>
      <c r="E2046" s="221"/>
      <c r="F2046" s="222"/>
      <c r="G2046" s="702"/>
      <c r="H2046" s="222"/>
    </row>
    <row r="2047">
      <c r="C2047" s="703"/>
      <c r="E2047" s="221"/>
      <c r="F2047" s="222"/>
      <c r="G2047" s="702"/>
      <c r="H2047" s="222"/>
    </row>
    <row r="2048">
      <c r="C2048" s="703"/>
      <c r="E2048" s="221"/>
      <c r="F2048" s="222"/>
      <c r="G2048" s="702"/>
      <c r="H2048" s="222"/>
    </row>
    <row r="2049">
      <c r="C2049" s="703"/>
      <c r="E2049" s="221"/>
      <c r="F2049" s="222"/>
      <c r="G2049" s="702"/>
      <c r="H2049" s="222"/>
    </row>
    <row r="2050">
      <c r="C2050" s="703"/>
      <c r="E2050" s="221"/>
      <c r="F2050" s="222"/>
      <c r="G2050" s="702"/>
      <c r="H2050" s="222"/>
    </row>
    <row r="2051">
      <c r="C2051" s="703"/>
      <c r="E2051" s="221"/>
      <c r="F2051" s="222"/>
      <c r="G2051" s="702"/>
      <c r="H2051" s="222"/>
    </row>
    <row r="2052">
      <c r="C2052" s="703"/>
      <c r="E2052" s="221"/>
      <c r="F2052" s="222"/>
      <c r="G2052" s="702"/>
      <c r="H2052" s="222"/>
    </row>
    <row r="2053">
      <c r="C2053" s="703"/>
      <c r="E2053" s="221"/>
      <c r="F2053" s="222"/>
      <c r="G2053" s="702"/>
      <c r="H2053" s="222"/>
    </row>
    <row r="2054">
      <c r="C2054" s="703"/>
      <c r="E2054" s="221"/>
      <c r="F2054" s="222"/>
      <c r="G2054" s="702"/>
      <c r="H2054" s="222"/>
    </row>
    <row r="2055">
      <c r="C2055" s="703"/>
      <c r="E2055" s="221"/>
      <c r="F2055" s="222"/>
      <c r="G2055" s="702"/>
      <c r="H2055" s="222"/>
    </row>
    <row r="2056">
      <c r="C2056" s="703"/>
      <c r="E2056" s="221"/>
      <c r="F2056" s="222"/>
      <c r="G2056" s="702"/>
      <c r="H2056" s="222"/>
    </row>
    <row r="2057">
      <c r="C2057" s="703"/>
      <c r="E2057" s="221"/>
      <c r="F2057" s="222"/>
      <c r="G2057" s="702"/>
      <c r="H2057" s="222"/>
    </row>
    <row r="2058">
      <c r="C2058" s="703"/>
      <c r="E2058" s="221"/>
      <c r="F2058" s="222"/>
      <c r="G2058" s="702"/>
      <c r="H2058" s="222"/>
    </row>
    <row r="2059">
      <c r="C2059" s="703"/>
      <c r="E2059" s="221"/>
      <c r="F2059" s="222"/>
      <c r="G2059" s="702"/>
      <c r="H2059" s="222"/>
    </row>
    <row r="2060">
      <c r="C2060" s="703"/>
      <c r="E2060" s="221"/>
      <c r="F2060" s="222"/>
      <c r="G2060" s="702"/>
      <c r="H2060" s="222"/>
    </row>
    <row r="2061">
      <c r="C2061" s="703"/>
      <c r="E2061" s="221"/>
      <c r="F2061" s="222"/>
      <c r="G2061" s="702"/>
      <c r="H2061" s="222"/>
    </row>
    <row r="2062">
      <c r="C2062" s="703"/>
      <c r="E2062" s="221"/>
      <c r="F2062" s="222"/>
      <c r="G2062" s="702"/>
      <c r="H2062" s="222"/>
    </row>
    <row r="2063">
      <c r="C2063" s="703"/>
      <c r="E2063" s="221"/>
      <c r="F2063" s="222"/>
      <c r="G2063" s="702"/>
      <c r="H2063" s="222"/>
    </row>
    <row r="2064">
      <c r="C2064" s="703"/>
      <c r="E2064" s="221"/>
      <c r="F2064" s="222"/>
      <c r="G2064" s="702"/>
      <c r="H2064" s="222"/>
    </row>
    <row r="2065">
      <c r="C2065" s="703"/>
      <c r="E2065" s="221"/>
      <c r="F2065" s="222"/>
      <c r="G2065" s="702"/>
      <c r="H2065" s="222"/>
    </row>
    <row r="2066">
      <c r="C2066" s="703"/>
      <c r="E2066" s="221"/>
      <c r="F2066" s="222"/>
      <c r="G2066" s="702"/>
      <c r="H2066" s="222"/>
    </row>
    <row r="2067">
      <c r="C2067" s="703"/>
      <c r="E2067" s="221"/>
      <c r="F2067" s="222"/>
      <c r="G2067" s="702"/>
      <c r="H2067" s="222"/>
    </row>
    <row r="2068">
      <c r="C2068" s="703"/>
      <c r="E2068" s="221"/>
      <c r="F2068" s="222"/>
      <c r="G2068" s="702"/>
      <c r="H2068" s="222"/>
    </row>
    <row r="2069">
      <c r="C2069" s="703"/>
      <c r="E2069" s="221"/>
      <c r="F2069" s="222"/>
      <c r="G2069" s="702"/>
      <c r="H2069" s="222"/>
    </row>
    <row r="2070">
      <c r="C2070" s="703"/>
      <c r="E2070" s="221"/>
      <c r="F2070" s="222"/>
      <c r="G2070" s="702"/>
      <c r="H2070" s="222"/>
    </row>
    <row r="2071">
      <c r="C2071" s="703"/>
      <c r="E2071" s="221"/>
      <c r="F2071" s="222"/>
      <c r="G2071" s="702"/>
      <c r="H2071" s="222"/>
    </row>
    <row r="2072">
      <c r="C2072" s="703"/>
      <c r="E2072" s="221"/>
      <c r="F2072" s="222"/>
      <c r="G2072" s="702"/>
      <c r="H2072" s="222"/>
    </row>
    <row r="2073">
      <c r="C2073" s="703"/>
      <c r="E2073" s="221"/>
      <c r="F2073" s="222"/>
      <c r="G2073" s="702"/>
      <c r="H2073" s="222"/>
    </row>
    <row r="2074">
      <c r="C2074" s="703"/>
      <c r="E2074" s="221"/>
      <c r="F2074" s="222"/>
      <c r="G2074" s="702"/>
      <c r="H2074" s="222"/>
    </row>
    <row r="2075">
      <c r="C2075" s="703"/>
      <c r="E2075" s="221"/>
      <c r="F2075" s="222"/>
      <c r="G2075" s="702"/>
      <c r="H2075" s="222"/>
    </row>
    <row r="2076">
      <c r="C2076" s="703"/>
      <c r="E2076" s="221"/>
      <c r="F2076" s="222"/>
      <c r="G2076" s="702"/>
      <c r="H2076" s="222"/>
    </row>
    <row r="2077">
      <c r="C2077" s="703"/>
      <c r="E2077" s="221"/>
      <c r="F2077" s="222"/>
      <c r="G2077" s="702"/>
      <c r="H2077" s="222"/>
    </row>
    <row r="2078">
      <c r="C2078" s="703"/>
      <c r="E2078" s="221"/>
      <c r="F2078" s="222"/>
      <c r="G2078" s="702"/>
      <c r="H2078" s="222"/>
    </row>
    <row r="2079">
      <c r="C2079" s="703"/>
      <c r="E2079" s="221"/>
      <c r="F2079" s="222"/>
      <c r="G2079" s="702"/>
      <c r="H2079" s="222"/>
    </row>
    <row r="2080">
      <c r="C2080" s="703"/>
      <c r="E2080" s="221"/>
      <c r="F2080" s="222"/>
      <c r="G2080" s="702"/>
      <c r="H2080" s="222"/>
    </row>
    <row r="2081">
      <c r="C2081" s="703"/>
      <c r="E2081" s="221"/>
      <c r="F2081" s="222"/>
      <c r="G2081" s="702"/>
      <c r="H2081" s="222"/>
    </row>
    <row r="2082">
      <c r="C2082" s="703"/>
      <c r="E2082" s="221"/>
      <c r="F2082" s="222"/>
      <c r="G2082" s="702"/>
      <c r="H2082" s="222"/>
    </row>
    <row r="2083">
      <c r="C2083" s="703"/>
      <c r="E2083" s="221"/>
      <c r="F2083" s="222"/>
      <c r="G2083" s="702"/>
      <c r="H2083" s="222"/>
    </row>
    <row r="2084">
      <c r="C2084" s="703"/>
      <c r="E2084" s="221"/>
      <c r="F2084" s="222"/>
      <c r="G2084" s="702"/>
      <c r="H2084" s="222"/>
    </row>
    <row r="2085">
      <c r="C2085" s="703"/>
      <c r="E2085" s="221"/>
      <c r="F2085" s="222"/>
      <c r="G2085" s="702"/>
      <c r="H2085" s="222"/>
    </row>
    <row r="2086">
      <c r="C2086" s="703"/>
      <c r="E2086" s="221"/>
      <c r="F2086" s="222"/>
      <c r="G2086" s="702"/>
      <c r="H2086" s="222"/>
    </row>
    <row r="2087">
      <c r="C2087" s="703"/>
      <c r="E2087" s="221"/>
      <c r="F2087" s="222"/>
      <c r="G2087" s="702"/>
      <c r="H2087" s="222"/>
    </row>
    <row r="2088">
      <c r="C2088" s="703"/>
      <c r="E2088" s="221"/>
      <c r="F2088" s="222"/>
      <c r="G2088" s="702"/>
      <c r="H2088" s="222"/>
    </row>
    <row r="2089">
      <c r="C2089" s="703"/>
      <c r="E2089" s="221"/>
      <c r="F2089" s="222"/>
      <c r="G2089" s="702"/>
      <c r="H2089" s="222"/>
    </row>
    <row r="2090">
      <c r="C2090" s="703"/>
      <c r="E2090" s="221"/>
      <c r="F2090" s="222"/>
      <c r="G2090" s="702"/>
      <c r="H2090" s="222"/>
    </row>
    <row r="2091">
      <c r="C2091" s="703"/>
      <c r="E2091" s="221"/>
      <c r="F2091" s="222"/>
      <c r="G2091" s="702"/>
      <c r="H2091" s="222"/>
    </row>
    <row r="2092">
      <c r="C2092" s="703"/>
      <c r="E2092" s="221"/>
      <c r="F2092" s="222"/>
      <c r="G2092" s="702"/>
      <c r="H2092" s="222"/>
    </row>
    <row r="2093">
      <c r="C2093" s="703"/>
      <c r="E2093" s="221"/>
      <c r="F2093" s="222"/>
      <c r="G2093" s="702"/>
      <c r="H2093" s="222"/>
    </row>
    <row r="2094">
      <c r="C2094" s="703"/>
      <c r="E2094" s="221"/>
      <c r="F2094" s="222"/>
      <c r="G2094" s="702"/>
      <c r="H2094" s="222"/>
    </row>
    <row r="2095">
      <c r="C2095" s="703"/>
      <c r="E2095" s="221"/>
      <c r="F2095" s="222"/>
      <c r="G2095" s="702"/>
      <c r="H2095" s="222"/>
    </row>
    <row r="2096">
      <c r="C2096" s="703"/>
      <c r="E2096" s="221"/>
      <c r="F2096" s="222"/>
      <c r="G2096" s="702"/>
      <c r="H2096" s="222"/>
    </row>
    <row r="2097">
      <c r="C2097" s="703"/>
      <c r="E2097" s="221"/>
      <c r="F2097" s="222"/>
      <c r="G2097" s="702"/>
      <c r="H2097" s="222"/>
    </row>
    <row r="2098">
      <c r="C2098" s="703"/>
      <c r="E2098" s="221"/>
      <c r="F2098" s="222"/>
      <c r="G2098" s="702"/>
      <c r="H2098" s="222"/>
    </row>
    <row r="2099">
      <c r="C2099" s="703"/>
      <c r="E2099" s="221"/>
      <c r="F2099" s="222"/>
      <c r="G2099" s="702"/>
      <c r="H2099" s="222"/>
    </row>
    <row r="2100">
      <c r="C2100" s="703"/>
      <c r="E2100" s="221"/>
      <c r="F2100" s="222"/>
      <c r="G2100" s="702"/>
      <c r="H2100" s="222"/>
    </row>
    <row r="2101">
      <c r="C2101" s="703"/>
      <c r="E2101" s="221"/>
      <c r="F2101" s="222"/>
      <c r="G2101" s="702"/>
      <c r="H2101" s="222"/>
    </row>
    <row r="2102">
      <c r="C2102" s="703"/>
      <c r="E2102" s="221"/>
      <c r="F2102" s="222"/>
      <c r="G2102" s="702"/>
      <c r="H2102" s="222"/>
    </row>
    <row r="2103">
      <c r="C2103" s="703"/>
      <c r="E2103" s="221"/>
      <c r="F2103" s="222"/>
      <c r="G2103" s="702"/>
      <c r="H2103" s="222"/>
    </row>
    <row r="2104">
      <c r="C2104" s="703"/>
      <c r="E2104" s="221"/>
      <c r="F2104" s="222"/>
      <c r="G2104" s="702"/>
      <c r="H2104" s="222"/>
    </row>
    <row r="2105">
      <c r="C2105" s="703"/>
      <c r="E2105" s="221"/>
      <c r="F2105" s="222"/>
      <c r="G2105" s="702"/>
      <c r="H2105" s="222"/>
    </row>
    <row r="2106">
      <c r="C2106" s="703"/>
      <c r="E2106" s="221"/>
      <c r="F2106" s="222"/>
      <c r="G2106" s="702"/>
      <c r="H2106" s="222"/>
    </row>
    <row r="2107">
      <c r="C2107" s="703"/>
      <c r="E2107" s="221"/>
      <c r="F2107" s="222"/>
      <c r="G2107" s="702"/>
      <c r="H2107" s="222"/>
    </row>
    <row r="2108">
      <c r="C2108" s="703"/>
      <c r="E2108" s="221"/>
      <c r="F2108" s="222"/>
      <c r="G2108" s="702"/>
      <c r="H2108" s="222"/>
    </row>
    <row r="2109">
      <c r="C2109" s="703"/>
      <c r="E2109" s="221"/>
      <c r="F2109" s="222"/>
      <c r="G2109" s="702"/>
      <c r="H2109" s="222"/>
    </row>
    <row r="2110">
      <c r="C2110" s="703"/>
      <c r="E2110" s="221"/>
      <c r="F2110" s="222"/>
      <c r="G2110" s="702"/>
      <c r="H2110" s="222"/>
    </row>
    <row r="2111">
      <c r="C2111" s="703"/>
      <c r="E2111" s="221"/>
      <c r="F2111" s="222"/>
      <c r="G2111" s="702"/>
      <c r="H2111" s="222"/>
    </row>
    <row r="2112">
      <c r="C2112" s="703"/>
      <c r="E2112" s="221"/>
      <c r="F2112" s="222"/>
      <c r="G2112" s="702"/>
      <c r="H2112" s="222"/>
    </row>
    <row r="2113">
      <c r="C2113" s="703"/>
      <c r="E2113" s="221"/>
      <c r="F2113" s="222"/>
      <c r="G2113" s="702"/>
      <c r="H2113" s="222"/>
    </row>
    <row r="2114">
      <c r="C2114" s="703"/>
      <c r="E2114" s="221"/>
      <c r="F2114" s="222"/>
      <c r="G2114" s="702"/>
      <c r="H2114" s="222"/>
    </row>
    <row r="2115">
      <c r="C2115" s="703"/>
      <c r="E2115" s="221"/>
      <c r="F2115" s="222"/>
      <c r="G2115" s="702"/>
      <c r="H2115" s="222"/>
    </row>
    <row r="2116">
      <c r="C2116" s="703"/>
      <c r="E2116" s="221"/>
      <c r="F2116" s="222"/>
      <c r="G2116" s="702"/>
      <c r="H2116" s="222"/>
    </row>
    <row r="2117">
      <c r="C2117" s="703"/>
      <c r="E2117" s="221"/>
      <c r="F2117" s="222"/>
      <c r="G2117" s="702"/>
      <c r="H2117" s="222"/>
    </row>
    <row r="2118">
      <c r="C2118" s="703"/>
      <c r="E2118" s="221"/>
      <c r="F2118" s="222"/>
      <c r="G2118" s="702"/>
      <c r="H2118" s="222"/>
    </row>
    <row r="2119">
      <c r="C2119" s="703"/>
      <c r="E2119" s="221"/>
      <c r="F2119" s="222"/>
      <c r="G2119" s="702"/>
      <c r="H2119" s="222"/>
    </row>
    <row r="2120">
      <c r="C2120" s="703"/>
      <c r="E2120" s="221"/>
      <c r="F2120" s="222"/>
      <c r="G2120" s="702"/>
      <c r="H2120" s="222"/>
    </row>
    <row r="2121">
      <c r="C2121" s="703"/>
      <c r="E2121" s="221"/>
      <c r="F2121" s="222"/>
      <c r="G2121" s="702"/>
      <c r="H2121" s="222"/>
    </row>
    <row r="2122">
      <c r="C2122" s="703"/>
      <c r="E2122" s="221"/>
      <c r="F2122" s="222"/>
      <c r="G2122" s="702"/>
      <c r="H2122" s="222"/>
    </row>
    <row r="2123">
      <c r="C2123" s="703"/>
      <c r="E2123" s="221"/>
      <c r="F2123" s="222"/>
      <c r="G2123" s="702"/>
      <c r="H2123" s="222"/>
    </row>
    <row r="2124">
      <c r="C2124" s="703"/>
      <c r="E2124" s="221"/>
      <c r="F2124" s="222"/>
      <c r="G2124" s="702"/>
      <c r="H2124" s="222"/>
    </row>
    <row r="2125">
      <c r="C2125" s="703"/>
      <c r="E2125" s="221"/>
      <c r="F2125" s="222"/>
      <c r="G2125" s="702"/>
      <c r="H2125" s="222"/>
    </row>
    <row r="2126">
      <c r="C2126" s="703"/>
      <c r="E2126" s="221"/>
      <c r="F2126" s="222"/>
      <c r="G2126" s="702"/>
      <c r="H2126" s="222"/>
    </row>
    <row r="2127">
      <c r="C2127" s="703"/>
      <c r="E2127" s="221"/>
      <c r="F2127" s="222"/>
      <c r="G2127" s="702"/>
      <c r="H2127" s="222"/>
    </row>
    <row r="2128">
      <c r="C2128" s="703"/>
      <c r="E2128" s="221"/>
      <c r="F2128" s="222"/>
      <c r="G2128" s="702"/>
      <c r="H2128" s="222"/>
    </row>
    <row r="2129">
      <c r="C2129" s="703"/>
      <c r="E2129" s="221"/>
      <c r="F2129" s="222"/>
      <c r="G2129" s="702"/>
      <c r="H2129" s="222"/>
    </row>
    <row r="2130">
      <c r="C2130" s="703"/>
      <c r="E2130" s="221"/>
      <c r="F2130" s="222"/>
      <c r="G2130" s="702"/>
      <c r="H2130" s="222"/>
    </row>
    <row r="2131">
      <c r="C2131" s="703"/>
      <c r="E2131" s="221"/>
      <c r="F2131" s="222"/>
      <c r="G2131" s="702"/>
      <c r="H2131" s="222"/>
    </row>
    <row r="2132">
      <c r="C2132" s="703"/>
      <c r="E2132" s="221"/>
      <c r="F2132" s="222"/>
      <c r="G2132" s="702"/>
      <c r="H2132" s="222"/>
    </row>
    <row r="2133">
      <c r="C2133" s="703"/>
      <c r="E2133" s="221"/>
      <c r="F2133" s="222"/>
      <c r="G2133" s="702"/>
      <c r="H2133" s="222"/>
    </row>
    <row r="2134">
      <c r="C2134" s="703"/>
      <c r="E2134" s="221"/>
      <c r="F2134" s="222"/>
      <c r="G2134" s="702"/>
      <c r="H2134" s="222"/>
    </row>
    <row r="2135">
      <c r="C2135" s="703"/>
      <c r="E2135" s="221"/>
      <c r="F2135" s="222"/>
      <c r="G2135" s="702"/>
      <c r="H2135" s="222"/>
    </row>
    <row r="2136">
      <c r="C2136" s="703"/>
      <c r="E2136" s="221"/>
      <c r="F2136" s="222"/>
      <c r="G2136" s="702"/>
      <c r="H2136" s="222"/>
    </row>
    <row r="2137">
      <c r="C2137" s="703"/>
      <c r="E2137" s="221"/>
      <c r="F2137" s="222"/>
      <c r="G2137" s="702"/>
      <c r="H2137" s="222"/>
    </row>
    <row r="2138">
      <c r="C2138" s="703"/>
      <c r="E2138" s="221"/>
      <c r="F2138" s="222"/>
      <c r="G2138" s="702"/>
      <c r="H2138" s="222"/>
    </row>
    <row r="2139">
      <c r="C2139" s="703"/>
      <c r="E2139" s="221"/>
      <c r="F2139" s="222"/>
      <c r="G2139" s="702"/>
      <c r="H2139" s="222"/>
    </row>
    <row r="2140">
      <c r="C2140" s="703"/>
      <c r="E2140" s="221"/>
      <c r="F2140" s="222"/>
      <c r="G2140" s="702"/>
      <c r="H2140" s="222"/>
    </row>
    <row r="2141">
      <c r="C2141" s="703"/>
      <c r="E2141" s="221"/>
      <c r="F2141" s="222"/>
      <c r="G2141" s="702"/>
      <c r="H2141" s="222"/>
    </row>
    <row r="2142">
      <c r="C2142" s="703"/>
      <c r="E2142" s="221"/>
      <c r="F2142" s="222"/>
      <c r="G2142" s="702"/>
      <c r="H2142" s="222"/>
    </row>
    <row r="2143">
      <c r="C2143" s="703"/>
      <c r="E2143" s="221"/>
      <c r="F2143" s="222"/>
      <c r="G2143" s="702"/>
      <c r="H2143" s="222"/>
    </row>
    <row r="2144">
      <c r="C2144" s="703"/>
      <c r="E2144" s="221"/>
      <c r="F2144" s="222"/>
      <c r="G2144" s="702"/>
      <c r="H2144" s="222"/>
    </row>
    <row r="2145">
      <c r="C2145" s="703"/>
      <c r="E2145" s="221"/>
      <c r="F2145" s="222"/>
      <c r="G2145" s="702"/>
      <c r="H2145" s="222"/>
    </row>
    <row r="2146">
      <c r="C2146" s="703"/>
      <c r="E2146" s="221"/>
      <c r="F2146" s="222"/>
      <c r="G2146" s="702"/>
      <c r="H2146" s="222"/>
    </row>
    <row r="2147">
      <c r="C2147" s="703"/>
      <c r="E2147" s="221"/>
      <c r="F2147" s="222"/>
      <c r="G2147" s="702"/>
      <c r="H2147" s="222"/>
    </row>
    <row r="2148">
      <c r="C2148" s="703"/>
      <c r="E2148" s="221"/>
      <c r="F2148" s="222"/>
      <c r="G2148" s="702"/>
      <c r="H2148" s="222"/>
    </row>
    <row r="2149">
      <c r="C2149" s="703"/>
      <c r="E2149" s="221"/>
      <c r="F2149" s="222"/>
      <c r="G2149" s="702"/>
      <c r="H2149" s="222"/>
    </row>
    <row r="2150">
      <c r="C2150" s="703"/>
      <c r="E2150" s="221"/>
      <c r="F2150" s="222"/>
      <c r="G2150" s="702"/>
      <c r="H2150" s="222"/>
    </row>
    <row r="2151">
      <c r="C2151" s="703"/>
      <c r="E2151" s="221"/>
      <c r="F2151" s="222"/>
      <c r="G2151" s="702"/>
      <c r="H2151" s="222"/>
    </row>
    <row r="2152">
      <c r="C2152" s="703"/>
      <c r="E2152" s="221"/>
      <c r="F2152" s="222"/>
      <c r="G2152" s="702"/>
      <c r="H2152" s="222"/>
    </row>
    <row r="2153">
      <c r="C2153" s="703"/>
      <c r="E2153" s="221"/>
      <c r="F2153" s="222"/>
      <c r="G2153" s="702"/>
      <c r="H2153" s="222"/>
    </row>
    <row r="2154">
      <c r="C2154" s="703"/>
      <c r="E2154" s="221"/>
      <c r="F2154" s="222"/>
      <c r="G2154" s="702"/>
      <c r="H2154" s="222"/>
    </row>
    <row r="2155">
      <c r="C2155" s="703"/>
      <c r="E2155" s="221"/>
      <c r="F2155" s="222"/>
      <c r="G2155" s="702"/>
      <c r="H2155" s="222"/>
    </row>
    <row r="2156">
      <c r="C2156" s="703"/>
      <c r="E2156" s="221"/>
      <c r="F2156" s="222"/>
      <c r="G2156" s="702"/>
      <c r="H2156" s="222"/>
    </row>
    <row r="2157">
      <c r="C2157" s="703"/>
      <c r="E2157" s="221"/>
      <c r="F2157" s="222"/>
      <c r="G2157" s="702"/>
      <c r="H2157" s="222"/>
    </row>
    <row r="2158">
      <c r="C2158" s="703"/>
      <c r="E2158" s="221"/>
      <c r="F2158" s="222"/>
      <c r="G2158" s="702"/>
      <c r="H2158" s="222"/>
    </row>
    <row r="2159">
      <c r="C2159" s="703"/>
      <c r="E2159" s="221"/>
      <c r="F2159" s="222"/>
      <c r="G2159" s="702"/>
      <c r="H2159" s="222"/>
    </row>
    <row r="2160">
      <c r="C2160" s="703"/>
      <c r="E2160" s="221"/>
      <c r="F2160" s="222"/>
      <c r="G2160" s="702"/>
      <c r="H2160" s="222"/>
    </row>
    <row r="2161">
      <c r="C2161" s="703"/>
      <c r="E2161" s="221"/>
      <c r="F2161" s="222"/>
      <c r="G2161" s="702"/>
      <c r="H2161" s="222"/>
    </row>
    <row r="2162">
      <c r="C2162" s="703"/>
      <c r="E2162" s="221"/>
      <c r="F2162" s="222"/>
      <c r="G2162" s="702"/>
      <c r="H2162" s="222"/>
    </row>
    <row r="2163">
      <c r="C2163" s="703"/>
      <c r="E2163" s="221"/>
      <c r="F2163" s="222"/>
      <c r="G2163" s="702"/>
      <c r="H2163" s="222"/>
    </row>
    <row r="2164">
      <c r="C2164" s="703"/>
      <c r="E2164" s="221"/>
      <c r="F2164" s="222"/>
      <c r="G2164" s="702"/>
      <c r="H2164" s="222"/>
    </row>
    <row r="2165">
      <c r="C2165" s="703"/>
      <c r="E2165" s="221"/>
      <c r="F2165" s="222"/>
      <c r="G2165" s="702"/>
      <c r="H2165" s="222"/>
    </row>
    <row r="2166">
      <c r="C2166" s="703"/>
      <c r="E2166" s="221"/>
      <c r="F2166" s="222"/>
      <c r="G2166" s="702"/>
      <c r="H2166" s="222"/>
    </row>
    <row r="2167">
      <c r="C2167" s="703"/>
      <c r="E2167" s="221"/>
      <c r="F2167" s="222"/>
      <c r="G2167" s="702"/>
      <c r="H2167" s="222"/>
    </row>
    <row r="2168">
      <c r="C2168" s="703"/>
      <c r="E2168" s="221"/>
      <c r="F2168" s="222"/>
      <c r="G2168" s="702"/>
      <c r="H2168" s="222"/>
    </row>
    <row r="2169">
      <c r="C2169" s="703"/>
      <c r="E2169" s="221"/>
      <c r="F2169" s="222"/>
      <c r="G2169" s="702"/>
      <c r="H2169" s="222"/>
    </row>
    <row r="2170">
      <c r="C2170" s="703"/>
      <c r="E2170" s="221"/>
      <c r="F2170" s="222"/>
      <c r="G2170" s="702"/>
      <c r="H2170" s="222"/>
    </row>
    <row r="2171">
      <c r="C2171" s="703"/>
      <c r="E2171" s="221"/>
      <c r="F2171" s="222"/>
      <c r="G2171" s="702"/>
      <c r="H2171" s="222"/>
    </row>
    <row r="2172">
      <c r="C2172" s="703"/>
      <c r="E2172" s="221"/>
      <c r="F2172" s="222"/>
      <c r="G2172" s="702"/>
      <c r="H2172" s="222"/>
    </row>
    <row r="2173">
      <c r="C2173" s="703"/>
      <c r="E2173" s="221"/>
      <c r="F2173" s="222"/>
      <c r="G2173" s="702"/>
      <c r="H2173" s="222"/>
    </row>
    <row r="2174">
      <c r="C2174" s="703"/>
      <c r="E2174" s="221"/>
      <c r="F2174" s="222"/>
      <c r="G2174" s="702"/>
      <c r="H2174" s="222"/>
    </row>
    <row r="2175">
      <c r="C2175" s="703"/>
      <c r="E2175" s="221"/>
      <c r="F2175" s="222"/>
      <c r="G2175" s="702"/>
      <c r="H2175" s="222"/>
    </row>
    <row r="2176">
      <c r="C2176" s="703"/>
      <c r="E2176" s="221"/>
      <c r="F2176" s="222"/>
      <c r="G2176" s="702"/>
      <c r="H2176" s="222"/>
    </row>
    <row r="2177">
      <c r="C2177" s="703"/>
      <c r="E2177" s="221"/>
      <c r="F2177" s="222"/>
      <c r="G2177" s="702"/>
      <c r="H2177" s="222"/>
    </row>
    <row r="2178">
      <c r="C2178" s="703"/>
      <c r="E2178" s="221"/>
      <c r="F2178" s="222"/>
      <c r="G2178" s="702"/>
      <c r="H2178" s="222"/>
    </row>
    <row r="2179">
      <c r="C2179" s="703"/>
      <c r="E2179" s="221"/>
      <c r="F2179" s="222"/>
      <c r="G2179" s="702"/>
      <c r="H2179" s="222"/>
    </row>
    <row r="2180">
      <c r="C2180" s="703"/>
      <c r="E2180" s="221"/>
      <c r="F2180" s="222"/>
      <c r="G2180" s="702"/>
      <c r="H2180" s="222"/>
    </row>
    <row r="2181">
      <c r="C2181" s="703"/>
      <c r="E2181" s="221"/>
      <c r="F2181" s="222"/>
      <c r="G2181" s="702"/>
      <c r="H2181" s="222"/>
    </row>
    <row r="2182">
      <c r="C2182" s="703"/>
      <c r="E2182" s="221"/>
      <c r="F2182" s="222"/>
      <c r="G2182" s="702"/>
      <c r="H2182" s="222"/>
    </row>
    <row r="2183">
      <c r="C2183" s="703"/>
      <c r="E2183" s="221"/>
      <c r="F2183" s="222"/>
      <c r="G2183" s="702"/>
      <c r="H2183" s="222"/>
    </row>
    <row r="2184">
      <c r="C2184" s="703"/>
      <c r="E2184" s="221"/>
      <c r="F2184" s="222"/>
      <c r="G2184" s="702"/>
      <c r="H2184" s="222"/>
    </row>
    <row r="2185">
      <c r="C2185" s="703"/>
      <c r="E2185" s="221"/>
      <c r="F2185" s="222"/>
      <c r="G2185" s="702"/>
      <c r="H2185" s="222"/>
    </row>
    <row r="2186">
      <c r="C2186" s="703"/>
      <c r="E2186" s="221"/>
      <c r="F2186" s="222"/>
      <c r="G2186" s="702"/>
      <c r="H2186" s="222"/>
    </row>
    <row r="2187">
      <c r="C2187" s="703"/>
      <c r="E2187" s="221"/>
      <c r="F2187" s="222"/>
      <c r="G2187" s="702"/>
      <c r="H2187" s="222"/>
    </row>
    <row r="2188">
      <c r="C2188" s="703"/>
      <c r="E2188" s="221"/>
      <c r="F2188" s="222"/>
      <c r="G2188" s="702"/>
      <c r="H2188" s="222"/>
    </row>
    <row r="2189">
      <c r="C2189" s="703"/>
      <c r="E2189" s="221"/>
      <c r="F2189" s="222"/>
      <c r="G2189" s="702"/>
      <c r="H2189" s="222"/>
    </row>
    <row r="2190">
      <c r="C2190" s="703"/>
      <c r="E2190" s="221"/>
      <c r="F2190" s="222"/>
      <c r="G2190" s="702"/>
      <c r="H2190" s="222"/>
    </row>
    <row r="2191">
      <c r="C2191" s="703"/>
      <c r="E2191" s="221"/>
      <c r="F2191" s="222"/>
      <c r="G2191" s="702"/>
      <c r="H2191" s="222"/>
    </row>
    <row r="2192">
      <c r="C2192" s="703"/>
      <c r="E2192" s="221"/>
      <c r="F2192" s="222"/>
      <c r="G2192" s="702"/>
      <c r="H2192" s="222"/>
    </row>
    <row r="2193">
      <c r="C2193" s="703"/>
      <c r="E2193" s="221"/>
      <c r="F2193" s="222"/>
      <c r="G2193" s="702"/>
      <c r="H2193" s="222"/>
    </row>
    <row r="2194">
      <c r="C2194" s="703"/>
      <c r="E2194" s="221"/>
      <c r="F2194" s="222"/>
      <c r="G2194" s="702"/>
      <c r="H2194" s="222"/>
    </row>
    <row r="2195">
      <c r="C2195" s="703"/>
      <c r="E2195" s="221"/>
      <c r="F2195" s="222"/>
      <c r="G2195" s="702"/>
      <c r="H2195" s="222"/>
    </row>
    <row r="2196">
      <c r="C2196" s="703"/>
      <c r="E2196" s="221"/>
      <c r="F2196" s="222"/>
      <c r="G2196" s="702"/>
      <c r="H2196" s="222"/>
    </row>
    <row r="2197">
      <c r="C2197" s="703"/>
      <c r="E2197" s="221"/>
      <c r="F2197" s="222"/>
      <c r="G2197" s="702"/>
      <c r="H2197" s="222"/>
    </row>
    <row r="2198">
      <c r="C2198" s="703"/>
      <c r="E2198" s="221"/>
      <c r="F2198" s="222"/>
      <c r="G2198" s="702"/>
      <c r="H2198" s="222"/>
    </row>
    <row r="2199">
      <c r="C2199" s="703"/>
      <c r="E2199" s="221"/>
      <c r="F2199" s="222"/>
      <c r="G2199" s="702"/>
      <c r="H2199" s="222"/>
    </row>
    <row r="2200">
      <c r="C2200" s="703"/>
      <c r="E2200" s="221"/>
      <c r="F2200" s="222"/>
      <c r="G2200" s="702"/>
      <c r="H2200" s="222"/>
    </row>
    <row r="2201">
      <c r="C2201" s="703"/>
      <c r="E2201" s="221"/>
      <c r="F2201" s="222"/>
      <c r="G2201" s="702"/>
      <c r="H2201" s="222"/>
    </row>
    <row r="2202">
      <c r="C2202" s="703"/>
      <c r="E2202" s="221"/>
      <c r="F2202" s="222"/>
      <c r="G2202" s="702"/>
      <c r="H2202" s="222"/>
    </row>
    <row r="2203">
      <c r="C2203" s="703"/>
      <c r="E2203" s="221"/>
      <c r="F2203" s="222"/>
      <c r="G2203" s="702"/>
      <c r="H2203" s="222"/>
    </row>
    <row r="2204">
      <c r="C2204" s="703"/>
      <c r="E2204" s="221"/>
      <c r="F2204" s="222"/>
      <c r="G2204" s="702"/>
      <c r="H2204" s="222"/>
    </row>
    <row r="2205">
      <c r="C2205" s="703"/>
      <c r="E2205" s="221"/>
      <c r="F2205" s="222"/>
      <c r="G2205" s="702"/>
      <c r="H2205" s="222"/>
    </row>
    <row r="2206">
      <c r="C2206" s="703"/>
      <c r="E2206" s="221"/>
      <c r="F2206" s="222"/>
      <c r="G2206" s="702"/>
      <c r="H2206" s="222"/>
    </row>
    <row r="2207">
      <c r="C2207" s="703"/>
      <c r="E2207" s="221"/>
      <c r="F2207" s="222"/>
      <c r="G2207" s="702"/>
      <c r="H2207" s="222"/>
    </row>
    <row r="2208">
      <c r="C2208" s="703"/>
      <c r="E2208" s="221"/>
      <c r="F2208" s="222"/>
      <c r="G2208" s="702"/>
      <c r="H2208" s="222"/>
    </row>
    <row r="2209">
      <c r="C2209" s="703"/>
      <c r="E2209" s="221"/>
      <c r="F2209" s="222"/>
      <c r="G2209" s="702"/>
      <c r="H2209" s="222"/>
    </row>
    <row r="2210">
      <c r="C2210" s="703"/>
      <c r="E2210" s="221"/>
      <c r="F2210" s="222"/>
      <c r="G2210" s="702"/>
      <c r="H2210" s="222"/>
    </row>
    <row r="2211">
      <c r="C2211" s="703"/>
      <c r="E2211" s="221"/>
      <c r="F2211" s="222"/>
      <c r="G2211" s="702"/>
      <c r="H2211" s="222"/>
    </row>
    <row r="2212">
      <c r="C2212" s="703"/>
      <c r="E2212" s="221"/>
      <c r="F2212" s="222"/>
      <c r="G2212" s="702"/>
      <c r="H2212" s="222"/>
    </row>
    <row r="2213">
      <c r="C2213" s="703"/>
      <c r="E2213" s="221"/>
      <c r="F2213" s="222"/>
      <c r="G2213" s="702"/>
      <c r="H2213" s="222"/>
    </row>
    <row r="2214">
      <c r="C2214" s="703"/>
      <c r="E2214" s="221"/>
      <c r="F2214" s="222"/>
      <c r="G2214" s="702"/>
      <c r="H2214" s="222"/>
    </row>
    <row r="2215">
      <c r="C2215" s="703"/>
      <c r="E2215" s="221"/>
      <c r="F2215" s="222"/>
      <c r="G2215" s="702"/>
      <c r="H2215" s="222"/>
    </row>
    <row r="2216">
      <c r="C2216" s="703"/>
      <c r="E2216" s="221"/>
      <c r="F2216" s="222"/>
      <c r="G2216" s="702"/>
      <c r="H2216" s="222"/>
    </row>
    <row r="2217">
      <c r="C2217" s="703"/>
      <c r="E2217" s="221"/>
      <c r="F2217" s="222"/>
      <c r="G2217" s="702"/>
      <c r="H2217" s="222"/>
    </row>
    <row r="2218">
      <c r="C2218" s="703"/>
      <c r="E2218" s="221"/>
      <c r="F2218" s="222"/>
      <c r="G2218" s="702"/>
      <c r="H2218" s="222"/>
    </row>
    <row r="2219">
      <c r="C2219" s="703"/>
      <c r="E2219" s="221"/>
      <c r="F2219" s="222"/>
      <c r="G2219" s="702"/>
      <c r="H2219" s="222"/>
    </row>
    <row r="2220">
      <c r="C2220" s="703"/>
      <c r="E2220" s="221"/>
      <c r="F2220" s="222"/>
      <c r="G2220" s="702"/>
      <c r="H2220" s="222"/>
    </row>
    <row r="2221">
      <c r="C2221" s="703"/>
      <c r="E2221" s="221"/>
      <c r="F2221" s="222"/>
      <c r="G2221" s="702"/>
      <c r="H2221" s="222"/>
    </row>
    <row r="2222">
      <c r="C2222" s="703"/>
      <c r="E2222" s="221"/>
      <c r="F2222" s="222"/>
      <c r="G2222" s="702"/>
      <c r="H2222" s="222"/>
    </row>
    <row r="2223">
      <c r="C2223" s="703"/>
      <c r="E2223" s="221"/>
      <c r="F2223" s="222"/>
      <c r="G2223" s="702"/>
      <c r="H2223" s="222"/>
    </row>
    <row r="2224">
      <c r="C2224" s="703"/>
      <c r="E2224" s="221"/>
      <c r="F2224" s="222"/>
      <c r="G2224" s="702"/>
      <c r="H2224" s="222"/>
    </row>
    <row r="2225">
      <c r="C2225" s="703"/>
      <c r="E2225" s="221"/>
      <c r="F2225" s="222"/>
      <c r="G2225" s="702"/>
      <c r="H2225" s="222"/>
    </row>
    <row r="2226">
      <c r="C2226" s="703"/>
      <c r="E2226" s="221"/>
      <c r="F2226" s="222"/>
      <c r="G2226" s="702"/>
      <c r="H2226" s="222"/>
    </row>
    <row r="2227">
      <c r="C2227" s="703"/>
      <c r="E2227" s="221"/>
      <c r="F2227" s="222"/>
      <c r="G2227" s="702"/>
      <c r="H2227" s="222"/>
    </row>
    <row r="2228">
      <c r="C2228" s="703"/>
      <c r="E2228" s="221"/>
      <c r="F2228" s="222"/>
      <c r="G2228" s="702"/>
      <c r="H2228" s="222"/>
    </row>
    <row r="2229">
      <c r="C2229" s="703"/>
      <c r="E2229" s="221"/>
      <c r="F2229" s="222"/>
      <c r="G2229" s="702"/>
      <c r="H2229" s="222"/>
    </row>
    <row r="2230">
      <c r="C2230" s="703"/>
      <c r="E2230" s="221"/>
      <c r="F2230" s="222"/>
      <c r="G2230" s="702"/>
      <c r="H2230" s="222"/>
    </row>
    <row r="2231">
      <c r="C2231" s="703"/>
      <c r="E2231" s="221"/>
      <c r="F2231" s="222"/>
      <c r="G2231" s="702"/>
      <c r="H2231" s="222"/>
    </row>
    <row r="2232">
      <c r="C2232" s="703"/>
      <c r="E2232" s="221"/>
      <c r="F2232" s="222"/>
      <c r="G2232" s="702"/>
      <c r="H2232" s="222"/>
    </row>
    <row r="2233">
      <c r="C2233" s="703"/>
      <c r="E2233" s="221"/>
      <c r="F2233" s="222"/>
      <c r="G2233" s="702"/>
      <c r="H2233" s="222"/>
    </row>
    <row r="2234">
      <c r="C2234" s="703"/>
      <c r="E2234" s="221"/>
      <c r="F2234" s="222"/>
      <c r="G2234" s="702"/>
      <c r="H2234" s="222"/>
    </row>
    <row r="2235">
      <c r="C2235" s="703"/>
      <c r="E2235" s="221"/>
      <c r="F2235" s="222"/>
      <c r="G2235" s="702"/>
      <c r="H2235" s="222"/>
    </row>
    <row r="2236">
      <c r="C2236" s="703"/>
      <c r="E2236" s="221"/>
      <c r="F2236" s="222"/>
      <c r="G2236" s="702"/>
      <c r="H2236" s="222"/>
    </row>
    <row r="2237">
      <c r="C2237" s="703"/>
      <c r="E2237" s="221"/>
      <c r="F2237" s="222"/>
      <c r="G2237" s="702"/>
      <c r="H2237" s="222"/>
    </row>
    <row r="2238">
      <c r="C2238" s="703"/>
      <c r="E2238" s="221"/>
      <c r="F2238" s="222"/>
      <c r="G2238" s="702"/>
      <c r="H2238" s="222"/>
    </row>
    <row r="2239">
      <c r="C2239" s="703"/>
      <c r="E2239" s="221"/>
      <c r="F2239" s="222"/>
      <c r="G2239" s="702"/>
      <c r="H2239" s="222"/>
    </row>
    <row r="2240">
      <c r="C2240" s="703"/>
      <c r="E2240" s="221"/>
      <c r="F2240" s="222"/>
      <c r="G2240" s="702"/>
      <c r="H2240" s="222"/>
    </row>
    <row r="2241">
      <c r="C2241" s="703"/>
      <c r="E2241" s="221"/>
      <c r="F2241" s="222"/>
      <c r="G2241" s="702"/>
      <c r="H2241" s="222"/>
    </row>
    <row r="2242">
      <c r="C2242" s="703"/>
      <c r="E2242" s="221"/>
      <c r="F2242" s="222"/>
      <c r="G2242" s="702"/>
      <c r="H2242" s="222"/>
    </row>
    <row r="2243">
      <c r="C2243" s="703"/>
      <c r="E2243" s="221"/>
      <c r="F2243" s="222"/>
      <c r="G2243" s="702"/>
      <c r="H2243" s="222"/>
    </row>
    <row r="2244">
      <c r="C2244" s="703"/>
      <c r="E2244" s="221"/>
      <c r="F2244" s="222"/>
      <c r="G2244" s="702"/>
      <c r="H2244" s="222"/>
    </row>
    <row r="2245">
      <c r="C2245" s="703"/>
      <c r="E2245" s="221"/>
      <c r="F2245" s="222"/>
      <c r="G2245" s="702"/>
      <c r="H2245" s="222"/>
    </row>
    <row r="2246">
      <c r="C2246" s="703"/>
      <c r="E2246" s="221"/>
      <c r="F2246" s="222"/>
      <c r="G2246" s="702"/>
      <c r="H2246" s="222"/>
    </row>
    <row r="2247">
      <c r="C2247" s="703"/>
      <c r="E2247" s="221"/>
      <c r="F2247" s="222"/>
      <c r="G2247" s="702"/>
      <c r="H2247" s="222"/>
    </row>
    <row r="2248">
      <c r="C2248" s="703"/>
      <c r="E2248" s="221"/>
      <c r="F2248" s="222"/>
      <c r="G2248" s="702"/>
      <c r="H2248" s="222"/>
    </row>
    <row r="2249">
      <c r="C2249" s="703"/>
      <c r="E2249" s="221"/>
      <c r="F2249" s="222"/>
      <c r="G2249" s="702"/>
      <c r="H2249" s="222"/>
    </row>
    <row r="2250">
      <c r="C2250" s="703"/>
      <c r="E2250" s="221"/>
      <c r="F2250" s="222"/>
      <c r="G2250" s="702"/>
      <c r="H2250" s="222"/>
    </row>
    <row r="2251">
      <c r="C2251" s="703"/>
      <c r="E2251" s="221"/>
      <c r="F2251" s="222"/>
      <c r="G2251" s="702"/>
      <c r="H2251" s="222"/>
    </row>
    <row r="2252">
      <c r="C2252" s="703"/>
      <c r="E2252" s="221"/>
      <c r="F2252" s="222"/>
      <c r="G2252" s="702"/>
      <c r="H2252" s="222"/>
    </row>
    <row r="2253">
      <c r="C2253" s="703"/>
      <c r="E2253" s="221"/>
      <c r="F2253" s="222"/>
      <c r="G2253" s="702"/>
      <c r="H2253" s="222"/>
    </row>
    <row r="2254">
      <c r="C2254" s="703"/>
      <c r="E2254" s="221"/>
      <c r="F2254" s="222"/>
      <c r="G2254" s="702"/>
      <c r="H2254" s="222"/>
    </row>
    <row r="2255">
      <c r="C2255" s="703"/>
      <c r="E2255" s="221"/>
      <c r="F2255" s="222"/>
      <c r="G2255" s="702"/>
      <c r="H2255" s="222"/>
    </row>
    <row r="2256">
      <c r="C2256" s="703"/>
      <c r="E2256" s="221"/>
      <c r="F2256" s="222"/>
      <c r="G2256" s="702"/>
      <c r="H2256" s="222"/>
    </row>
    <row r="2257">
      <c r="C2257" s="703"/>
      <c r="E2257" s="221"/>
      <c r="F2257" s="222"/>
      <c r="G2257" s="702"/>
      <c r="H2257" s="222"/>
    </row>
    <row r="2258">
      <c r="C2258" s="703"/>
      <c r="E2258" s="221"/>
      <c r="F2258" s="222"/>
      <c r="G2258" s="702"/>
      <c r="H2258" s="222"/>
    </row>
    <row r="2259">
      <c r="C2259" s="703"/>
      <c r="E2259" s="221"/>
      <c r="F2259" s="222"/>
      <c r="G2259" s="702"/>
      <c r="H2259" s="222"/>
    </row>
    <row r="2260">
      <c r="C2260" s="703"/>
      <c r="E2260" s="221"/>
      <c r="F2260" s="222"/>
      <c r="G2260" s="702"/>
      <c r="H2260" s="222"/>
    </row>
    <row r="2261">
      <c r="C2261" s="703"/>
      <c r="E2261" s="221"/>
      <c r="F2261" s="222"/>
      <c r="G2261" s="702"/>
      <c r="H2261" s="222"/>
    </row>
    <row r="2262">
      <c r="C2262" s="703"/>
      <c r="E2262" s="221"/>
      <c r="F2262" s="222"/>
      <c r="G2262" s="702"/>
      <c r="H2262" s="222"/>
    </row>
    <row r="2263">
      <c r="C2263" s="703"/>
      <c r="E2263" s="221"/>
      <c r="F2263" s="222"/>
      <c r="G2263" s="702"/>
      <c r="H2263" s="222"/>
    </row>
    <row r="2264">
      <c r="C2264" s="703"/>
      <c r="E2264" s="221"/>
      <c r="F2264" s="222"/>
      <c r="G2264" s="702"/>
      <c r="H2264" s="222"/>
    </row>
    <row r="2265">
      <c r="C2265" s="703"/>
      <c r="E2265" s="221"/>
      <c r="F2265" s="222"/>
      <c r="G2265" s="702"/>
      <c r="H2265" s="222"/>
    </row>
    <row r="2266">
      <c r="C2266" s="703"/>
      <c r="E2266" s="221"/>
      <c r="F2266" s="222"/>
      <c r="G2266" s="702"/>
      <c r="H2266" s="222"/>
    </row>
    <row r="2267">
      <c r="C2267" s="703"/>
      <c r="E2267" s="221"/>
      <c r="F2267" s="222"/>
      <c r="G2267" s="702"/>
      <c r="H2267" s="222"/>
    </row>
    <row r="2268">
      <c r="C2268" s="703"/>
      <c r="E2268" s="221"/>
      <c r="F2268" s="222"/>
      <c r="G2268" s="702"/>
      <c r="H2268" s="222"/>
    </row>
    <row r="2269">
      <c r="C2269" s="703"/>
      <c r="E2269" s="221"/>
      <c r="F2269" s="222"/>
      <c r="G2269" s="702"/>
      <c r="H2269" s="222"/>
    </row>
    <row r="2270">
      <c r="C2270" s="703"/>
      <c r="E2270" s="221"/>
      <c r="F2270" s="222"/>
      <c r="G2270" s="702"/>
      <c r="H2270" s="222"/>
    </row>
    <row r="2271">
      <c r="C2271" s="703"/>
      <c r="E2271" s="221"/>
      <c r="F2271" s="222"/>
      <c r="G2271" s="702"/>
      <c r="H2271" s="222"/>
    </row>
    <row r="2272">
      <c r="C2272" s="703"/>
      <c r="E2272" s="221"/>
      <c r="F2272" s="222"/>
      <c r="G2272" s="702"/>
      <c r="H2272" s="222"/>
    </row>
    <row r="2273">
      <c r="C2273" s="703"/>
      <c r="E2273" s="221"/>
      <c r="F2273" s="222"/>
      <c r="G2273" s="702"/>
      <c r="H2273" s="222"/>
    </row>
    <row r="2274">
      <c r="C2274" s="703"/>
      <c r="E2274" s="221"/>
      <c r="F2274" s="222"/>
      <c r="G2274" s="702"/>
      <c r="H2274" s="222"/>
    </row>
    <row r="2275">
      <c r="C2275" s="703"/>
      <c r="E2275" s="221"/>
      <c r="F2275" s="222"/>
      <c r="G2275" s="702"/>
      <c r="H2275" s="222"/>
    </row>
    <row r="2276">
      <c r="C2276" s="703"/>
      <c r="E2276" s="221"/>
      <c r="F2276" s="222"/>
      <c r="G2276" s="702"/>
      <c r="H2276" s="222"/>
    </row>
    <row r="2277">
      <c r="C2277" s="703"/>
      <c r="E2277" s="221"/>
      <c r="F2277" s="222"/>
      <c r="G2277" s="702"/>
      <c r="H2277" s="222"/>
    </row>
    <row r="2278">
      <c r="C2278" s="703"/>
      <c r="E2278" s="221"/>
      <c r="F2278" s="222"/>
      <c r="G2278" s="702"/>
      <c r="H2278" s="222"/>
    </row>
    <row r="2279">
      <c r="C2279" s="703"/>
      <c r="E2279" s="221"/>
      <c r="F2279" s="222"/>
      <c r="G2279" s="702"/>
      <c r="H2279" s="222"/>
    </row>
    <row r="2280">
      <c r="C2280" s="703"/>
      <c r="E2280" s="221"/>
      <c r="F2280" s="222"/>
      <c r="G2280" s="702"/>
      <c r="H2280" s="222"/>
    </row>
    <row r="2281">
      <c r="C2281" s="703"/>
      <c r="E2281" s="221"/>
      <c r="F2281" s="222"/>
      <c r="G2281" s="702"/>
      <c r="H2281" s="222"/>
    </row>
    <row r="2282">
      <c r="C2282" s="703"/>
      <c r="E2282" s="221"/>
      <c r="F2282" s="222"/>
      <c r="G2282" s="702"/>
      <c r="H2282" s="222"/>
    </row>
    <row r="2283">
      <c r="C2283" s="703"/>
      <c r="E2283" s="221"/>
      <c r="F2283" s="222"/>
      <c r="G2283" s="702"/>
      <c r="H2283" s="222"/>
    </row>
    <row r="2284">
      <c r="C2284" s="703"/>
      <c r="E2284" s="221"/>
      <c r="F2284" s="222"/>
      <c r="G2284" s="702"/>
      <c r="H2284" s="222"/>
    </row>
    <row r="2285">
      <c r="C2285" s="703"/>
      <c r="E2285" s="221"/>
      <c r="F2285" s="222"/>
      <c r="G2285" s="702"/>
      <c r="H2285" s="222"/>
    </row>
    <row r="2286">
      <c r="C2286" s="703"/>
      <c r="E2286" s="221"/>
      <c r="F2286" s="222"/>
      <c r="G2286" s="702"/>
      <c r="H2286" s="222"/>
    </row>
    <row r="2287">
      <c r="C2287" s="703"/>
      <c r="E2287" s="221"/>
      <c r="F2287" s="222"/>
      <c r="G2287" s="702"/>
      <c r="H2287" s="222"/>
    </row>
    <row r="2288">
      <c r="C2288" s="703"/>
      <c r="E2288" s="221"/>
      <c r="F2288" s="222"/>
      <c r="G2288" s="702"/>
      <c r="H2288" s="222"/>
    </row>
    <row r="2289">
      <c r="C2289" s="703"/>
      <c r="E2289" s="221"/>
      <c r="F2289" s="222"/>
      <c r="G2289" s="702"/>
      <c r="H2289" s="222"/>
    </row>
    <row r="2290">
      <c r="C2290" s="703"/>
      <c r="E2290" s="221"/>
      <c r="F2290" s="222"/>
      <c r="G2290" s="702"/>
      <c r="H2290" s="222"/>
    </row>
    <row r="2291">
      <c r="C2291" s="703"/>
      <c r="E2291" s="221"/>
      <c r="F2291" s="222"/>
      <c r="G2291" s="702"/>
      <c r="H2291" s="222"/>
    </row>
    <row r="2292">
      <c r="C2292" s="703"/>
      <c r="E2292" s="221"/>
      <c r="F2292" s="222"/>
      <c r="G2292" s="702"/>
      <c r="H2292" s="222"/>
    </row>
    <row r="2293">
      <c r="C2293" s="703"/>
      <c r="E2293" s="221"/>
      <c r="F2293" s="222"/>
      <c r="G2293" s="702"/>
      <c r="H2293" s="222"/>
    </row>
    <row r="2294">
      <c r="C2294" s="703"/>
      <c r="E2294" s="221"/>
      <c r="F2294" s="222"/>
      <c r="G2294" s="702"/>
      <c r="H2294" s="222"/>
    </row>
    <row r="2295">
      <c r="C2295" s="703"/>
      <c r="E2295" s="221"/>
      <c r="F2295" s="222"/>
      <c r="G2295" s="702"/>
      <c r="H2295" s="222"/>
    </row>
    <row r="2296">
      <c r="C2296" s="703"/>
      <c r="E2296" s="221"/>
      <c r="F2296" s="222"/>
      <c r="G2296" s="702"/>
      <c r="H2296" s="222"/>
    </row>
    <row r="2297">
      <c r="C2297" s="703"/>
      <c r="E2297" s="221"/>
      <c r="F2297" s="222"/>
      <c r="G2297" s="702"/>
      <c r="H2297" s="222"/>
    </row>
    <row r="2298">
      <c r="C2298" s="703"/>
      <c r="E2298" s="221"/>
      <c r="F2298" s="222"/>
      <c r="G2298" s="702"/>
      <c r="H2298" s="222"/>
    </row>
    <row r="2299">
      <c r="C2299" s="703"/>
      <c r="E2299" s="221"/>
      <c r="F2299" s="222"/>
      <c r="G2299" s="702"/>
      <c r="H2299" s="222"/>
    </row>
    <row r="2300">
      <c r="C2300" s="703"/>
      <c r="E2300" s="221"/>
      <c r="F2300" s="222"/>
      <c r="G2300" s="702"/>
      <c r="H2300" s="222"/>
    </row>
    <row r="2301">
      <c r="C2301" s="703"/>
      <c r="E2301" s="221"/>
      <c r="F2301" s="222"/>
      <c r="G2301" s="702"/>
      <c r="H2301" s="222"/>
    </row>
    <row r="2302">
      <c r="C2302" s="703"/>
      <c r="E2302" s="221"/>
      <c r="F2302" s="222"/>
      <c r="G2302" s="702"/>
      <c r="H2302" s="222"/>
    </row>
    <row r="2303">
      <c r="C2303" s="703"/>
      <c r="E2303" s="221"/>
      <c r="F2303" s="222"/>
      <c r="G2303" s="702"/>
      <c r="H2303" s="222"/>
    </row>
    <row r="2304">
      <c r="C2304" s="703"/>
      <c r="E2304" s="221"/>
      <c r="F2304" s="222"/>
      <c r="G2304" s="702"/>
      <c r="H2304" s="222"/>
    </row>
    <row r="2305">
      <c r="C2305" s="703"/>
      <c r="E2305" s="221"/>
      <c r="F2305" s="222"/>
      <c r="G2305" s="702"/>
      <c r="H2305" s="222"/>
    </row>
    <row r="2306">
      <c r="C2306" s="703"/>
      <c r="E2306" s="221"/>
      <c r="F2306" s="222"/>
      <c r="G2306" s="702"/>
      <c r="H2306" s="222"/>
    </row>
    <row r="2307">
      <c r="C2307" s="703"/>
      <c r="E2307" s="221"/>
      <c r="F2307" s="222"/>
      <c r="G2307" s="702"/>
      <c r="H2307" s="222"/>
    </row>
    <row r="2308">
      <c r="C2308" s="703"/>
      <c r="E2308" s="221"/>
      <c r="F2308" s="222"/>
      <c r="G2308" s="702"/>
      <c r="H2308" s="222"/>
    </row>
    <row r="2309">
      <c r="C2309" s="703"/>
      <c r="E2309" s="221"/>
      <c r="F2309" s="222"/>
      <c r="G2309" s="702"/>
      <c r="H2309" s="222"/>
    </row>
    <row r="2310">
      <c r="C2310" s="703"/>
      <c r="E2310" s="221"/>
      <c r="F2310" s="222"/>
      <c r="G2310" s="702"/>
      <c r="H2310" s="222"/>
    </row>
    <row r="2311">
      <c r="C2311" s="703"/>
      <c r="E2311" s="221"/>
      <c r="F2311" s="222"/>
      <c r="G2311" s="702"/>
      <c r="H2311" s="222"/>
    </row>
    <row r="2312">
      <c r="C2312" s="703"/>
      <c r="E2312" s="221"/>
      <c r="F2312" s="222"/>
      <c r="G2312" s="702"/>
      <c r="H2312" s="222"/>
    </row>
    <row r="2313">
      <c r="C2313" s="703"/>
      <c r="E2313" s="221"/>
      <c r="F2313" s="222"/>
      <c r="G2313" s="702"/>
      <c r="H2313" s="222"/>
    </row>
    <row r="2314">
      <c r="C2314" s="703"/>
      <c r="E2314" s="221"/>
      <c r="F2314" s="222"/>
      <c r="G2314" s="702"/>
      <c r="H2314" s="222"/>
    </row>
    <row r="2315">
      <c r="C2315" s="703"/>
      <c r="E2315" s="221"/>
      <c r="F2315" s="222"/>
      <c r="G2315" s="702"/>
      <c r="H2315" s="222"/>
    </row>
    <row r="2316">
      <c r="C2316" s="703"/>
      <c r="E2316" s="221"/>
      <c r="F2316" s="222"/>
      <c r="G2316" s="702"/>
      <c r="H2316" s="222"/>
    </row>
    <row r="2317">
      <c r="C2317" s="703"/>
      <c r="E2317" s="221"/>
      <c r="F2317" s="222"/>
      <c r="G2317" s="702"/>
      <c r="H2317" s="222"/>
    </row>
    <row r="2318">
      <c r="C2318" s="703"/>
      <c r="E2318" s="221"/>
      <c r="F2318" s="222"/>
      <c r="G2318" s="702"/>
      <c r="H2318" s="222"/>
    </row>
    <row r="2319">
      <c r="C2319" s="703"/>
      <c r="E2319" s="221"/>
      <c r="F2319" s="222"/>
      <c r="G2319" s="702"/>
      <c r="H2319" s="222"/>
    </row>
    <row r="2320">
      <c r="C2320" s="703"/>
      <c r="E2320" s="221"/>
      <c r="F2320" s="222"/>
      <c r="G2320" s="702"/>
      <c r="H2320" s="222"/>
    </row>
    <row r="2321">
      <c r="C2321" s="703"/>
      <c r="E2321" s="221"/>
      <c r="F2321" s="222"/>
      <c r="G2321" s="702"/>
      <c r="H2321" s="222"/>
    </row>
    <row r="2322">
      <c r="C2322" s="703"/>
      <c r="E2322" s="221"/>
      <c r="F2322" s="222"/>
      <c r="G2322" s="702"/>
      <c r="H2322" s="222"/>
    </row>
    <row r="2323">
      <c r="C2323" s="703"/>
      <c r="E2323" s="221"/>
      <c r="F2323" s="222"/>
      <c r="G2323" s="702"/>
      <c r="H2323" s="222"/>
    </row>
    <row r="2324">
      <c r="C2324" s="703"/>
      <c r="E2324" s="221"/>
      <c r="F2324" s="222"/>
      <c r="G2324" s="702"/>
      <c r="H2324" s="222"/>
    </row>
    <row r="2325">
      <c r="C2325" s="703"/>
      <c r="E2325" s="221"/>
      <c r="F2325" s="222"/>
      <c r="G2325" s="702"/>
      <c r="H2325" s="222"/>
    </row>
    <row r="2326">
      <c r="C2326" s="703"/>
      <c r="E2326" s="221"/>
      <c r="F2326" s="222"/>
      <c r="G2326" s="702"/>
      <c r="H2326" s="222"/>
    </row>
    <row r="2327">
      <c r="C2327" s="703"/>
      <c r="E2327" s="221"/>
      <c r="F2327" s="222"/>
      <c r="G2327" s="702"/>
      <c r="H2327" s="222"/>
    </row>
    <row r="2328">
      <c r="C2328" s="703"/>
      <c r="E2328" s="221"/>
      <c r="F2328" s="222"/>
      <c r="G2328" s="702"/>
      <c r="H2328" s="222"/>
    </row>
    <row r="2329">
      <c r="C2329" s="703"/>
      <c r="E2329" s="221"/>
      <c r="F2329" s="222"/>
      <c r="G2329" s="702"/>
      <c r="H2329" s="222"/>
    </row>
    <row r="2330">
      <c r="C2330" s="703"/>
      <c r="E2330" s="221"/>
      <c r="F2330" s="222"/>
      <c r="G2330" s="702"/>
      <c r="H2330" s="222"/>
    </row>
    <row r="2331">
      <c r="C2331" s="703"/>
      <c r="E2331" s="221"/>
      <c r="F2331" s="222"/>
      <c r="G2331" s="702"/>
      <c r="H2331" s="222"/>
    </row>
    <row r="2332">
      <c r="C2332" s="703"/>
      <c r="E2332" s="221"/>
      <c r="F2332" s="222"/>
      <c r="G2332" s="702"/>
      <c r="H2332" s="222"/>
    </row>
    <row r="2333">
      <c r="C2333" s="703"/>
      <c r="E2333" s="221"/>
      <c r="F2333" s="222"/>
      <c r="G2333" s="702"/>
      <c r="H2333" s="222"/>
    </row>
    <row r="2334">
      <c r="C2334" s="703"/>
      <c r="E2334" s="221"/>
      <c r="F2334" s="222"/>
      <c r="G2334" s="702"/>
      <c r="H2334" s="222"/>
    </row>
    <row r="2335">
      <c r="C2335" s="703"/>
      <c r="E2335" s="221"/>
      <c r="F2335" s="222"/>
      <c r="G2335" s="702"/>
      <c r="H2335" s="222"/>
    </row>
    <row r="2336">
      <c r="C2336" s="703"/>
      <c r="E2336" s="221"/>
      <c r="F2336" s="222"/>
      <c r="G2336" s="702"/>
      <c r="H2336" s="222"/>
    </row>
    <row r="2337">
      <c r="C2337" s="703"/>
      <c r="E2337" s="221"/>
      <c r="F2337" s="222"/>
      <c r="G2337" s="702"/>
      <c r="H2337" s="222"/>
    </row>
    <row r="2338">
      <c r="C2338" s="703"/>
      <c r="E2338" s="221"/>
      <c r="F2338" s="222"/>
      <c r="G2338" s="702"/>
      <c r="H2338" s="222"/>
    </row>
    <row r="2339">
      <c r="C2339" s="703"/>
      <c r="E2339" s="221"/>
      <c r="F2339" s="222"/>
      <c r="G2339" s="702"/>
      <c r="H2339" s="222"/>
    </row>
    <row r="2340">
      <c r="C2340" s="703"/>
      <c r="E2340" s="221"/>
      <c r="F2340" s="222"/>
      <c r="G2340" s="702"/>
      <c r="H2340" s="222"/>
    </row>
    <row r="2341">
      <c r="C2341" s="703"/>
      <c r="E2341" s="221"/>
      <c r="F2341" s="222"/>
      <c r="G2341" s="702"/>
      <c r="H2341" s="222"/>
    </row>
    <row r="2342">
      <c r="C2342" s="703"/>
      <c r="E2342" s="221"/>
      <c r="F2342" s="222"/>
      <c r="G2342" s="702"/>
      <c r="H2342" s="222"/>
    </row>
    <row r="2343">
      <c r="C2343" s="703"/>
      <c r="E2343" s="221"/>
      <c r="F2343" s="222"/>
      <c r="G2343" s="702"/>
      <c r="H2343" s="222"/>
    </row>
    <row r="2344">
      <c r="C2344" s="703"/>
      <c r="E2344" s="221"/>
      <c r="F2344" s="222"/>
      <c r="G2344" s="702"/>
      <c r="H2344" s="222"/>
    </row>
    <row r="2345">
      <c r="C2345" s="703"/>
      <c r="E2345" s="221"/>
      <c r="F2345" s="222"/>
      <c r="G2345" s="702"/>
      <c r="H2345" s="222"/>
    </row>
    <row r="2346">
      <c r="C2346" s="703"/>
      <c r="E2346" s="221"/>
      <c r="F2346" s="222"/>
      <c r="G2346" s="702"/>
      <c r="H2346" s="222"/>
    </row>
    <row r="2347">
      <c r="C2347" s="703"/>
      <c r="E2347" s="221"/>
      <c r="F2347" s="222"/>
      <c r="G2347" s="702"/>
      <c r="H2347" s="222"/>
    </row>
    <row r="2348">
      <c r="C2348" s="703"/>
      <c r="E2348" s="221"/>
      <c r="F2348" s="222"/>
      <c r="G2348" s="702"/>
      <c r="H2348" s="222"/>
    </row>
    <row r="2349">
      <c r="C2349" s="703"/>
      <c r="E2349" s="221"/>
      <c r="F2349" s="222"/>
      <c r="G2349" s="702"/>
      <c r="H2349" s="222"/>
    </row>
    <row r="2350">
      <c r="C2350" s="703"/>
      <c r="E2350" s="221"/>
      <c r="F2350" s="222"/>
      <c r="G2350" s="702"/>
      <c r="H2350" s="222"/>
    </row>
    <row r="2351">
      <c r="C2351" s="703"/>
      <c r="E2351" s="221"/>
      <c r="F2351" s="222"/>
      <c r="G2351" s="702"/>
      <c r="H2351" s="222"/>
    </row>
    <row r="2352">
      <c r="C2352" s="703"/>
      <c r="E2352" s="221"/>
      <c r="F2352" s="222"/>
      <c r="G2352" s="702"/>
      <c r="H2352" s="222"/>
    </row>
    <row r="2353">
      <c r="C2353" s="703"/>
      <c r="E2353" s="221"/>
      <c r="F2353" s="222"/>
      <c r="G2353" s="702"/>
      <c r="H2353" s="222"/>
    </row>
    <row r="2354">
      <c r="C2354" s="703"/>
      <c r="E2354" s="221"/>
      <c r="F2354" s="222"/>
      <c r="G2354" s="702"/>
      <c r="H2354" s="222"/>
    </row>
    <row r="2355">
      <c r="C2355" s="703"/>
      <c r="E2355" s="221"/>
      <c r="F2355" s="222"/>
      <c r="G2355" s="702"/>
      <c r="H2355" s="222"/>
    </row>
    <row r="2356">
      <c r="C2356" s="703"/>
      <c r="E2356" s="221"/>
      <c r="F2356" s="222"/>
      <c r="G2356" s="702"/>
      <c r="H2356" s="222"/>
    </row>
    <row r="2357">
      <c r="C2357" s="703"/>
      <c r="E2357" s="221"/>
      <c r="F2357" s="222"/>
      <c r="G2357" s="702"/>
      <c r="H2357" s="222"/>
    </row>
    <row r="2358">
      <c r="C2358" s="703"/>
      <c r="E2358" s="221"/>
      <c r="F2358" s="222"/>
      <c r="G2358" s="702"/>
      <c r="H2358" s="222"/>
    </row>
    <row r="2359">
      <c r="C2359" s="703"/>
      <c r="E2359" s="221"/>
      <c r="F2359" s="222"/>
      <c r="G2359" s="702"/>
      <c r="H2359" s="222"/>
    </row>
    <row r="2360">
      <c r="C2360" s="703"/>
      <c r="E2360" s="221"/>
      <c r="F2360" s="222"/>
      <c r="G2360" s="702"/>
      <c r="H2360" s="222"/>
    </row>
    <row r="2361">
      <c r="C2361" s="703"/>
      <c r="E2361" s="221"/>
      <c r="F2361" s="222"/>
      <c r="G2361" s="702"/>
      <c r="H2361" s="222"/>
    </row>
    <row r="2362">
      <c r="C2362" s="703"/>
      <c r="E2362" s="221"/>
      <c r="F2362" s="222"/>
      <c r="G2362" s="702"/>
      <c r="H2362" s="222"/>
    </row>
    <row r="2363">
      <c r="C2363" s="703"/>
      <c r="E2363" s="221"/>
      <c r="F2363" s="222"/>
      <c r="G2363" s="702"/>
      <c r="H2363" s="222"/>
    </row>
    <row r="2364">
      <c r="C2364" s="703"/>
      <c r="E2364" s="221"/>
      <c r="F2364" s="222"/>
      <c r="G2364" s="702"/>
      <c r="H2364" s="222"/>
    </row>
    <row r="2365">
      <c r="C2365" s="703"/>
      <c r="E2365" s="221"/>
      <c r="F2365" s="222"/>
      <c r="G2365" s="702"/>
      <c r="H2365" s="222"/>
    </row>
    <row r="2366">
      <c r="C2366" s="703"/>
      <c r="E2366" s="221"/>
      <c r="F2366" s="222"/>
      <c r="G2366" s="702"/>
      <c r="H2366" s="222"/>
    </row>
    <row r="2367">
      <c r="C2367" s="703"/>
      <c r="E2367" s="221"/>
      <c r="F2367" s="222"/>
      <c r="G2367" s="702"/>
      <c r="H2367" s="222"/>
    </row>
    <row r="2368">
      <c r="C2368" s="703"/>
      <c r="E2368" s="221"/>
      <c r="F2368" s="222"/>
      <c r="G2368" s="702"/>
      <c r="H2368" s="222"/>
    </row>
    <row r="2369">
      <c r="C2369" s="703"/>
      <c r="E2369" s="221"/>
      <c r="F2369" s="222"/>
      <c r="G2369" s="702"/>
      <c r="H2369" s="222"/>
    </row>
    <row r="2370">
      <c r="C2370" s="703"/>
      <c r="E2370" s="221"/>
      <c r="F2370" s="222"/>
      <c r="G2370" s="702"/>
      <c r="H2370" s="222"/>
    </row>
    <row r="2371">
      <c r="C2371" s="703"/>
      <c r="E2371" s="221"/>
      <c r="F2371" s="222"/>
      <c r="G2371" s="702"/>
      <c r="H2371" s="222"/>
    </row>
    <row r="2372">
      <c r="C2372" s="703"/>
      <c r="E2372" s="221"/>
      <c r="F2372" s="222"/>
      <c r="G2372" s="702"/>
      <c r="H2372" s="222"/>
    </row>
    <row r="2373">
      <c r="C2373" s="703"/>
      <c r="E2373" s="221"/>
      <c r="F2373" s="222"/>
      <c r="G2373" s="702"/>
      <c r="H2373" s="222"/>
    </row>
    <row r="2374">
      <c r="C2374" s="703"/>
      <c r="E2374" s="221"/>
      <c r="F2374" s="222"/>
      <c r="G2374" s="702"/>
      <c r="H2374" s="222"/>
    </row>
    <row r="2375">
      <c r="C2375" s="703"/>
      <c r="E2375" s="221"/>
      <c r="F2375" s="222"/>
      <c r="G2375" s="702"/>
      <c r="H2375" s="222"/>
    </row>
    <row r="2376">
      <c r="C2376" s="703"/>
      <c r="E2376" s="221"/>
      <c r="F2376" s="222"/>
      <c r="G2376" s="702"/>
      <c r="H2376" s="222"/>
    </row>
    <row r="2377">
      <c r="C2377" s="703"/>
      <c r="E2377" s="221"/>
      <c r="F2377" s="222"/>
      <c r="G2377" s="702"/>
      <c r="H2377" s="222"/>
    </row>
    <row r="2378">
      <c r="C2378" s="703"/>
      <c r="E2378" s="221"/>
      <c r="F2378" s="222"/>
      <c r="G2378" s="702"/>
      <c r="H2378" s="222"/>
    </row>
    <row r="2379">
      <c r="C2379" s="703"/>
      <c r="E2379" s="221"/>
      <c r="F2379" s="222"/>
      <c r="G2379" s="702"/>
      <c r="H2379" s="222"/>
    </row>
    <row r="2380">
      <c r="C2380" s="703"/>
      <c r="E2380" s="221"/>
      <c r="F2380" s="222"/>
      <c r="G2380" s="702"/>
      <c r="H2380" s="222"/>
    </row>
    <row r="2381">
      <c r="C2381" s="703"/>
      <c r="E2381" s="221"/>
      <c r="F2381" s="222"/>
      <c r="G2381" s="702"/>
      <c r="H2381" s="222"/>
    </row>
    <row r="2382">
      <c r="C2382" s="703"/>
      <c r="E2382" s="221"/>
      <c r="F2382" s="222"/>
      <c r="G2382" s="702"/>
      <c r="H2382" s="222"/>
    </row>
    <row r="2383">
      <c r="C2383" s="703"/>
      <c r="E2383" s="221"/>
      <c r="F2383" s="222"/>
      <c r="G2383" s="702"/>
      <c r="H2383" s="222"/>
    </row>
    <row r="2384">
      <c r="C2384" s="703"/>
      <c r="E2384" s="221"/>
      <c r="F2384" s="222"/>
      <c r="G2384" s="702"/>
      <c r="H2384" s="222"/>
    </row>
    <row r="2385">
      <c r="C2385" s="703"/>
      <c r="E2385" s="221"/>
      <c r="F2385" s="222"/>
      <c r="G2385" s="702"/>
      <c r="H2385" s="222"/>
    </row>
    <row r="2386">
      <c r="C2386" s="703"/>
      <c r="E2386" s="221"/>
      <c r="F2386" s="222"/>
      <c r="G2386" s="702"/>
      <c r="H2386" s="222"/>
    </row>
    <row r="2387">
      <c r="C2387" s="703"/>
      <c r="E2387" s="221"/>
      <c r="F2387" s="222"/>
      <c r="G2387" s="702"/>
      <c r="H2387" s="222"/>
    </row>
    <row r="2388">
      <c r="C2388" s="703"/>
      <c r="E2388" s="221"/>
      <c r="F2388" s="222"/>
      <c r="G2388" s="702"/>
      <c r="H2388" s="222"/>
    </row>
    <row r="2389">
      <c r="C2389" s="703"/>
      <c r="E2389" s="221"/>
      <c r="F2389" s="222"/>
      <c r="G2389" s="702"/>
      <c r="H2389" s="222"/>
    </row>
    <row r="2390">
      <c r="C2390" s="703"/>
      <c r="E2390" s="221"/>
      <c r="F2390" s="222"/>
      <c r="G2390" s="702"/>
      <c r="H2390" s="222"/>
    </row>
    <row r="2391">
      <c r="C2391" s="703"/>
      <c r="E2391" s="221"/>
      <c r="F2391" s="222"/>
      <c r="G2391" s="702"/>
      <c r="H2391" s="222"/>
    </row>
    <row r="2392">
      <c r="C2392" s="703"/>
      <c r="E2392" s="221"/>
      <c r="F2392" s="222"/>
      <c r="G2392" s="702"/>
      <c r="H2392" s="222"/>
    </row>
    <row r="2393">
      <c r="C2393" s="703"/>
      <c r="E2393" s="221"/>
      <c r="F2393" s="222"/>
      <c r="G2393" s="702"/>
      <c r="H2393" s="222"/>
    </row>
    <row r="2394">
      <c r="C2394" s="703"/>
      <c r="E2394" s="221"/>
      <c r="F2394" s="222"/>
      <c r="G2394" s="702"/>
      <c r="H2394" s="222"/>
    </row>
    <row r="2395">
      <c r="C2395" s="703"/>
      <c r="E2395" s="221"/>
      <c r="F2395" s="222"/>
      <c r="G2395" s="702"/>
      <c r="H2395" s="222"/>
    </row>
    <row r="2396">
      <c r="C2396" s="703"/>
      <c r="E2396" s="221"/>
      <c r="F2396" s="222"/>
      <c r="G2396" s="702"/>
      <c r="H2396" s="222"/>
    </row>
    <row r="2397">
      <c r="C2397" s="703"/>
      <c r="E2397" s="221"/>
      <c r="F2397" s="222"/>
      <c r="G2397" s="702"/>
      <c r="H2397" s="222"/>
    </row>
    <row r="2398">
      <c r="C2398" s="703"/>
      <c r="E2398" s="221"/>
      <c r="F2398" s="222"/>
      <c r="G2398" s="702"/>
      <c r="H2398" s="222"/>
    </row>
    <row r="2399">
      <c r="C2399" s="703"/>
      <c r="E2399" s="221"/>
      <c r="F2399" s="222"/>
      <c r="G2399" s="702"/>
      <c r="H2399" s="222"/>
    </row>
    <row r="2400">
      <c r="C2400" s="703"/>
      <c r="E2400" s="221"/>
      <c r="F2400" s="222"/>
      <c r="G2400" s="702"/>
      <c r="H2400" s="222"/>
    </row>
    <row r="2401">
      <c r="C2401" s="703"/>
      <c r="E2401" s="221"/>
      <c r="F2401" s="222"/>
      <c r="G2401" s="702"/>
      <c r="H2401" s="222"/>
    </row>
    <row r="2402">
      <c r="C2402" s="703"/>
      <c r="E2402" s="221"/>
      <c r="F2402" s="222"/>
      <c r="G2402" s="702"/>
      <c r="H2402" s="222"/>
    </row>
    <row r="2403">
      <c r="C2403" s="703"/>
      <c r="E2403" s="221"/>
      <c r="F2403" s="222"/>
      <c r="G2403" s="702"/>
      <c r="H2403" s="222"/>
    </row>
    <row r="2404">
      <c r="C2404" s="703"/>
      <c r="E2404" s="221"/>
      <c r="F2404" s="222"/>
      <c r="G2404" s="702"/>
      <c r="H2404" s="222"/>
    </row>
    <row r="2405">
      <c r="C2405" s="703"/>
      <c r="E2405" s="221"/>
      <c r="F2405" s="222"/>
      <c r="G2405" s="702"/>
      <c r="H2405" s="222"/>
    </row>
    <row r="2406">
      <c r="C2406" s="703"/>
      <c r="E2406" s="221"/>
      <c r="F2406" s="222"/>
      <c r="G2406" s="702"/>
      <c r="H2406" s="222"/>
    </row>
    <row r="2407">
      <c r="C2407" s="703"/>
      <c r="E2407" s="221"/>
      <c r="F2407" s="222"/>
      <c r="G2407" s="702"/>
      <c r="H2407" s="222"/>
    </row>
    <row r="2408">
      <c r="C2408" s="703"/>
      <c r="E2408" s="221"/>
      <c r="F2408" s="222"/>
      <c r="G2408" s="702"/>
      <c r="H2408" s="222"/>
    </row>
    <row r="2409">
      <c r="C2409" s="703"/>
      <c r="E2409" s="221"/>
      <c r="F2409" s="222"/>
      <c r="G2409" s="702"/>
      <c r="H2409" s="222"/>
    </row>
    <row r="2410">
      <c r="C2410" s="703"/>
      <c r="E2410" s="221"/>
      <c r="F2410" s="222"/>
      <c r="G2410" s="702"/>
      <c r="H2410" s="222"/>
    </row>
    <row r="2411">
      <c r="C2411" s="703"/>
      <c r="E2411" s="221"/>
      <c r="F2411" s="222"/>
      <c r="G2411" s="702"/>
      <c r="H2411" s="222"/>
    </row>
    <row r="2412">
      <c r="C2412" s="703"/>
      <c r="E2412" s="221"/>
      <c r="F2412" s="222"/>
      <c r="G2412" s="702"/>
      <c r="H2412" s="222"/>
    </row>
    <row r="2413">
      <c r="C2413" s="703"/>
      <c r="E2413" s="221"/>
      <c r="F2413" s="222"/>
      <c r="G2413" s="702"/>
      <c r="H2413" s="222"/>
    </row>
    <row r="2414">
      <c r="C2414" s="703"/>
      <c r="E2414" s="221"/>
      <c r="F2414" s="222"/>
      <c r="G2414" s="702"/>
      <c r="H2414" s="222"/>
    </row>
    <row r="2415">
      <c r="C2415" s="703"/>
      <c r="E2415" s="221"/>
      <c r="F2415" s="222"/>
      <c r="G2415" s="702"/>
      <c r="H2415" s="222"/>
    </row>
    <row r="2416">
      <c r="C2416" s="703"/>
      <c r="E2416" s="221"/>
      <c r="F2416" s="222"/>
      <c r="G2416" s="702"/>
      <c r="H2416" s="222"/>
    </row>
    <row r="2417">
      <c r="C2417" s="703"/>
      <c r="E2417" s="221"/>
      <c r="F2417" s="222"/>
      <c r="G2417" s="702"/>
      <c r="H2417" s="222"/>
    </row>
    <row r="2418">
      <c r="C2418" s="703"/>
      <c r="E2418" s="221"/>
      <c r="F2418" s="222"/>
      <c r="G2418" s="702"/>
      <c r="H2418" s="222"/>
    </row>
    <row r="2419">
      <c r="C2419" s="703"/>
      <c r="E2419" s="221"/>
      <c r="F2419" s="222"/>
      <c r="G2419" s="702"/>
      <c r="H2419" s="222"/>
    </row>
    <row r="2420">
      <c r="C2420" s="703"/>
      <c r="E2420" s="221"/>
      <c r="F2420" s="222"/>
      <c r="G2420" s="702"/>
      <c r="H2420" s="222"/>
    </row>
    <row r="2421">
      <c r="C2421" s="703"/>
      <c r="E2421" s="221"/>
      <c r="F2421" s="222"/>
      <c r="G2421" s="702"/>
      <c r="H2421" s="222"/>
    </row>
    <row r="2422">
      <c r="C2422" s="703"/>
      <c r="E2422" s="221"/>
      <c r="F2422" s="222"/>
      <c r="G2422" s="702"/>
      <c r="H2422" s="222"/>
    </row>
    <row r="2423">
      <c r="C2423" s="703"/>
      <c r="E2423" s="221"/>
      <c r="F2423" s="222"/>
      <c r="G2423" s="702"/>
      <c r="H2423" s="222"/>
    </row>
    <row r="2424">
      <c r="C2424" s="703"/>
      <c r="E2424" s="221"/>
      <c r="F2424" s="222"/>
      <c r="G2424" s="702"/>
      <c r="H2424" s="222"/>
    </row>
    <row r="2425">
      <c r="C2425" s="703"/>
      <c r="E2425" s="221"/>
      <c r="F2425" s="222"/>
      <c r="G2425" s="702"/>
      <c r="H2425" s="222"/>
    </row>
    <row r="2426">
      <c r="C2426" s="703"/>
      <c r="E2426" s="221"/>
      <c r="F2426" s="222"/>
      <c r="G2426" s="702"/>
      <c r="H2426" s="222"/>
    </row>
    <row r="2427">
      <c r="C2427" s="703"/>
      <c r="E2427" s="221"/>
      <c r="F2427" s="222"/>
      <c r="G2427" s="702"/>
      <c r="H2427" s="222"/>
    </row>
    <row r="2428">
      <c r="C2428" s="703"/>
      <c r="E2428" s="221"/>
      <c r="F2428" s="222"/>
      <c r="G2428" s="702"/>
      <c r="H2428" s="222"/>
    </row>
    <row r="2429">
      <c r="C2429" s="703"/>
      <c r="E2429" s="221"/>
      <c r="F2429" s="222"/>
      <c r="G2429" s="702"/>
      <c r="H2429" s="222"/>
    </row>
    <row r="2430">
      <c r="C2430" s="703"/>
      <c r="E2430" s="221"/>
      <c r="F2430" s="222"/>
      <c r="G2430" s="702"/>
      <c r="H2430" s="222"/>
    </row>
    <row r="2431">
      <c r="C2431" s="703"/>
      <c r="E2431" s="221"/>
      <c r="F2431" s="222"/>
      <c r="G2431" s="702"/>
      <c r="H2431" s="222"/>
    </row>
    <row r="2432">
      <c r="C2432" s="703"/>
      <c r="E2432" s="221"/>
      <c r="F2432" s="222"/>
      <c r="G2432" s="702"/>
      <c r="H2432" s="222"/>
    </row>
    <row r="2433">
      <c r="C2433" s="703"/>
      <c r="E2433" s="221"/>
      <c r="F2433" s="222"/>
      <c r="G2433" s="702"/>
      <c r="H2433" s="222"/>
    </row>
    <row r="2434">
      <c r="C2434" s="703"/>
      <c r="E2434" s="221"/>
      <c r="F2434" s="222"/>
      <c r="G2434" s="702"/>
      <c r="H2434" s="222"/>
    </row>
    <row r="2435">
      <c r="C2435" s="703"/>
      <c r="E2435" s="221"/>
      <c r="F2435" s="222"/>
      <c r="G2435" s="702"/>
      <c r="H2435" s="222"/>
    </row>
    <row r="2436">
      <c r="C2436" s="703"/>
      <c r="E2436" s="221"/>
      <c r="F2436" s="222"/>
      <c r="G2436" s="702"/>
      <c r="H2436" s="222"/>
    </row>
    <row r="2437">
      <c r="C2437" s="703"/>
      <c r="E2437" s="221"/>
      <c r="F2437" s="222"/>
      <c r="G2437" s="702"/>
      <c r="H2437" s="222"/>
    </row>
    <row r="2438">
      <c r="C2438" s="703"/>
      <c r="E2438" s="221"/>
      <c r="F2438" s="222"/>
      <c r="G2438" s="702"/>
      <c r="H2438" s="222"/>
    </row>
    <row r="2439">
      <c r="C2439" s="703"/>
      <c r="E2439" s="221"/>
      <c r="F2439" s="222"/>
      <c r="G2439" s="702"/>
      <c r="H2439" s="222"/>
    </row>
    <row r="2440">
      <c r="C2440" s="703"/>
      <c r="E2440" s="221"/>
      <c r="F2440" s="222"/>
      <c r="G2440" s="702"/>
      <c r="H2440" s="222"/>
    </row>
    <row r="2441">
      <c r="C2441" s="703"/>
      <c r="E2441" s="221"/>
      <c r="F2441" s="222"/>
      <c r="G2441" s="702"/>
      <c r="H2441" s="222"/>
    </row>
    <row r="2442">
      <c r="C2442" s="703"/>
      <c r="E2442" s="221"/>
      <c r="F2442" s="222"/>
      <c r="G2442" s="702"/>
      <c r="H2442" s="222"/>
    </row>
    <row r="2443">
      <c r="C2443" s="703"/>
      <c r="E2443" s="221"/>
      <c r="F2443" s="222"/>
      <c r="G2443" s="702"/>
      <c r="H2443" s="222"/>
    </row>
    <row r="2444">
      <c r="C2444" s="703"/>
      <c r="E2444" s="221"/>
      <c r="F2444" s="222"/>
      <c r="G2444" s="702"/>
      <c r="H2444" s="222"/>
    </row>
    <row r="2445">
      <c r="C2445" s="703"/>
      <c r="E2445" s="221"/>
      <c r="F2445" s="222"/>
      <c r="G2445" s="702"/>
      <c r="H2445" s="222"/>
    </row>
    <row r="2446">
      <c r="C2446" s="703"/>
      <c r="E2446" s="221"/>
      <c r="F2446" s="222"/>
      <c r="G2446" s="702"/>
      <c r="H2446" s="222"/>
    </row>
    <row r="2447">
      <c r="C2447" s="703"/>
      <c r="E2447" s="221"/>
      <c r="F2447" s="222"/>
      <c r="G2447" s="702"/>
      <c r="H2447" s="222"/>
    </row>
    <row r="2448">
      <c r="C2448" s="703"/>
      <c r="E2448" s="221"/>
      <c r="F2448" s="222"/>
      <c r="G2448" s="702"/>
      <c r="H2448" s="222"/>
    </row>
    <row r="2449">
      <c r="C2449" s="703"/>
      <c r="E2449" s="221"/>
      <c r="F2449" s="222"/>
      <c r="G2449" s="702"/>
      <c r="H2449" s="222"/>
    </row>
    <row r="2450">
      <c r="C2450" s="703"/>
      <c r="E2450" s="221"/>
      <c r="F2450" s="222"/>
      <c r="G2450" s="702"/>
      <c r="H2450" s="222"/>
    </row>
    <row r="2451">
      <c r="C2451" s="703"/>
      <c r="E2451" s="221"/>
      <c r="F2451" s="222"/>
      <c r="G2451" s="702"/>
      <c r="H2451" s="222"/>
    </row>
    <row r="2452">
      <c r="C2452" s="703"/>
      <c r="E2452" s="221"/>
      <c r="F2452" s="222"/>
      <c r="G2452" s="702"/>
      <c r="H2452" s="222"/>
    </row>
    <row r="2453">
      <c r="C2453" s="703"/>
      <c r="E2453" s="221"/>
      <c r="F2453" s="222"/>
      <c r="G2453" s="702"/>
      <c r="H2453" s="222"/>
    </row>
    <row r="2454">
      <c r="C2454" s="703"/>
      <c r="E2454" s="221"/>
      <c r="F2454" s="222"/>
      <c r="G2454" s="702"/>
      <c r="H2454" s="222"/>
    </row>
    <row r="2455">
      <c r="C2455" s="703"/>
      <c r="E2455" s="221"/>
      <c r="F2455" s="222"/>
      <c r="G2455" s="702"/>
      <c r="H2455" s="222"/>
    </row>
    <row r="2456">
      <c r="C2456" s="703"/>
      <c r="E2456" s="221"/>
      <c r="F2456" s="222"/>
      <c r="G2456" s="702"/>
      <c r="H2456" s="222"/>
    </row>
    <row r="2457">
      <c r="C2457" s="703"/>
      <c r="E2457" s="221"/>
      <c r="F2457" s="222"/>
      <c r="G2457" s="702"/>
      <c r="H2457" s="222"/>
    </row>
    <row r="2458">
      <c r="C2458" s="703"/>
      <c r="E2458" s="221"/>
      <c r="F2458" s="222"/>
      <c r="G2458" s="702"/>
      <c r="H2458" s="222"/>
    </row>
    <row r="2459">
      <c r="C2459" s="703"/>
      <c r="E2459" s="221"/>
      <c r="F2459" s="222"/>
      <c r="G2459" s="702"/>
      <c r="H2459" s="222"/>
    </row>
    <row r="2460">
      <c r="C2460" s="703"/>
      <c r="E2460" s="221"/>
      <c r="F2460" s="222"/>
      <c r="G2460" s="702"/>
      <c r="H2460" s="222"/>
    </row>
    <row r="2461">
      <c r="C2461" s="703"/>
      <c r="E2461" s="221"/>
      <c r="F2461" s="222"/>
      <c r="G2461" s="702"/>
      <c r="H2461" s="222"/>
    </row>
    <row r="2462">
      <c r="C2462" s="703"/>
      <c r="E2462" s="221"/>
      <c r="F2462" s="222"/>
      <c r="G2462" s="702"/>
      <c r="H2462" s="222"/>
    </row>
    <row r="2463">
      <c r="C2463" s="703"/>
      <c r="E2463" s="221"/>
      <c r="F2463" s="222"/>
      <c r="G2463" s="702"/>
      <c r="H2463" s="222"/>
    </row>
    <row r="2464">
      <c r="C2464" s="703"/>
      <c r="E2464" s="221"/>
      <c r="F2464" s="222"/>
      <c r="G2464" s="702"/>
      <c r="H2464" s="222"/>
    </row>
    <row r="2465">
      <c r="C2465" s="703"/>
      <c r="E2465" s="221"/>
      <c r="F2465" s="222"/>
      <c r="G2465" s="702"/>
      <c r="H2465" s="222"/>
    </row>
    <row r="2466">
      <c r="C2466" s="703"/>
      <c r="E2466" s="221"/>
      <c r="F2466" s="222"/>
      <c r="G2466" s="702"/>
      <c r="H2466" s="222"/>
    </row>
    <row r="2467">
      <c r="C2467" s="703"/>
      <c r="E2467" s="221"/>
      <c r="F2467" s="222"/>
      <c r="G2467" s="702"/>
      <c r="H2467" s="222"/>
    </row>
    <row r="2468">
      <c r="C2468" s="703"/>
      <c r="E2468" s="221"/>
      <c r="F2468" s="222"/>
      <c r="G2468" s="702"/>
      <c r="H2468" s="222"/>
    </row>
    <row r="2469">
      <c r="C2469" s="703"/>
      <c r="E2469" s="221"/>
      <c r="F2469" s="222"/>
      <c r="G2469" s="702"/>
      <c r="H2469" s="222"/>
    </row>
    <row r="2470">
      <c r="C2470" s="703"/>
      <c r="E2470" s="221"/>
      <c r="F2470" s="222"/>
      <c r="G2470" s="702"/>
      <c r="H2470" s="222"/>
    </row>
    <row r="2471">
      <c r="C2471" s="703"/>
      <c r="E2471" s="221"/>
      <c r="F2471" s="222"/>
      <c r="G2471" s="702"/>
      <c r="H2471" s="222"/>
    </row>
    <row r="2472">
      <c r="C2472" s="703"/>
      <c r="E2472" s="221"/>
      <c r="F2472" s="222"/>
      <c r="G2472" s="702"/>
      <c r="H2472" s="222"/>
    </row>
    <row r="2473">
      <c r="C2473" s="703"/>
      <c r="E2473" s="221"/>
      <c r="F2473" s="222"/>
      <c r="G2473" s="702"/>
      <c r="H2473" s="222"/>
    </row>
    <row r="2474">
      <c r="C2474" s="703"/>
      <c r="E2474" s="221"/>
      <c r="F2474" s="222"/>
      <c r="G2474" s="702"/>
      <c r="H2474" s="222"/>
    </row>
    <row r="2475">
      <c r="C2475" s="703"/>
      <c r="E2475" s="221"/>
      <c r="F2475" s="222"/>
      <c r="G2475" s="702"/>
      <c r="H2475" s="222"/>
    </row>
    <row r="2476">
      <c r="C2476" s="703"/>
      <c r="E2476" s="221"/>
      <c r="F2476" s="222"/>
      <c r="G2476" s="702"/>
      <c r="H2476" s="222"/>
    </row>
    <row r="2477">
      <c r="C2477" s="703"/>
      <c r="E2477" s="221"/>
      <c r="F2477" s="222"/>
      <c r="G2477" s="702"/>
      <c r="H2477" s="222"/>
    </row>
    <row r="2478">
      <c r="C2478" s="703"/>
      <c r="E2478" s="221"/>
      <c r="F2478" s="222"/>
      <c r="G2478" s="702"/>
      <c r="H2478" s="222"/>
    </row>
    <row r="2479">
      <c r="C2479" s="703"/>
      <c r="E2479" s="221"/>
      <c r="F2479" s="222"/>
      <c r="G2479" s="702"/>
      <c r="H2479" s="222"/>
    </row>
    <row r="2480">
      <c r="C2480" s="703"/>
      <c r="E2480" s="221"/>
      <c r="F2480" s="222"/>
      <c r="G2480" s="702"/>
      <c r="H2480" s="222"/>
    </row>
    <row r="2481">
      <c r="C2481" s="703"/>
      <c r="E2481" s="221"/>
      <c r="F2481" s="222"/>
      <c r="G2481" s="702"/>
      <c r="H2481" s="222"/>
    </row>
    <row r="2482">
      <c r="C2482" s="703"/>
      <c r="E2482" s="221"/>
      <c r="F2482" s="222"/>
      <c r="G2482" s="702"/>
      <c r="H2482" s="222"/>
    </row>
    <row r="2483">
      <c r="C2483" s="703"/>
      <c r="E2483" s="221"/>
      <c r="F2483" s="222"/>
      <c r="G2483" s="702"/>
      <c r="H2483" s="222"/>
    </row>
    <row r="2484">
      <c r="C2484" s="703"/>
      <c r="E2484" s="221"/>
      <c r="F2484" s="222"/>
      <c r="G2484" s="702"/>
      <c r="H2484" s="222"/>
    </row>
    <row r="2485">
      <c r="C2485" s="703"/>
      <c r="E2485" s="221"/>
      <c r="F2485" s="222"/>
      <c r="G2485" s="702"/>
      <c r="H2485" s="222"/>
    </row>
    <row r="2486">
      <c r="C2486" s="703"/>
      <c r="E2486" s="221"/>
      <c r="F2486" s="222"/>
      <c r="G2486" s="702"/>
      <c r="H2486" s="222"/>
    </row>
    <row r="2487">
      <c r="C2487" s="703"/>
      <c r="E2487" s="221"/>
      <c r="F2487" s="222"/>
      <c r="G2487" s="702"/>
      <c r="H2487" s="222"/>
    </row>
    <row r="2488">
      <c r="C2488" s="703"/>
      <c r="E2488" s="221"/>
      <c r="F2488" s="222"/>
      <c r="G2488" s="702"/>
      <c r="H2488" s="222"/>
    </row>
    <row r="2489">
      <c r="C2489" s="703"/>
      <c r="E2489" s="221"/>
      <c r="F2489" s="222"/>
      <c r="G2489" s="702"/>
      <c r="H2489" s="222"/>
    </row>
    <row r="2490">
      <c r="C2490" s="703"/>
      <c r="E2490" s="221"/>
      <c r="F2490" s="222"/>
      <c r="G2490" s="702"/>
      <c r="H2490" s="222"/>
    </row>
    <row r="2491">
      <c r="C2491" s="703"/>
      <c r="E2491" s="221"/>
      <c r="F2491" s="222"/>
      <c r="G2491" s="702"/>
      <c r="H2491" s="222"/>
    </row>
    <row r="2492">
      <c r="C2492" s="703"/>
      <c r="E2492" s="221"/>
      <c r="F2492" s="222"/>
      <c r="G2492" s="702"/>
      <c r="H2492" s="222"/>
    </row>
    <row r="2493">
      <c r="C2493" s="703"/>
      <c r="E2493" s="221"/>
      <c r="F2493" s="222"/>
      <c r="G2493" s="702"/>
      <c r="H2493" s="222"/>
    </row>
    <row r="2494">
      <c r="C2494" s="703"/>
      <c r="E2494" s="221"/>
      <c r="F2494" s="222"/>
      <c r="G2494" s="702"/>
      <c r="H2494" s="222"/>
    </row>
    <row r="2495">
      <c r="C2495" s="703"/>
      <c r="E2495" s="221"/>
      <c r="F2495" s="222"/>
      <c r="G2495" s="702"/>
      <c r="H2495" s="222"/>
    </row>
    <row r="2496">
      <c r="C2496" s="703"/>
      <c r="E2496" s="221"/>
      <c r="F2496" s="222"/>
      <c r="G2496" s="702"/>
      <c r="H2496" s="222"/>
    </row>
    <row r="2497">
      <c r="C2497" s="703"/>
      <c r="E2497" s="221"/>
      <c r="F2497" s="222"/>
      <c r="G2497" s="702"/>
      <c r="H2497" s="222"/>
    </row>
    <row r="2498">
      <c r="C2498" s="703"/>
      <c r="E2498" s="221"/>
      <c r="F2498" s="222"/>
      <c r="G2498" s="702"/>
      <c r="H2498" s="222"/>
    </row>
    <row r="2499">
      <c r="C2499" s="703"/>
      <c r="E2499" s="221"/>
      <c r="F2499" s="222"/>
      <c r="G2499" s="702"/>
      <c r="H2499" s="222"/>
    </row>
    <row r="2500">
      <c r="C2500" s="703"/>
      <c r="E2500" s="221"/>
      <c r="F2500" s="222"/>
      <c r="G2500" s="702"/>
      <c r="H2500" s="222"/>
    </row>
    <row r="2501">
      <c r="C2501" s="703"/>
      <c r="E2501" s="221"/>
      <c r="F2501" s="222"/>
      <c r="G2501" s="702"/>
      <c r="H2501" s="222"/>
    </row>
    <row r="2502">
      <c r="C2502" s="703"/>
      <c r="E2502" s="221"/>
      <c r="F2502" s="222"/>
      <c r="G2502" s="702"/>
      <c r="H2502" s="222"/>
    </row>
    <row r="2503">
      <c r="C2503" s="703"/>
      <c r="E2503" s="221"/>
      <c r="F2503" s="222"/>
      <c r="G2503" s="702"/>
      <c r="H2503" s="222"/>
    </row>
    <row r="2504">
      <c r="C2504" s="703"/>
      <c r="E2504" s="221"/>
      <c r="F2504" s="222"/>
      <c r="G2504" s="702"/>
      <c r="H2504" s="222"/>
    </row>
    <row r="2505">
      <c r="C2505" s="703"/>
      <c r="E2505" s="221"/>
      <c r="F2505" s="222"/>
      <c r="G2505" s="702"/>
      <c r="H2505" s="222"/>
    </row>
    <row r="2506">
      <c r="C2506" s="703"/>
      <c r="E2506" s="221"/>
      <c r="F2506" s="222"/>
      <c r="G2506" s="702"/>
      <c r="H2506" s="222"/>
    </row>
    <row r="2507">
      <c r="C2507" s="703"/>
      <c r="E2507" s="221"/>
      <c r="F2507" s="222"/>
      <c r="G2507" s="702"/>
      <c r="H2507" s="222"/>
    </row>
    <row r="2508">
      <c r="C2508" s="703"/>
      <c r="E2508" s="221"/>
      <c r="F2508" s="222"/>
      <c r="G2508" s="702"/>
      <c r="H2508" s="222"/>
    </row>
    <row r="2509">
      <c r="C2509" s="703"/>
      <c r="E2509" s="221"/>
      <c r="F2509" s="222"/>
      <c r="G2509" s="702"/>
      <c r="H2509" s="222"/>
    </row>
    <row r="2510">
      <c r="C2510" s="703"/>
      <c r="E2510" s="221"/>
      <c r="F2510" s="222"/>
      <c r="G2510" s="702"/>
      <c r="H2510" s="222"/>
    </row>
    <row r="2511">
      <c r="C2511" s="703"/>
      <c r="E2511" s="221"/>
      <c r="F2511" s="222"/>
      <c r="G2511" s="702"/>
      <c r="H2511" s="222"/>
    </row>
    <row r="2512">
      <c r="C2512" s="703"/>
      <c r="E2512" s="221"/>
      <c r="F2512" s="222"/>
      <c r="G2512" s="702"/>
      <c r="H2512" s="222"/>
    </row>
    <row r="2513">
      <c r="C2513" s="703"/>
      <c r="E2513" s="221"/>
      <c r="F2513" s="222"/>
      <c r="G2513" s="702"/>
      <c r="H2513" s="222"/>
    </row>
    <row r="2514">
      <c r="C2514" s="703"/>
      <c r="E2514" s="221"/>
      <c r="F2514" s="222"/>
      <c r="G2514" s="702"/>
      <c r="H2514" s="222"/>
    </row>
    <row r="2515">
      <c r="C2515" s="703"/>
      <c r="E2515" s="221"/>
      <c r="F2515" s="222"/>
      <c r="G2515" s="702"/>
      <c r="H2515" s="222"/>
    </row>
    <row r="2516">
      <c r="C2516" s="703"/>
      <c r="E2516" s="221"/>
      <c r="F2516" s="222"/>
      <c r="G2516" s="702"/>
      <c r="H2516" s="222"/>
    </row>
    <row r="2517">
      <c r="C2517" s="703"/>
      <c r="E2517" s="221"/>
      <c r="F2517" s="222"/>
      <c r="G2517" s="702"/>
      <c r="H2517" s="222"/>
    </row>
    <row r="2518">
      <c r="C2518" s="703"/>
      <c r="E2518" s="221"/>
      <c r="F2518" s="222"/>
      <c r="G2518" s="702"/>
      <c r="H2518" s="222"/>
    </row>
    <row r="2519">
      <c r="C2519" s="703"/>
      <c r="E2519" s="221"/>
      <c r="F2519" s="222"/>
      <c r="G2519" s="702"/>
      <c r="H2519" s="222"/>
    </row>
    <row r="2520">
      <c r="C2520" s="703"/>
      <c r="E2520" s="221"/>
      <c r="F2520" s="222"/>
      <c r="G2520" s="702"/>
      <c r="H2520" s="222"/>
    </row>
    <row r="2521">
      <c r="C2521" s="703"/>
      <c r="E2521" s="221"/>
      <c r="F2521" s="222"/>
      <c r="G2521" s="702"/>
      <c r="H2521" s="222"/>
    </row>
    <row r="2522">
      <c r="C2522" s="703"/>
      <c r="E2522" s="221"/>
      <c r="F2522" s="222"/>
      <c r="G2522" s="702"/>
      <c r="H2522" s="222"/>
    </row>
    <row r="2523">
      <c r="C2523" s="703"/>
      <c r="E2523" s="221"/>
      <c r="F2523" s="222"/>
      <c r="G2523" s="702"/>
      <c r="H2523" s="222"/>
    </row>
    <row r="2524">
      <c r="C2524" s="703"/>
      <c r="E2524" s="221"/>
      <c r="F2524" s="222"/>
      <c r="G2524" s="702"/>
      <c r="H2524" s="222"/>
    </row>
    <row r="2525">
      <c r="C2525" s="703"/>
      <c r="E2525" s="221"/>
      <c r="F2525" s="222"/>
      <c r="G2525" s="702"/>
      <c r="H2525" s="222"/>
    </row>
    <row r="2526">
      <c r="C2526" s="703"/>
      <c r="E2526" s="221"/>
      <c r="F2526" s="222"/>
      <c r="G2526" s="702"/>
      <c r="H2526" s="222"/>
    </row>
    <row r="2527">
      <c r="C2527" s="703"/>
      <c r="E2527" s="221"/>
      <c r="F2527" s="222"/>
      <c r="G2527" s="702"/>
      <c r="H2527" s="222"/>
    </row>
    <row r="2528">
      <c r="C2528" s="703"/>
      <c r="E2528" s="221"/>
      <c r="F2528" s="222"/>
      <c r="G2528" s="702"/>
      <c r="H2528" s="222"/>
    </row>
    <row r="2529">
      <c r="C2529" s="703"/>
      <c r="E2529" s="221"/>
      <c r="F2529" s="222"/>
      <c r="G2529" s="702"/>
      <c r="H2529" s="222"/>
    </row>
    <row r="2530">
      <c r="C2530" s="703"/>
      <c r="E2530" s="221"/>
      <c r="F2530" s="222"/>
      <c r="G2530" s="702"/>
      <c r="H2530" s="222"/>
    </row>
    <row r="2531">
      <c r="C2531" s="703"/>
      <c r="E2531" s="221"/>
      <c r="F2531" s="222"/>
      <c r="G2531" s="702"/>
      <c r="H2531" s="222"/>
    </row>
    <row r="2532">
      <c r="C2532" s="703"/>
      <c r="E2532" s="221"/>
      <c r="F2532" s="222"/>
      <c r="G2532" s="702"/>
      <c r="H2532" s="222"/>
    </row>
    <row r="2533">
      <c r="C2533" s="703"/>
      <c r="E2533" s="221"/>
      <c r="F2533" s="222"/>
      <c r="G2533" s="702"/>
      <c r="H2533" s="222"/>
    </row>
    <row r="2534">
      <c r="C2534" s="703"/>
      <c r="E2534" s="221"/>
      <c r="F2534" s="222"/>
      <c r="G2534" s="702"/>
      <c r="H2534" s="222"/>
    </row>
    <row r="2535">
      <c r="C2535" s="703"/>
      <c r="E2535" s="221"/>
      <c r="F2535" s="222"/>
      <c r="G2535" s="702"/>
      <c r="H2535" s="222"/>
    </row>
    <row r="2536">
      <c r="C2536" s="703"/>
      <c r="E2536" s="221"/>
      <c r="F2536" s="222"/>
      <c r="G2536" s="702"/>
      <c r="H2536" s="222"/>
    </row>
    <row r="2537">
      <c r="C2537" s="703"/>
      <c r="E2537" s="221"/>
      <c r="F2537" s="222"/>
      <c r="G2537" s="702"/>
      <c r="H2537" s="222"/>
    </row>
    <row r="2538">
      <c r="C2538" s="703"/>
      <c r="E2538" s="221"/>
      <c r="F2538" s="222"/>
      <c r="G2538" s="702"/>
      <c r="H2538" s="222"/>
    </row>
    <row r="2539">
      <c r="C2539" s="703"/>
      <c r="E2539" s="221"/>
      <c r="F2539" s="222"/>
      <c r="G2539" s="702"/>
      <c r="H2539" s="222"/>
    </row>
    <row r="2540">
      <c r="C2540" s="703"/>
      <c r="E2540" s="221"/>
      <c r="F2540" s="222"/>
      <c r="G2540" s="702"/>
      <c r="H2540" s="222"/>
    </row>
    <row r="2541">
      <c r="C2541" s="703"/>
      <c r="E2541" s="221"/>
      <c r="F2541" s="222"/>
      <c r="G2541" s="702"/>
      <c r="H2541" s="222"/>
    </row>
    <row r="2542">
      <c r="C2542" s="703"/>
      <c r="E2542" s="221"/>
      <c r="F2542" s="222"/>
      <c r="G2542" s="702"/>
      <c r="H2542" s="222"/>
    </row>
    <row r="2543">
      <c r="C2543" s="703"/>
      <c r="E2543" s="221"/>
      <c r="F2543" s="222"/>
      <c r="G2543" s="702"/>
      <c r="H2543" s="222"/>
    </row>
    <row r="2544">
      <c r="C2544" s="703"/>
      <c r="E2544" s="221"/>
      <c r="F2544" s="222"/>
      <c r="G2544" s="702"/>
      <c r="H2544" s="222"/>
    </row>
    <row r="2545">
      <c r="C2545" s="703"/>
      <c r="E2545" s="221"/>
      <c r="F2545" s="222"/>
      <c r="G2545" s="702"/>
      <c r="H2545" s="222"/>
    </row>
    <row r="2546">
      <c r="C2546" s="703"/>
      <c r="E2546" s="221"/>
      <c r="F2546" s="222"/>
      <c r="G2546" s="702"/>
      <c r="H2546" s="222"/>
    </row>
    <row r="2547">
      <c r="C2547" s="703"/>
      <c r="E2547" s="221"/>
      <c r="F2547" s="222"/>
      <c r="G2547" s="702"/>
      <c r="H2547" s="222"/>
    </row>
    <row r="2548">
      <c r="C2548" s="703"/>
      <c r="E2548" s="221"/>
      <c r="F2548" s="222"/>
      <c r="G2548" s="702"/>
      <c r="H2548" s="222"/>
    </row>
    <row r="2549">
      <c r="C2549" s="703"/>
      <c r="E2549" s="221"/>
      <c r="F2549" s="222"/>
      <c r="G2549" s="702"/>
      <c r="H2549" s="222"/>
    </row>
    <row r="2550">
      <c r="C2550" s="703"/>
      <c r="E2550" s="221"/>
      <c r="F2550" s="222"/>
      <c r="G2550" s="702"/>
      <c r="H2550" s="222"/>
    </row>
    <row r="2551">
      <c r="C2551" s="703"/>
      <c r="E2551" s="221"/>
      <c r="F2551" s="222"/>
      <c r="G2551" s="702"/>
      <c r="H2551" s="222"/>
    </row>
    <row r="2552">
      <c r="C2552" s="703"/>
      <c r="E2552" s="221"/>
      <c r="F2552" s="222"/>
      <c r="G2552" s="702"/>
      <c r="H2552" s="222"/>
    </row>
    <row r="2553">
      <c r="C2553" s="703"/>
      <c r="E2553" s="221"/>
      <c r="F2553" s="222"/>
      <c r="G2553" s="702"/>
      <c r="H2553" s="222"/>
    </row>
    <row r="2554">
      <c r="C2554" s="703"/>
      <c r="E2554" s="221"/>
      <c r="F2554" s="222"/>
      <c r="G2554" s="702"/>
      <c r="H2554" s="222"/>
    </row>
    <row r="2555">
      <c r="C2555" s="703"/>
      <c r="E2555" s="221"/>
      <c r="F2555" s="222"/>
      <c r="G2555" s="702"/>
      <c r="H2555" s="222"/>
    </row>
    <row r="2556">
      <c r="C2556" s="703"/>
      <c r="E2556" s="221"/>
      <c r="F2556" s="222"/>
      <c r="G2556" s="702"/>
      <c r="H2556" s="222"/>
    </row>
    <row r="2557">
      <c r="C2557" s="703"/>
      <c r="E2557" s="221"/>
      <c r="F2557" s="222"/>
      <c r="G2557" s="702"/>
      <c r="H2557" s="222"/>
    </row>
    <row r="2558">
      <c r="C2558" s="703"/>
      <c r="E2558" s="221"/>
      <c r="F2558" s="222"/>
      <c r="G2558" s="702"/>
      <c r="H2558" s="222"/>
    </row>
    <row r="2559">
      <c r="C2559" s="703"/>
      <c r="E2559" s="221"/>
      <c r="F2559" s="222"/>
      <c r="G2559" s="702"/>
      <c r="H2559" s="222"/>
    </row>
    <row r="2560">
      <c r="C2560" s="703"/>
      <c r="E2560" s="221"/>
      <c r="F2560" s="222"/>
      <c r="G2560" s="702"/>
      <c r="H2560" s="222"/>
    </row>
    <row r="2561">
      <c r="C2561" s="703"/>
      <c r="E2561" s="221"/>
      <c r="F2561" s="222"/>
      <c r="G2561" s="702"/>
      <c r="H2561" s="222"/>
    </row>
    <row r="2562">
      <c r="C2562" s="703"/>
      <c r="E2562" s="221"/>
      <c r="F2562" s="222"/>
      <c r="G2562" s="702"/>
      <c r="H2562" s="222"/>
    </row>
    <row r="2563">
      <c r="C2563" s="703"/>
      <c r="E2563" s="221"/>
      <c r="F2563" s="222"/>
      <c r="G2563" s="702"/>
      <c r="H2563" s="222"/>
    </row>
    <row r="2564">
      <c r="C2564" s="703"/>
      <c r="E2564" s="221"/>
      <c r="F2564" s="222"/>
      <c r="G2564" s="702"/>
      <c r="H2564" s="222"/>
    </row>
    <row r="2565">
      <c r="C2565" s="703"/>
      <c r="E2565" s="221"/>
      <c r="F2565" s="222"/>
      <c r="G2565" s="702"/>
      <c r="H2565" s="222"/>
    </row>
    <row r="2566">
      <c r="C2566" s="703"/>
      <c r="E2566" s="221"/>
      <c r="F2566" s="222"/>
      <c r="G2566" s="702"/>
      <c r="H2566" s="222"/>
    </row>
    <row r="2567">
      <c r="C2567" s="703"/>
      <c r="E2567" s="221"/>
      <c r="F2567" s="222"/>
      <c r="G2567" s="702"/>
      <c r="H2567" s="222"/>
    </row>
    <row r="2568">
      <c r="C2568" s="703"/>
      <c r="E2568" s="221"/>
      <c r="F2568" s="222"/>
      <c r="G2568" s="702"/>
      <c r="H2568" s="222"/>
    </row>
    <row r="2569">
      <c r="C2569" s="703"/>
      <c r="E2569" s="221"/>
      <c r="F2569" s="222"/>
      <c r="G2569" s="702"/>
      <c r="H2569" s="222"/>
    </row>
    <row r="2570">
      <c r="C2570" s="703"/>
      <c r="E2570" s="221"/>
      <c r="F2570" s="222"/>
      <c r="G2570" s="702"/>
      <c r="H2570" s="222"/>
    </row>
    <row r="2571">
      <c r="C2571" s="703"/>
      <c r="E2571" s="221"/>
      <c r="F2571" s="222"/>
      <c r="G2571" s="702"/>
      <c r="H2571" s="222"/>
    </row>
    <row r="2572">
      <c r="C2572" s="703"/>
      <c r="E2572" s="221"/>
      <c r="F2572" s="222"/>
      <c r="G2572" s="702"/>
      <c r="H2572" s="222"/>
    </row>
    <row r="2573">
      <c r="C2573" s="703"/>
      <c r="E2573" s="221"/>
      <c r="F2573" s="222"/>
      <c r="G2573" s="702"/>
      <c r="H2573" s="222"/>
    </row>
    <row r="2574">
      <c r="C2574" s="703"/>
      <c r="E2574" s="221"/>
      <c r="F2574" s="222"/>
      <c r="G2574" s="702"/>
      <c r="H2574" s="222"/>
    </row>
    <row r="2575">
      <c r="C2575" s="703"/>
      <c r="E2575" s="221"/>
      <c r="F2575" s="222"/>
      <c r="G2575" s="702"/>
      <c r="H2575" s="222"/>
    </row>
    <row r="2576">
      <c r="C2576" s="703"/>
      <c r="E2576" s="221"/>
      <c r="F2576" s="222"/>
      <c r="G2576" s="702"/>
      <c r="H2576" s="222"/>
    </row>
    <row r="2577">
      <c r="C2577" s="703"/>
      <c r="E2577" s="221"/>
      <c r="F2577" s="222"/>
      <c r="G2577" s="702"/>
      <c r="H2577" s="222"/>
    </row>
    <row r="2578">
      <c r="C2578" s="703"/>
      <c r="E2578" s="221"/>
      <c r="F2578" s="222"/>
      <c r="G2578" s="702"/>
      <c r="H2578" s="222"/>
    </row>
    <row r="2579">
      <c r="C2579" s="703"/>
      <c r="E2579" s="221"/>
      <c r="F2579" s="222"/>
      <c r="G2579" s="702"/>
      <c r="H2579" s="222"/>
    </row>
    <row r="2580">
      <c r="C2580" s="703"/>
      <c r="E2580" s="221"/>
      <c r="F2580" s="222"/>
      <c r="G2580" s="702"/>
      <c r="H2580" s="222"/>
    </row>
    <row r="2581">
      <c r="C2581" s="703"/>
      <c r="E2581" s="221"/>
      <c r="F2581" s="222"/>
      <c r="G2581" s="702"/>
      <c r="H2581" s="222"/>
    </row>
    <row r="2582">
      <c r="C2582" s="703"/>
      <c r="E2582" s="221"/>
      <c r="F2582" s="222"/>
      <c r="G2582" s="702"/>
      <c r="H2582" s="222"/>
    </row>
    <row r="2583">
      <c r="C2583" s="703"/>
      <c r="E2583" s="221"/>
      <c r="F2583" s="222"/>
      <c r="G2583" s="702"/>
      <c r="H2583" s="222"/>
    </row>
    <row r="2584">
      <c r="C2584" s="703"/>
      <c r="E2584" s="221"/>
      <c r="F2584" s="222"/>
      <c r="G2584" s="702"/>
      <c r="H2584" s="222"/>
    </row>
    <row r="2585">
      <c r="C2585" s="703"/>
      <c r="E2585" s="221"/>
      <c r="F2585" s="222"/>
      <c r="G2585" s="702"/>
      <c r="H2585" s="222"/>
    </row>
    <row r="2586">
      <c r="C2586" s="703"/>
      <c r="E2586" s="221"/>
      <c r="F2586" s="222"/>
      <c r="G2586" s="702"/>
      <c r="H2586" s="222"/>
    </row>
    <row r="2587">
      <c r="C2587" s="703"/>
      <c r="E2587" s="221"/>
      <c r="F2587" s="222"/>
      <c r="G2587" s="702"/>
      <c r="H2587" s="222"/>
    </row>
    <row r="2588">
      <c r="C2588" s="703"/>
      <c r="E2588" s="221"/>
      <c r="F2588" s="222"/>
      <c r="G2588" s="702"/>
      <c r="H2588" s="222"/>
    </row>
    <row r="2589">
      <c r="C2589" s="703"/>
      <c r="E2589" s="221"/>
      <c r="F2589" s="222"/>
      <c r="G2589" s="702"/>
      <c r="H2589" s="222"/>
    </row>
    <row r="2590">
      <c r="C2590" s="703"/>
      <c r="E2590" s="221"/>
      <c r="F2590" s="222"/>
      <c r="G2590" s="702"/>
      <c r="H2590" s="222"/>
    </row>
    <row r="2591">
      <c r="C2591" s="703"/>
      <c r="E2591" s="221"/>
      <c r="F2591" s="222"/>
      <c r="G2591" s="702"/>
      <c r="H2591" s="222"/>
    </row>
    <row r="2592">
      <c r="C2592" s="703"/>
      <c r="E2592" s="221"/>
      <c r="F2592" s="222"/>
      <c r="G2592" s="702"/>
      <c r="H2592" s="222"/>
    </row>
    <row r="2593">
      <c r="C2593" s="703"/>
      <c r="E2593" s="221"/>
      <c r="F2593" s="222"/>
      <c r="G2593" s="702"/>
      <c r="H2593" s="222"/>
    </row>
    <row r="2594">
      <c r="C2594" s="703"/>
      <c r="E2594" s="221"/>
      <c r="F2594" s="222"/>
      <c r="G2594" s="702"/>
      <c r="H2594" s="222"/>
    </row>
    <row r="2595">
      <c r="C2595" s="703"/>
      <c r="E2595" s="221"/>
      <c r="F2595" s="222"/>
      <c r="G2595" s="702"/>
      <c r="H2595" s="222"/>
    </row>
    <row r="2596">
      <c r="C2596" s="703"/>
      <c r="E2596" s="221"/>
      <c r="F2596" s="222"/>
      <c r="G2596" s="702"/>
      <c r="H2596" s="222"/>
    </row>
    <row r="2597">
      <c r="C2597" s="703"/>
      <c r="E2597" s="221"/>
      <c r="F2597" s="222"/>
      <c r="G2597" s="702"/>
      <c r="H2597" s="222"/>
    </row>
    <row r="2598">
      <c r="C2598" s="703"/>
      <c r="E2598" s="221"/>
      <c r="F2598" s="222"/>
      <c r="G2598" s="702"/>
      <c r="H2598" s="222"/>
    </row>
    <row r="2599">
      <c r="C2599" s="703"/>
      <c r="E2599" s="221"/>
      <c r="F2599" s="222"/>
      <c r="G2599" s="702"/>
      <c r="H2599" s="222"/>
    </row>
    <row r="2600">
      <c r="C2600" s="703"/>
      <c r="E2600" s="221"/>
      <c r="F2600" s="222"/>
      <c r="G2600" s="702"/>
      <c r="H2600" s="222"/>
    </row>
    <row r="2601">
      <c r="C2601" s="703"/>
      <c r="E2601" s="221"/>
      <c r="F2601" s="222"/>
      <c r="G2601" s="702"/>
      <c r="H2601" s="222"/>
    </row>
    <row r="2602">
      <c r="C2602" s="703"/>
      <c r="E2602" s="221"/>
      <c r="F2602" s="222"/>
      <c r="G2602" s="702"/>
      <c r="H2602" s="222"/>
    </row>
    <row r="2603">
      <c r="C2603" s="703"/>
      <c r="E2603" s="221"/>
      <c r="F2603" s="222"/>
      <c r="G2603" s="702"/>
      <c r="H2603" s="222"/>
    </row>
    <row r="2604">
      <c r="C2604" s="703"/>
      <c r="E2604" s="221"/>
      <c r="F2604" s="222"/>
      <c r="G2604" s="702"/>
      <c r="H2604" s="222"/>
    </row>
    <row r="2605">
      <c r="C2605" s="703"/>
      <c r="E2605" s="221"/>
      <c r="F2605" s="222"/>
      <c r="G2605" s="702"/>
      <c r="H2605" s="222"/>
    </row>
    <row r="2606">
      <c r="C2606" s="703"/>
      <c r="E2606" s="221"/>
      <c r="F2606" s="222"/>
      <c r="G2606" s="702"/>
      <c r="H2606" s="222"/>
    </row>
    <row r="2607">
      <c r="C2607" s="703"/>
      <c r="E2607" s="221"/>
      <c r="F2607" s="222"/>
      <c r="G2607" s="702"/>
      <c r="H2607" s="222"/>
    </row>
    <row r="2608">
      <c r="C2608" s="703"/>
      <c r="E2608" s="221"/>
      <c r="F2608" s="222"/>
      <c r="G2608" s="702"/>
      <c r="H2608" s="222"/>
    </row>
    <row r="2609">
      <c r="C2609" s="703"/>
      <c r="E2609" s="221"/>
      <c r="F2609" s="222"/>
      <c r="G2609" s="702"/>
      <c r="H2609" s="222"/>
    </row>
    <row r="2610">
      <c r="C2610" s="703"/>
      <c r="E2610" s="221"/>
      <c r="F2610" s="222"/>
      <c r="G2610" s="702"/>
      <c r="H2610" s="222"/>
    </row>
    <row r="2611">
      <c r="C2611" s="703"/>
      <c r="E2611" s="221"/>
      <c r="F2611" s="222"/>
      <c r="G2611" s="702"/>
      <c r="H2611" s="222"/>
    </row>
    <row r="2612">
      <c r="C2612" s="703"/>
      <c r="E2612" s="221"/>
      <c r="F2612" s="222"/>
      <c r="G2612" s="702"/>
      <c r="H2612" s="222"/>
    </row>
    <row r="2613">
      <c r="C2613" s="703"/>
      <c r="E2613" s="221"/>
      <c r="F2613" s="222"/>
      <c r="G2613" s="702"/>
      <c r="H2613" s="222"/>
    </row>
    <row r="2614">
      <c r="C2614" s="703"/>
      <c r="E2614" s="221"/>
      <c r="F2614" s="222"/>
      <c r="G2614" s="702"/>
      <c r="H2614" s="222"/>
    </row>
    <row r="2615">
      <c r="C2615" s="703"/>
      <c r="E2615" s="221"/>
      <c r="F2615" s="222"/>
      <c r="G2615" s="702"/>
      <c r="H2615" s="222"/>
    </row>
    <row r="2616">
      <c r="C2616" s="703"/>
      <c r="E2616" s="221"/>
      <c r="F2616" s="222"/>
      <c r="G2616" s="702"/>
      <c r="H2616" s="222"/>
    </row>
    <row r="2617">
      <c r="C2617" s="703"/>
      <c r="E2617" s="221"/>
      <c r="F2617" s="222"/>
      <c r="G2617" s="702"/>
      <c r="H2617" s="222"/>
    </row>
    <row r="2618">
      <c r="C2618" s="703"/>
      <c r="E2618" s="221"/>
      <c r="F2618" s="222"/>
      <c r="G2618" s="702"/>
      <c r="H2618" s="222"/>
    </row>
    <row r="2619">
      <c r="C2619" s="703"/>
      <c r="E2619" s="221"/>
      <c r="F2619" s="222"/>
      <c r="G2619" s="702"/>
      <c r="H2619" s="222"/>
    </row>
    <row r="2620">
      <c r="C2620" s="703"/>
      <c r="E2620" s="221"/>
      <c r="F2620" s="222"/>
      <c r="G2620" s="702"/>
      <c r="H2620" s="222"/>
    </row>
    <row r="2621">
      <c r="C2621" s="703"/>
      <c r="E2621" s="221"/>
      <c r="F2621" s="222"/>
      <c r="G2621" s="702"/>
      <c r="H2621" s="222"/>
    </row>
    <row r="2622">
      <c r="C2622" s="703"/>
      <c r="E2622" s="221"/>
      <c r="F2622" s="222"/>
      <c r="G2622" s="702"/>
      <c r="H2622" s="222"/>
    </row>
    <row r="2623">
      <c r="C2623" s="703"/>
      <c r="E2623" s="221"/>
      <c r="F2623" s="222"/>
      <c r="G2623" s="702"/>
      <c r="H2623" s="222"/>
    </row>
    <row r="2624">
      <c r="C2624" s="703"/>
      <c r="E2624" s="221"/>
      <c r="F2624" s="222"/>
      <c r="G2624" s="702"/>
      <c r="H2624" s="222"/>
    </row>
    <row r="2625">
      <c r="C2625" s="703"/>
      <c r="E2625" s="221"/>
      <c r="F2625" s="222"/>
      <c r="G2625" s="702"/>
      <c r="H2625" s="222"/>
    </row>
    <row r="2626">
      <c r="C2626" s="703"/>
      <c r="E2626" s="221"/>
      <c r="F2626" s="222"/>
      <c r="G2626" s="702"/>
      <c r="H2626" s="222"/>
    </row>
    <row r="2627">
      <c r="C2627" s="703"/>
      <c r="E2627" s="221"/>
      <c r="F2627" s="222"/>
      <c r="G2627" s="702"/>
      <c r="H2627" s="222"/>
    </row>
    <row r="2628">
      <c r="C2628" s="703"/>
      <c r="E2628" s="221"/>
      <c r="F2628" s="222"/>
      <c r="G2628" s="702"/>
      <c r="H2628" s="222"/>
    </row>
    <row r="2629">
      <c r="C2629" s="703"/>
      <c r="E2629" s="221"/>
      <c r="F2629" s="222"/>
      <c r="G2629" s="702"/>
      <c r="H2629" s="222"/>
    </row>
    <row r="2630">
      <c r="C2630" s="703"/>
      <c r="E2630" s="221"/>
      <c r="F2630" s="222"/>
      <c r="G2630" s="702"/>
      <c r="H2630" s="222"/>
    </row>
    <row r="2631">
      <c r="C2631" s="703"/>
      <c r="E2631" s="221"/>
      <c r="F2631" s="222"/>
      <c r="G2631" s="702"/>
      <c r="H2631" s="222"/>
    </row>
    <row r="2632">
      <c r="C2632" s="703"/>
      <c r="E2632" s="221"/>
      <c r="F2632" s="222"/>
      <c r="G2632" s="702"/>
      <c r="H2632" s="222"/>
    </row>
    <row r="2633">
      <c r="C2633" s="703"/>
      <c r="E2633" s="221"/>
      <c r="F2633" s="222"/>
      <c r="G2633" s="702"/>
      <c r="H2633" s="222"/>
    </row>
    <row r="2634">
      <c r="C2634" s="703"/>
      <c r="E2634" s="221"/>
      <c r="F2634" s="222"/>
      <c r="G2634" s="702"/>
      <c r="H2634" s="222"/>
    </row>
    <row r="2635">
      <c r="C2635" s="703"/>
      <c r="E2635" s="221"/>
      <c r="F2635" s="222"/>
      <c r="G2635" s="702"/>
      <c r="H2635" s="222"/>
    </row>
    <row r="2636">
      <c r="C2636" s="703"/>
      <c r="E2636" s="221"/>
      <c r="F2636" s="222"/>
      <c r="G2636" s="702"/>
      <c r="H2636" s="222"/>
    </row>
    <row r="2637">
      <c r="C2637" s="703"/>
      <c r="E2637" s="221"/>
      <c r="F2637" s="222"/>
      <c r="G2637" s="702"/>
      <c r="H2637" s="222"/>
    </row>
    <row r="2638">
      <c r="C2638" s="703"/>
      <c r="E2638" s="221"/>
      <c r="F2638" s="222"/>
      <c r="G2638" s="702"/>
      <c r="H2638" s="222"/>
    </row>
    <row r="2639">
      <c r="C2639" s="703"/>
      <c r="E2639" s="221"/>
      <c r="F2639" s="222"/>
      <c r="G2639" s="702"/>
      <c r="H2639" s="222"/>
    </row>
    <row r="2640">
      <c r="C2640" s="703"/>
      <c r="E2640" s="221"/>
      <c r="F2640" s="222"/>
      <c r="G2640" s="702"/>
      <c r="H2640" s="222"/>
    </row>
    <row r="2641">
      <c r="C2641" s="703"/>
      <c r="E2641" s="221"/>
      <c r="F2641" s="222"/>
      <c r="G2641" s="702"/>
      <c r="H2641" s="222"/>
    </row>
    <row r="2642">
      <c r="C2642" s="703"/>
      <c r="E2642" s="221"/>
      <c r="F2642" s="222"/>
      <c r="G2642" s="702"/>
      <c r="H2642" s="222"/>
    </row>
    <row r="2643">
      <c r="C2643" s="703"/>
      <c r="E2643" s="221"/>
      <c r="F2643" s="222"/>
      <c r="G2643" s="702"/>
      <c r="H2643" s="222"/>
    </row>
    <row r="2644">
      <c r="C2644" s="703"/>
      <c r="E2644" s="221"/>
      <c r="F2644" s="222"/>
      <c r="G2644" s="702"/>
      <c r="H2644" s="222"/>
    </row>
    <row r="2645">
      <c r="C2645" s="703"/>
      <c r="E2645" s="221"/>
      <c r="F2645" s="222"/>
      <c r="G2645" s="702"/>
      <c r="H2645" s="222"/>
    </row>
    <row r="2646">
      <c r="C2646" s="703"/>
      <c r="E2646" s="221"/>
      <c r="F2646" s="222"/>
      <c r="G2646" s="702"/>
      <c r="H2646" s="222"/>
    </row>
    <row r="2647">
      <c r="C2647" s="703"/>
      <c r="E2647" s="221"/>
      <c r="F2647" s="222"/>
      <c r="G2647" s="702"/>
      <c r="H2647" s="222"/>
    </row>
    <row r="2648">
      <c r="C2648" s="703"/>
      <c r="E2648" s="221"/>
      <c r="F2648" s="222"/>
      <c r="G2648" s="702"/>
      <c r="H2648" s="222"/>
    </row>
    <row r="2649">
      <c r="C2649" s="703"/>
      <c r="E2649" s="221"/>
      <c r="F2649" s="222"/>
      <c r="G2649" s="702"/>
      <c r="H2649" s="222"/>
    </row>
    <row r="2650">
      <c r="C2650" s="703"/>
      <c r="E2650" s="221"/>
      <c r="F2650" s="222"/>
      <c r="G2650" s="702"/>
      <c r="H2650" s="222"/>
    </row>
    <row r="2651">
      <c r="C2651" s="703"/>
      <c r="E2651" s="221"/>
      <c r="F2651" s="222"/>
      <c r="G2651" s="702"/>
      <c r="H2651" s="222"/>
    </row>
    <row r="2652">
      <c r="C2652" s="703"/>
      <c r="E2652" s="221"/>
      <c r="F2652" s="222"/>
      <c r="G2652" s="702"/>
      <c r="H2652" s="222"/>
    </row>
    <row r="2653">
      <c r="C2653" s="703"/>
      <c r="E2653" s="221"/>
      <c r="F2653" s="222"/>
      <c r="G2653" s="702"/>
      <c r="H2653" s="222"/>
    </row>
    <row r="2654">
      <c r="C2654" s="703"/>
      <c r="E2654" s="221"/>
      <c r="F2654" s="222"/>
      <c r="G2654" s="702"/>
      <c r="H2654" s="222"/>
    </row>
    <row r="2655">
      <c r="C2655" s="703"/>
      <c r="E2655" s="221"/>
      <c r="F2655" s="222"/>
      <c r="G2655" s="702"/>
      <c r="H2655" s="222"/>
    </row>
    <row r="2656">
      <c r="C2656" s="703"/>
      <c r="E2656" s="221"/>
      <c r="F2656" s="222"/>
      <c r="G2656" s="702"/>
      <c r="H2656" s="222"/>
    </row>
    <row r="2657">
      <c r="C2657" s="703"/>
      <c r="E2657" s="221"/>
      <c r="F2657" s="222"/>
      <c r="G2657" s="702"/>
      <c r="H2657" s="222"/>
    </row>
    <row r="2658">
      <c r="C2658" s="703"/>
      <c r="E2658" s="221"/>
      <c r="F2658" s="222"/>
      <c r="G2658" s="702"/>
      <c r="H2658" s="222"/>
    </row>
    <row r="2659">
      <c r="C2659" s="703"/>
      <c r="E2659" s="221"/>
      <c r="F2659" s="222"/>
      <c r="G2659" s="702"/>
      <c r="H2659" s="222"/>
    </row>
    <row r="2660">
      <c r="C2660" s="703"/>
      <c r="E2660" s="221"/>
      <c r="F2660" s="222"/>
      <c r="G2660" s="702"/>
      <c r="H2660" s="222"/>
    </row>
    <row r="2661">
      <c r="C2661" s="703"/>
      <c r="E2661" s="221"/>
      <c r="F2661" s="222"/>
      <c r="G2661" s="702"/>
      <c r="H2661" s="222"/>
    </row>
    <row r="2662">
      <c r="C2662" s="703"/>
      <c r="E2662" s="221"/>
      <c r="F2662" s="222"/>
      <c r="G2662" s="702"/>
      <c r="H2662" s="222"/>
    </row>
    <row r="2663">
      <c r="C2663" s="703"/>
      <c r="E2663" s="221"/>
      <c r="F2663" s="222"/>
      <c r="G2663" s="702"/>
      <c r="H2663" s="222"/>
    </row>
    <row r="2664">
      <c r="C2664" s="703"/>
      <c r="E2664" s="221"/>
      <c r="F2664" s="222"/>
      <c r="G2664" s="702"/>
      <c r="H2664" s="222"/>
    </row>
    <row r="2665">
      <c r="C2665" s="703"/>
      <c r="E2665" s="221"/>
      <c r="F2665" s="222"/>
      <c r="G2665" s="702"/>
      <c r="H2665" s="222"/>
    </row>
    <row r="2666">
      <c r="C2666" s="703"/>
      <c r="E2666" s="221"/>
      <c r="F2666" s="222"/>
      <c r="G2666" s="702"/>
      <c r="H2666" s="222"/>
    </row>
    <row r="2667">
      <c r="C2667" s="703"/>
      <c r="E2667" s="221"/>
      <c r="F2667" s="222"/>
      <c r="G2667" s="702"/>
      <c r="H2667" s="222"/>
    </row>
    <row r="2668">
      <c r="C2668" s="703"/>
      <c r="E2668" s="221"/>
      <c r="F2668" s="222"/>
      <c r="G2668" s="702"/>
      <c r="H2668" s="222"/>
    </row>
    <row r="2669">
      <c r="C2669" s="703"/>
      <c r="E2669" s="221"/>
      <c r="F2669" s="222"/>
      <c r="G2669" s="702"/>
      <c r="H2669" s="222"/>
    </row>
    <row r="2670">
      <c r="C2670" s="703"/>
      <c r="E2670" s="221"/>
      <c r="F2670" s="222"/>
      <c r="G2670" s="702"/>
      <c r="H2670" s="222"/>
    </row>
    <row r="2671">
      <c r="C2671" s="703"/>
      <c r="E2671" s="221"/>
      <c r="F2671" s="222"/>
      <c r="G2671" s="702"/>
      <c r="H2671" s="222"/>
    </row>
    <row r="2672">
      <c r="C2672" s="703"/>
      <c r="E2672" s="221"/>
      <c r="F2672" s="222"/>
      <c r="G2672" s="702"/>
      <c r="H2672" s="222"/>
    </row>
    <row r="2673">
      <c r="C2673" s="703"/>
      <c r="E2673" s="221"/>
      <c r="F2673" s="222"/>
      <c r="G2673" s="702"/>
      <c r="H2673" s="222"/>
    </row>
    <row r="2674">
      <c r="C2674" s="703"/>
      <c r="E2674" s="221"/>
      <c r="F2674" s="222"/>
      <c r="G2674" s="702"/>
      <c r="H2674" s="222"/>
    </row>
    <row r="2675">
      <c r="C2675" s="703"/>
      <c r="E2675" s="221"/>
      <c r="F2675" s="222"/>
      <c r="G2675" s="702"/>
      <c r="H2675" s="222"/>
    </row>
    <row r="2676">
      <c r="C2676" s="703"/>
      <c r="E2676" s="221"/>
      <c r="F2676" s="222"/>
      <c r="G2676" s="702"/>
      <c r="H2676" s="222"/>
    </row>
    <row r="2677">
      <c r="C2677" s="703"/>
      <c r="E2677" s="221"/>
      <c r="F2677" s="222"/>
      <c r="G2677" s="702"/>
      <c r="H2677" s="222"/>
    </row>
    <row r="2678">
      <c r="C2678" s="703"/>
      <c r="E2678" s="221"/>
      <c r="F2678" s="222"/>
      <c r="G2678" s="702"/>
      <c r="H2678" s="222"/>
    </row>
    <row r="2679">
      <c r="C2679" s="703"/>
      <c r="E2679" s="221"/>
      <c r="F2679" s="222"/>
      <c r="G2679" s="702"/>
      <c r="H2679" s="222"/>
    </row>
    <row r="2680">
      <c r="C2680" s="703"/>
      <c r="E2680" s="221"/>
      <c r="F2680" s="222"/>
      <c r="G2680" s="702"/>
      <c r="H2680" s="222"/>
    </row>
    <row r="2681">
      <c r="C2681" s="703"/>
      <c r="E2681" s="221"/>
      <c r="F2681" s="222"/>
      <c r="G2681" s="702"/>
      <c r="H2681" s="222"/>
    </row>
    <row r="2682">
      <c r="C2682" s="703"/>
      <c r="E2682" s="221"/>
      <c r="F2682" s="222"/>
      <c r="G2682" s="702"/>
      <c r="H2682" s="222"/>
    </row>
    <row r="2683">
      <c r="C2683" s="703"/>
      <c r="E2683" s="221"/>
      <c r="F2683" s="222"/>
      <c r="G2683" s="702"/>
      <c r="H2683" s="222"/>
    </row>
    <row r="2684">
      <c r="C2684" s="703"/>
      <c r="E2684" s="221"/>
      <c r="F2684" s="222"/>
      <c r="G2684" s="702"/>
      <c r="H2684" s="222"/>
    </row>
    <row r="2685">
      <c r="C2685" s="703"/>
      <c r="E2685" s="221"/>
      <c r="F2685" s="222"/>
      <c r="G2685" s="702"/>
      <c r="H2685" s="222"/>
    </row>
    <row r="2686">
      <c r="C2686" s="703"/>
      <c r="E2686" s="221"/>
      <c r="F2686" s="222"/>
      <c r="G2686" s="702"/>
      <c r="H2686" s="222"/>
    </row>
    <row r="2687">
      <c r="C2687" s="703"/>
      <c r="E2687" s="221"/>
      <c r="F2687" s="222"/>
      <c r="G2687" s="702"/>
      <c r="H2687" s="222"/>
    </row>
    <row r="2688">
      <c r="C2688" s="703"/>
      <c r="E2688" s="221"/>
      <c r="F2688" s="222"/>
      <c r="G2688" s="702"/>
      <c r="H2688" s="222"/>
    </row>
    <row r="2689">
      <c r="C2689" s="703"/>
      <c r="E2689" s="221"/>
      <c r="F2689" s="222"/>
      <c r="G2689" s="702"/>
      <c r="H2689" s="222"/>
    </row>
    <row r="2690">
      <c r="C2690" s="703"/>
      <c r="E2690" s="221"/>
      <c r="F2690" s="222"/>
      <c r="G2690" s="702"/>
      <c r="H2690" s="222"/>
    </row>
    <row r="2691">
      <c r="C2691" s="703"/>
      <c r="E2691" s="221"/>
      <c r="F2691" s="222"/>
      <c r="G2691" s="702"/>
      <c r="H2691" s="222"/>
    </row>
    <row r="2692">
      <c r="C2692" s="703"/>
      <c r="E2692" s="221"/>
      <c r="F2692" s="222"/>
      <c r="G2692" s="702"/>
      <c r="H2692" s="222"/>
    </row>
    <row r="2693">
      <c r="C2693" s="703"/>
      <c r="E2693" s="221"/>
      <c r="F2693" s="222"/>
      <c r="G2693" s="702"/>
      <c r="H2693" s="222"/>
    </row>
    <row r="2694">
      <c r="C2694" s="703"/>
      <c r="E2694" s="221"/>
      <c r="F2694" s="222"/>
      <c r="G2694" s="702"/>
      <c r="H2694" s="222"/>
    </row>
    <row r="2695">
      <c r="C2695" s="703"/>
      <c r="E2695" s="221"/>
      <c r="F2695" s="222"/>
      <c r="G2695" s="702"/>
      <c r="H2695" s="222"/>
    </row>
    <row r="2696">
      <c r="C2696" s="703"/>
      <c r="E2696" s="221"/>
      <c r="F2696" s="222"/>
      <c r="G2696" s="702"/>
      <c r="H2696" s="222"/>
    </row>
    <row r="2697">
      <c r="C2697" s="703"/>
      <c r="E2697" s="221"/>
      <c r="F2697" s="222"/>
      <c r="G2697" s="702"/>
      <c r="H2697" s="222"/>
    </row>
    <row r="2698">
      <c r="C2698" s="703"/>
      <c r="E2698" s="221"/>
      <c r="F2698" s="222"/>
      <c r="G2698" s="702"/>
      <c r="H2698" s="222"/>
    </row>
    <row r="2699">
      <c r="C2699" s="703"/>
      <c r="E2699" s="221"/>
      <c r="F2699" s="222"/>
      <c r="G2699" s="702"/>
      <c r="H2699" s="222"/>
    </row>
    <row r="2700">
      <c r="C2700" s="703"/>
      <c r="E2700" s="221"/>
      <c r="F2700" s="222"/>
      <c r="G2700" s="702"/>
      <c r="H2700" s="222"/>
    </row>
    <row r="2701">
      <c r="C2701" s="703"/>
      <c r="E2701" s="221"/>
      <c r="F2701" s="222"/>
      <c r="G2701" s="702"/>
      <c r="H2701" s="222"/>
    </row>
    <row r="2702">
      <c r="C2702" s="703"/>
      <c r="E2702" s="221"/>
      <c r="F2702" s="222"/>
      <c r="G2702" s="702"/>
      <c r="H2702" s="222"/>
    </row>
    <row r="2703">
      <c r="C2703" s="703"/>
      <c r="E2703" s="221"/>
      <c r="F2703" s="222"/>
      <c r="G2703" s="702"/>
      <c r="H2703" s="222"/>
    </row>
    <row r="2704">
      <c r="C2704" s="703"/>
      <c r="E2704" s="221"/>
      <c r="F2704" s="222"/>
      <c r="G2704" s="702"/>
      <c r="H2704" s="222"/>
    </row>
    <row r="2705">
      <c r="C2705" s="703"/>
      <c r="E2705" s="221"/>
      <c r="F2705" s="222"/>
      <c r="G2705" s="702"/>
      <c r="H2705" s="222"/>
    </row>
    <row r="2706">
      <c r="C2706" s="703"/>
      <c r="E2706" s="221"/>
      <c r="F2706" s="222"/>
      <c r="G2706" s="702"/>
      <c r="H2706" s="222"/>
    </row>
    <row r="2707">
      <c r="C2707" s="703"/>
      <c r="E2707" s="221"/>
      <c r="F2707" s="222"/>
      <c r="G2707" s="702"/>
      <c r="H2707" s="222"/>
    </row>
    <row r="2708">
      <c r="C2708" s="703"/>
      <c r="E2708" s="221"/>
      <c r="F2708" s="222"/>
      <c r="G2708" s="702"/>
      <c r="H2708" s="222"/>
    </row>
    <row r="2709">
      <c r="C2709" s="703"/>
      <c r="E2709" s="221"/>
      <c r="F2709" s="222"/>
      <c r="G2709" s="702"/>
      <c r="H2709" s="222"/>
    </row>
    <row r="2710">
      <c r="C2710" s="703"/>
      <c r="E2710" s="221"/>
      <c r="F2710" s="222"/>
      <c r="G2710" s="702"/>
      <c r="H2710" s="222"/>
    </row>
    <row r="2711">
      <c r="C2711" s="703"/>
      <c r="E2711" s="221"/>
      <c r="F2711" s="222"/>
      <c r="G2711" s="702"/>
      <c r="H2711" s="222"/>
    </row>
    <row r="2712">
      <c r="C2712" s="703"/>
      <c r="E2712" s="221"/>
      <c r="F2712" s="222"/>
      <c r="G2712" s="702"/>
      <c r="H2712" s="222"/>
    </row>
    <row r="2713">
      <c r="C2713" s="703"/>
      <c r="E2713" s="221"/>
      <c r="F2713" s="222"/>
      <c r="G2713" s="702"/>
      <c r="H2713" s="222"/>
    </row>
    <row r="2714">
      <c r="C2714" s="703"/>
      <c r="E2714" s="221"/>
      <c r="F2714" s="222"/>
      <c r="G2714" s="702"/>
      <c r="H2714" s="222"/>
    </row>
    <row r="2715">
      <c r="C2715" s="703"/>
      <c r="E2715" s="221"/>
      <c r="F2715" s="222"/>
      <c r="G2715" s="702"/>
      <c r="H2715" s="222"/>
    </row>
    <row r="2716">
      <c r="C2716" s="703"/>
      <c r="E2716" s="221"/>
      <c r="F2716" s="222"/>
      <c r="G2716" s="702"/>
      <c r="H2716" s="222"/>
    </row>
    <row r="2717">
      <c r="C2717" s="703"/>
      <c r="E2717" s="221"/>
      <c r="F2717" s="222"/>
      <c r="G2717" s="702"/>
      <c r="H2717" s="222"/>
    </row>
    <row r="2718">
      <c r="C2718" s="703"/>
      <c r="E2718" s="221"/>
      <c r="F2718" s="222"/>
      <c r="G2718" s="702"/>
      <c r="H2718" s="222"/>
    </row>
    <row r="2719">
      <c r="C2719" s="703"/>
      <c r="E2719" s="221"/>
      <c r="F2719" s="222"/>
      <c r="G2719" s="702"/>
      <c r="H2719" s="222"/>
    </row>
    <row r="2720">
      <c r="C2720" s="703"/>
      <c r="E2720" s="221"/>
      <c r="F2720" s="222"/>
      <c r="G2720" s="702"/>
      <c r="H2720" s="222"/>
    </row>
    <row r="2721">
      <c r="C2721" s="703"/>
      <c r="E2721" s="221"/>
      <c r="F2721" s="222"/>
      <c r="G2721" s="702"/>
      <c r="H2721" s="222"/>
    </row>
    <row r="2722">
      <c r="C2722" s="703"/>
      <c r="E2722" s="221"/>
      <c r="F2722" s="222"/>
      <c r="G2722" s="702"/>
      <c r="H2722" s="222"/>
    </row>
    <row r="2723">
      <c r="C2723" s="703"/>
      <c r="E2723" s="221"/>
      <c r="F2723" s="222"/>
      <c r="G2723" s="702"/>
      <c r="H2723" s="222"/>
    </row>
    <row r="2724">
      <c r="C2724" s="703"/>
      <c r="E2724" s="221"/>
      <c r="F2724" s="222"/>
      <c r="G2724" s="702"/>
      <c r="H2724" s="222"/>
    </row>
    <row r="2725">
      <c r="C2725" s="703"/>
      <c r="E2725" s="221"/>
      <c r="F2725" s="222"/>
      <c r="G2725" s="702"/>
      <c r="H2725" s="222"/>
    </row>
    <row r="2726">
      <c r="C2726" s="703"/>
      <c r="E2726" s="221"/>
      <c r="F2726" s="222"/>
      <c r="G2726" s="702"/>
      <c r="H2726" s="222"/>
    </row>
    <row r="2727">
      <c r="C2727" s="703"/>
      <c r="E2727" s="221"/>
      <c r="F2727" s="222"/>
      <c r="G2727" s="702"/>
      <c r="H2727" s="222"/>
    </row>
    <row r="2728">
      <c r="C2728" s="703"/>
      <c r="E2728" s="221"/>
      <c r="F2728" s="222"/>
      <c r="G2728" s="702"/>
      <c r="H2728" s="222"/>
    </row>
    <row r="2729">
      <c r="C2729" s="703"/>
      <c r="E2729" s="221"/>
      <c r="F2729" s="222"/>
      <c r="G2729" s="702"/>
      <c r="H2729" s="222"/>
    </row>
    <row r="2730">
      <c r="C2730" s="703"/>
      <c r="E2730" s="221"/>
      <c r="F2730" s="222"/>
      <c r="G2730" s="702"/>
      <c r="H2730" s="222"/>
    </row>
    <row r="2731">
      <c r="C2731" s="703"/>
      <c r="E2731" s="221"/>
      <c r="F2731" s="222"/>
      <c r="G2731" s="702"/>
      <c r="H2731" s="222"/>
    </row>
    <row r="2732">
      <c r="C2732" s="703"/>
      <c r="E2732" s="221"/>
      <c r="F2732" s="222"/>
      <c r="G2732" s="702"/>
      <c r="H2732" s="222"/>
    </row>
    <row r="2733">
      <c r="C2733" s="703"/>
      <c r="E2733" s="221"/>
      <c r="F2733" s="222"/>
      <c r="G2733" s="702"/>
      <c r="H2733" s="222"/>
    </row>
    <row r="2734">
      <c r="C2734" s="703"/>
      <c r="E2734" s="221"/>
      <c r="F2734" s="222"/>
      <c r="G2734" s="702"/>
      <c r="H2734" s="222"/>
    </row>
    <row r="2735">
      <c r="C2735" s="703"/>
      <c r="E2735" s="221"/>
      <c r="F2735" s="222"/>
      <c r="G2735" s="702"/>
      <c r="H2735" s="222"/>
    </row>
    <row r="2736">
      <c r="C2736" s="703"/>
      <c r="E2736" s="221"/>
      <c r="F2736" s="222"/>
      <c r="G2736" s="702"/>
      <c r="H2736" s="222"/>
    </row>
    <row r="2737">
      <c r="C2737" s="703"/>
      <c r="E2737" s="221"/>
      <c r="F2737" s="222"/>
      <c r="G2737" s="702"/>
      <c r="H2737" s="222"/>
    </row>
    <row r="2738">
      <c r="C2738" s="703"/>
      <c r="E2738" s="221"/>
      <c r="F2738" s="222"/>
      <c r="G2738" s="702"/>
      <c r="H2738" s="222"/>
    </row>
    <row r="2739">
      <c r="C2739" s="703"/>
      <c r="E2739" s="221"/>
      <c r="F2739" s="222"/>
      <c r="G2739" s="702"/>
      <c r="H2739" s="222"/>
    </row>
    <row r="2740">
      <c r="C2740" s="703"/>
      <c r="E2740" s="221"/>
      <c r="F2740" s="222"/>
      <c r="G2740" s="702"/>
      <c r="H2740" s="222"/>
    </row>
    <row r="2741">
      <c r="C2741" s="703"/>
      <c r="E2741" s="221"/>
      <c r="F2741" s="222"/>
      <c r="G2741" s="702"/>
      <c r="H2741" s="222"/>
    </row>
    <row r="2742">
      <c r="C2742" s="703"/>
      <c r="E2742" s="221"/>
      <c r="F2742" s="222"/>
      <c r="G2742" s="702"/>
      <c r="H2742" s="222"/>
    </row>
    <row r="2743">
      <c r="C2743" s="703"/>
      <c r="E2743" s="221"/>
      <c r="F2743" s="222"/>
      <c r="G2743" s="702"/>
      <c r="H2743" s="222"/>
    </row>
    <row r="2744">
      <c r="C2744" s="703"/>
      <c r="E2744" s="221"/>
      <c r="F2744" s="222"/>
      <c r="G2744" s="702"/>
      <c r="H2744" s="222"/>
    </row>
    <row r="2745">
      <c r="C2745" s="703"/>
      <c r="E2745" s="221"/>
      <c r="F2745" s="222"/>
      <c r="G2745" s="702"/>
      <c r="H2745" s="222"/>
    </row>
    <row r="2746">
      <c r="C2746" s="703"/>
      <c r="E2746" s="221"/>
      <c r="F2746" s="222"/>
      <c r="G2746" s="702"/>
      <c r="H2746" s="222"/>
    </row>
    <row r="2747">
      <c r="C2747" s="703"/>
      <c r="E2747" s="221"/>
      <c r="F2747" s="222"/>
      <c r="G2747" s="702"/>
      <c r="H2747" s="222"/>
    </row>
    <row r="2748">
      <c r="C2748" s="703"/>
      <c r="E2748" s="221"/>
      <c r="F2748" s="222"/>
      <c r="G2748" s="702"/>
      <c r="H2748" s="222"/>
    </row>
    <row r="2749">
      <c r="C2749" s="703"/>
      <c r="E2749" s="221"/>
      <c r="F2749" s="222"/>
      <c r="G2749" s="702"/>
      <c r="H2749" s="222"/>
    </row>
    <row r="2750">
      <c r="C2750" s="703"/>
      <c r="E2750" s="221"/>
      <c r="F2750" s="222"/>
      <c r="G2750" s="702"/>
      <c r="H2750" s="222"/>
    </row>
    <row r="2751">
      <c r="C2751" s="703"/>
      <c r="E2751" s="221"/>
      <c r="F2751" s="222"/>
      <c r="G2751" s="702"/>
      <c r="H2751" s="222"/>
    </row>
    <row r="2752">
      <c r="C2752" s="703"/>
      <c r="E2752" s="221"/>
      <c r="F2752" s="222"/>
      <c r="G2752" s="702"/>
      <c r="H2752" s="222"/>
    </row>
    <row r="2753">
      <c r="C2753" s="703"/>
      <c r="E2753" s="221"/>
      <c r="F2753" s="222"/>
      <c r="G2753" s="702"/>
      <c r="H2753" s="222"/>
    </row>
    <row r="2754">
      <c r="C2754" s="703"/>
      <c r="E2754" s="221"/>
      <c r="F2754" s="222"/>
      <c r="G2754" s="702"/>
      <c r="H2754" s="222"/>
    </row>
    <row r="2755">
      <c r="C2755" s="703"/>
      <c r="E2755" s="221"/>
      <c r="F2755" s="222"/>
      <c r="G2755" s="702"/>
      <c r="H2755" s="222"/>
    </row>
    <row r="2756">
      <c r="C2756" s="703"/>
      <c r="E2756" s="221"/>
      <c r="F2756" s="222"/>
      <c r="G2756" s="702"/>
      <c r="H2756" s="222"/>
    </row>
    <row r="2757">
      <c r="C2757" s="703"/>
      <c r="E2757" s="221"/>
      <c r="F2757" s="222"/>
      <c r="G2757" s="702"/>
      <c r="H2757" s="222"/>
    </row>
    <row r="2758">
      <c r="C2758" s="703"/>
      <c r="E2758" s="221"/>
      <c r="F2758" s="222"/>
      <c r="G2758" s="702"/>
      <c r="H2758" s="222"/>
    </row>
    <row r="2759">
      <c r="C2759" s="703"/>
      <c r="E2759" s="221"/>
      <c r="F2759" s="222"/>
      <c r="G2759" s="702"/>
      <c r="H2759" s="222"/>
    </row>
    <row r="2760">
      <c r="C2760" s="703"/>
      <c r="E2760" s="221"/>
      <c r="F2760" s="222"/>
      <c r="G2760" s="702"/>
      <c r="H2760" s="222"/>
    </row>
    <row r="2761">
      <c r="C2761" s="703"/>
      <c r="E2761" s="221"/>
      <c r="F2761" s="222"/>
      <c r="G2761" s="702"/>
      <c r="H2761" s="222"/>
    </row>
    <row r="2762">
      <c r="C2762" s="703"/>
      <c r="E2762" s="221"/>
      <c r="F2762" s="222"/>
      <c r="G2762" s="702"/>
      <c r="H2762" s="222"/>
    </row>
    <row r="2763">
      <c r="C2763" s="703"/>
      <c r="E2763" s="221"/>
      <c r="F2763" s="222"/>
      <c r="G2763" s="702"/>
      <c r="H2763" s="222"/>
    </row>
    <row r="2764">
      <c r="C2764" s="703"/>
      <c r="E2764" s="221"/>
      <c r="F2764" s="222"/>
      <c r="G2764" s="702"/>
      <c r="H2764" s="222"/>
    </row>
    <row r="2765">
      <c r="C2765" s="703"/>
      <c r="E2765" s="221"/>
      <c r="F2765" s="222"/>
      <c r="G2765" s="702"/>
      <c r="H2765" s="222"/>
    </row>
    <row r="2766">
      <c r="C2766" s="703"/>
      <c r="E2766" s="221"/>
      <c r="F2766" s="222"/>
      <c r="G2766" s="702"/>
      <c r="H2766" s="222"/>
    </row>
    <row r="2767">
      <c r="C2767" s="703"/>
      <c r="E2767" s="221"/>
      <c r="F2767" s="222"/>
      <c r="G2767" s="702"/>
      <c r="H2767" s="222"/>
    </row>
    <row r="2768">
      <c r="C2768" s="703"/>
      <c r="E2768" s="221"/>
      <c r="F2768" s="222"/>
      <c r="G2768" s="702"/>
      <c r="H2768" s="222"/>
    </row>
    <row r="2769">
      <c r="C2769" s="703"/>
      <c r="E2769" s="221"/>
      <c r="F2769" s="222"/>
      <c r="G2769" s="702"/>
      <c r="H2769" s="222"/>
    </row>
    <row r="2770">
      <c r="C2770" s="703"/>
      <c r="E2770" s="221"/>
      <c r="F2770" s="222"/>
      <c r="G2770" s="702"/>
      <c r="H2770" s="222"/>
    </row>
    <row r="2771">
      <c r="C2771" s="703"/>
      <c r="E2771" s="221"/>
      <c r="F2771" s="222"/>
      <c r="G2771" s="702"/>
      <c r="H2771" s="222"/>
    </row>
    <row r="2772">
      <c r="C2772" s="703"/>
      <c r="E2772" s="221"/>
      <c r="F2772" s="222"/>
      <c r="G2772" s="702"/>
      <c r="H2772" s="222"/>
    </row>
    <row r="2773">
      <c r="C2773" s="703"/>
      <c r="E2773" s="221"/>
      <c r="F2773" s="222"/>
      <c r="G2773" s="702"/>
      <c r="H2773" s="222"/>
    </row>
    <row r="2774">
      <c r="C2774" s="703"/>
      <c r="E2774" s="221"/>
      <c r="F2774" s="222"/>
      <c r="G2774" s="702"/>
      <c r="H2774" s="222"/>
    </row>
    <row r="2775">
      <c r="C2775" s="703"/>
      <c r="E2775" s="221"/>
      <c r="F2775" s="222"/>
      <c r="G2775" s="702"/>
      <c r="H2775" s="222"/>
    </row>
    <row r="2776">
      <c r="C2776" s="703"/>
      <c r="E2776" s="221"/>
      <c r="F2776" s="222"/>
      <c r="G2776" s="702"/>
      <c r="H2776" s="222"/>
    </row>
    <row r="2777">
      <c r="C2777" s="703"/>
      <c r="E2777" s="221"/>
      <c r="F2777" s="222"/>
      <c r="G2777" s="702"/>
      <c r="H2777" s="222"/>
    </row>
    <row r="2778">
      <c r="C2778" s="703"/>
      <c r="E2778" s="221"/>
      <c r="F2778" s="222"/>
      <c r="G2778" s="702"/>
      <c r="H2778" s="222"/>
    </row>
    <row r="2779">
      <c r="C2779" s="703"/>
      <c r="E2779" s="221"/>
      <c r="F2779" s="222"/>
      <c r="G2779" s="702"/>
      <c r="H2779" s="222"/>
    </row>
    <row r="2780">
      <c r="C2780" s="703"/>
      <c r="E2780" s="221"/>
      <c r="F2780" s="222"/>
      <c r="G2780" s="702"/>
      <c r="H2780" s="222"/>
    </row>
    <row r="2781">
      <c r="C2781" s="703"/>
      <c r="E2781" s="221"/>
      <c r="F2781" s="222"/>
      <c r="G2781" s="702"/>
      <c r="H2781" s="222"/>
    </row>
    <row r="2782">
      <c r="C2782" s="703"/>
      <c r="E2782" s="221"/>
      <c r="F2782" s="222"/>
      <c r="G2782" s="702"/>
      <c r="H2782" s="222"/>
    </row>
    <row r="2783">
      <c r="C2783" s="703"/>
      <c r="E2783" s="221"/>
      <c r="F2783" s="222"/>
      <c r="G2783" s="702"/>
      <c r="H2783" s="222"/>
    </row>
    <row r="2784">
      <c r="C2784" s="703"/>
      <c r="E2784" s="221"/>
      <c r="F2784" s="222"/>
      <c r="G2784" s="702"/>
      <c r="H2784" s="222"/>
    </row>
    <row r="2785">
      <c r="C2785" s="703"/>
      <c r="E2785" s="221"/>
      <c r="F2785" s="222"/>
      <c r="G2785" s="702"/>
      <c r="H2785" s="222"/>
    </row>
    <row r="2786">
      <c r="C2786" s="703"/>
      <c r="E2786" s="221"/>
      <c r="F2786" s="222"/>
      <c r="G2786" s="702"/>
      <c r="H2786" s="222"/>
    </row>
    <row r="2787">
      <c r="C2787" s="703"/>
      <c r="E2787" s="221"/>
      <c r="F2787" s="222"/>
      <c r="G2787" s="702"/>
      <c r="H2787" s="222"/>
    </row>
    <row r="2788">
      <c r="C2788" s="703"/>
      <c r="E2788" s="221"/>
      <c r="F2788" s="222"/>
      <c r="G2788" s="702"/>
      <c r="H2788" s="222"/>
    </row>
    <row r="2789">
      <c r="C2789" s="703"/>
      <c r="E2789" s="221"/>
      <c r="F2789" s="222"/>
      <c r="G2789" s="702"/>
      <c r="H2789" s="222"/>
    </row>
    <row r="2790">
      <c r="C2790" s="703"/>
      <c r="E2790" s="221"/>
      <c r="F2790" s="222"/>
      <c r="G2790" s="702"/>
      <c r="H2790" s="222"/>
    </row>
    <row r="2791">
      <c r="C2791" s="703"/>
      <c r="E2791" s="221"/>
      <c r="F2791" s="222"/>
      <c r="G2791" s="702"/>
      <c r="H2791" s="222"/>
    </row>
    <row r="2792">
      <c r="C2792" s="703"/>
      <c r="E2792" s="221"/>
      <c r="F2792" s="222"/>
      <c r="G2792" s="702"/>
      <c r="H2792" s="222"/>
    </row>
    <row r="2793">
      <c r="C2793" s="703"/>
      <c r="E2793" s="221"/>
      <c r="F2793" s="222"/>
      <c r="G2793" s="702"/>
      <c r="H2793" s="222"/>
    </row>
    <row r="2794">
      <c r="C2794" s="703"/>
      <c r="E2794" s="221"/>
      <c r="F2794" s="222"/>
      <c r="G2794" s="702"/>
      <c r="H2794" s="222"/>
    </row>
    <row r="2795">
      <c r="C2795" s="703"/>
      <c r="E2795" s="221"/>
      <c r="F2795" s="222"/>
      <c r="G2795" s="702"/>
      <c r="H2795" s="222"/>
    </row>
    <row r="2796">
      <c r="C2796" s="703"/>
      <c r="E2796" s="221"/>
      <c r="F2796" s="222"/>
      <c r="G2796" s="702"/>
      <c r="H2796" s="222"/>
    </row>
    <row r="2797">
      <c r="C2797" s="703"/>
      <c r="E2797" s="221"/>
      <c r="F2797" s="222"/>
      <c r="G2797" s="702"/>
      <c r="H2797" s="222"/>
    </row>
    <row r="2798">
      <c r="C2798" s="703"/>
      <c r="E2798" s="221"/>
      <c r="F2798" s="222"/>
      <c r="G2798" s="702"/>
      <c r="H2798" s="222"/>
    </row>
    <row r="2799">
      <c r="C2799" s="703"/>
      <c r="E2799" s="221"/>
      <c r="F2799" s="222"/>
      <c r="G2799" s="702"/>
      <c r="H2799" s="222"/>
    </row>
    <row r="2800">
      <c r="C2800" s="703"/>
      <c r="E2800" s="221"/>
      <c r="F2800" s="222"/>
      <c r="G2800" s="702"/>
      <c r="H2800" s="222"/>
    </row>
    <row r="2801">
      <c r="C2801" s="703"/>
      <c r="E2801" s="221"/>
      <c r="F2801" s="222"/>
      <c r="G2801" s="702"/>
      <c r="H2801" s="222"/>
    </row>
    <row r="2802">
      <c r="C2802" s="703"/>
      <c r="E2802" s="221"/>
      <c r="F2802" s="222"/>
      <c r="G2802" s="702"/>
      <c r="H2802" s="222"/>
    </row>
    <row r="2803">
      <c r="C2803" s="703"/>
      <c r="E2803" s="221"/>
      <c r="F2803" s="222"/>
      <c r="G2803" s="702"/>
      <c r="H2803" s="222"/>
    </row>
    <row r="2804">
      <c r="C2804" s="703"/>
      <c r="E2804" s="221"/>
      <c r="F2804" s="222"/>
      <c r="G2804" s="702"/>
      <c r="H2804" s="222"/>
    </row>
    <row r="2805">
      <c r="C2805" s="703"/>
      <c r="E2805" s="221"/>
      <c r="F2805" s="222"/>
      <c r="G2805" s="702"/>
      <c r="H2805" s="222"/>
    </row>
    <row r="2806">
      <c r="C2806" s="703"/>
      <c r="E2806" s="221"/>
      <c r="F2806" s="222"/>
      <c r="G2806" s="702"/>
      <c r="H2806" s="222"/>
    </row>
    <row r="2807">
      <c r="C2807" s="703"/>
      <c r="E2807" s="221"/>
      <c r="F2807" s="222"/>
      <c r="G2807" s="702"/>
      <c r="H2807" s="222"/>
    </row>
    <row r="2808">
      <c r="C2808" s="703"/>
      <c r="E2808" s="221"/>
      <c r="F2808" s="222"/>
      <c r="G2808" s="702"/>
      <c r="H2808" s="222"/>
    </row>
    <row r="2809">
      <c r="C2809" s="703"/>
      <c r="E2809" s="221"/>
      <c r="F2809" s="222"/>
      <c r="G2809" s="702"/>
      <c r="H2809" s="222"/>
    </row>
    <row r="2810">
      <c r="C2810" s="703"/>
      <c r="E2810" s="221"/>
      <c r="F2810" s="222"/>
      <c r="G2810" s="702"/>
      <c r="H2810" s="222"/>
    </row>
    <row r="2811">
      <c r="C2811" s="703"/>
      <c r="E2811" s="221"/>
      <c r="F2811" s="222"/>
      <c r="G2811" s="702"/>
      <c r="H2811" s="222"/>
    </row>
    <row r="2812">
      <c r="C2812" s="703"/>
      <c r="E2812" s="221"/>
      <c r="F2812" s="222"/>
      <c r="G2812" s="702"/>
      <c r="H2812" s="222"/>
    </row>
    <row r="2813">
      <c r="C2813" s="703"/>
      <c r="E2813" s="221"/>
      <c r="F2813" s="222"/>
      <c r="G2813" s="702"/>
      <c r="H2813" s="222"/>
    </row>
    <row r="2814">
      <c r="C2814" s="703"/>
      <c r="E2814" s="221"/>
      <c r="F2814" s="222"/>
      <c r="G2814" s="702"/>
      <c r="H2814" s="222"/>
    </row>
    <row r="2815">
      <c r="C2815" s="703"/>
      <c r="E2815" s="221"/>
      <c r="F2815" s="222"/>
      <c r="G2815" s="702"/>
      <c r="H2815" s="222"/>
    </row>
    <row r="2816">
      <c r="C2816" s="703"/>
      <c r="E2816" s="221"/>
      <c r="F2816" s="222"/>
      <c r="G2816" s="702"/>
      <c r="H2816" s="222"/>
    </row>
    <row r="2817">
      <c r="C2817" s="703"/>
      <c r="E2817" s="221"/>
      <c r="F2817" s="222"/>
      <c r="G2817" s="702"/>
      <c r="H2817" s="222"/>
    </row>
    <row r="2818">
      <c r="C2818" s="703"/>
      <c r="E2818" s="221"/>
      <c r="F2818" s="222"/>
      <c r="G2818" s="702"/>
      <c r="H2818" s="222"/>
    </row>
    <row r="2819">
      <c r="C2819" s="703"/>
      <c r="E2819" s="221"/>
      <c r="F2819" s="222"/>
      <c r="G2819" s="702"/>
      <c r="H2819" s="222"/>
    </row>
    <row r="2820">
      <c r="C2820" s="703"/>
      <c r="E2820" s="221"/>
      <c r="F2820" s="222"/>
      <c r="G2820" s="702"/>
      <c r="H2820" s="222"/>
    </row>
    <row r="2821">
      <c r="C2821" s="703"/>
      <c r="E2821" s="221"/>
      <c r="F2821" s="222"/>
      <c r="G2821" s="702"/>
      <c r="H2821" s="222"/>
    </row>
    <row r="2822">
      <c r="C2822" s="703"/>
      <c r="E2822" s="221"/>
      <c r="F2822" s="222"/>
      <c r="G2822" s="702"/>
      <c r="H2822" s="222"/>
    </row>
    <row r="2823">
      <c r="C2823" s="703"/>
      <c r="E2823" s="221"/>
      <c r="F2823" s="222"/>
      <c r="G2823" s="702"/>
      <c r="H2823" s="222"/>
    </row>
    <row r="2824">
      <c r="C2824" s="703"/>
      <c r="E2824" s="221"/>
      <c r="F2824" s="222"/>
      <c r="G2824" s="702"/>
      <c r="H2824" s="222"/>
    </row>
    <row r="2825">
      <c r="C2825" s="703"/>
      <c r="E2825" s="221"/>
      <c r="F2825" s="222"/>
      <c r="G2825" s="702"/>
      <c r="H2825" s="222"/>
    </row>
    <row r="2826">
      <c r="C2826" s="703"/>
      <c r="E2826" s="221"/>
      <c r="F2826" s="222"/>
      <c r="G2826" s="702"/>
      <c r="H2826" s="222"/>
    </row>
    <row r="2827">
      <c r="C2827" s="703"/>
      <c r="E2827" s="221"/>
      <c r="F2827" s="222"/>
      <c r="G2827" s="702"/>
      <c r="H2827" s="222"/>
    </row>
    <row r="2828">
      <c r="C2828" s="703"/>
      <c r="E2828" s="221"/>
      <c r="F2828" s="222"/>
      <c r="G2828" s="702"/>
      <c r="H2828" s="222"/>
    </row>
    <row r="2829">
      <c r="C2829" s="703"/>
      <c r="E2829" s="221"/>
      <c r="F2829" s="222"/>
      <c r="G2829" s="702"/>
      <c r="H2829" s="222"/>
    </row>
    <row r="2830">
      <c r="C2830" s="703"/>
      <c r="E2830" s="221"/>
      <c r="F2830" s="222"/>
      <c r="G2830" s="702"/>
      <c r="H2830" s="222"/>
    </row>
    <row r="2831">
      <c r="C2831" s="703"/>
      <c r="E2831" s="221"/>
      <c r="F2831" s="222"/>
      <c r="G2831" s="702"/>
      <c r="H2831" s="222"/>
    </row>
    <row r="2832">
      <c r="C2832" s="703"/>
      <c r="E2832" s="221"/>
      <c r="F2832" s="222"/>
      <c r="G2832" s="702"/>
      <c r="H2832" s="222"/>
    </row>
    <row r="2833">
      <c r="C2833" s="703"/>
      <c r="E2833" s="221"/>
      <c r="F2833" s="222"/>
      <c r="G2833" s="702"/>
      <c r="H2833" s="222"/>
    </row>
    <row r="2834">
      <c r="C2834" s="703"/>
      <c r="E2834" s="221"/>
      <c r="F2834" s="222"/>
      <c r="G2834" s="702"/>
      <c r="H2834" s="222"/>
    </row>
    <row r="2835">
      <c r="C2835" s="703"/>
      <c r="E2835" s="221"/>
      <c r="F2835" s="222"/>
      <c r="G2835" s="702"/>
      <c r="H2835" s="222"/>
    </row>
    <row r="2836">
      <c r="C2836" s="703"/>
      <c r="E2836" s="221"/>
      <c r="F2836" s="222"/>
      <c r="G2836" s="702"/>
      <c r="H2836" s="222"/>
    </row>
    <row r="2837">
      <c r="C2837" s="703"/>
      <c r="E2837" s="221"/>
      <c r="F2837" s="222"/>
      <c r="G2837" s="702"/>
      <c r="H2837" s="222"/>
    </row>
    <row r="2838">
      <c r="C2838" s="703"/>
      <c r="E2838" s="221"/>
      <c r="F2838" s="222"/>
      <c r="G2838" s="702"/>
      <c r="H2838" s="222"/>
    </row>
    <row r="2839">
      <c r="C2839" s="703"/>
      <c r="E2839" s="221"/>
      <c r="F2839" s="222"/>
      <c r="G2839" s="702"/>
      <c r="H2839" s="222"/>
    </row>
    <row r="2840">
      <c r="C2840" s="703"/>
      <c r="E2840" s="221"/>
      <c r="F2840" s="222"/>
      <c r="G2840" s="702"/>
      <c r="H2840" s="222"/>
    </row>
    <row r="2841">
      <c r="C2841" s="703"/>
      <c r="E2841" s="221"/>
      <c r="F2841" s="222"/>
      <c r="G2841" s="702"/>
      <c r="H2841" s="222"/>
    </row>
    <row r="2842">
      <c r="C2842" s="703"/>
      <c r="E2842" s="221"/>
      <c r="F2842" s="222"/>
      <c r="G2842" s="702"/>
      <c r="H2842" s="222"/>
    </row>
    <row r="2843">
      <c r="C2843" s="703"/>
      <c r="E2843" s="221"/>
      <c r="F2843" s="222"/>
      <c r="G2843" s="702"/>
      <c r="H2843" s="222"/>
    </row>
    <row r="2844">
      <c r="C2844" s="703"/>
      <c r="E2844" s="221"/>
      <c r="F2844" s="222"/>
      <c r="G2844" s="702"/>
      <c r="H2844" s="222"/>
    </row>
    <row r="2845">
      <c r="C2845" s="703"/>
      <c r="E2845" s="221"/>
      <c r="F2845" s="222"/>
      <c r="G2845" s="702"/>
      <c r="H2845" s="222"/>
    </row>
    <row r="2846">
      <c r="C2846" s="703"/>
      <c r="E2846" s="221"/>
      <c r="F2846" s="222"/>
      <c r="G2846" s="702"/>
      <c r="H2846" s="222"/>
    </row>
    <row r="2847">
      <c r="C2847" s="703"/>
      <c r="E2847" s="221"/>
      <c r="F2847" s="222"/>
      <c r="G2847" s="702"/>
      <c r="H2847" s="222"/>
    </row>
    <row r="2848">
      <c r="C2848" s="703"/>
      <c r="E2848" s="221"/>
      <c r="F2848" s="222"/>
      <c r="G2848" s="702"/>
      <c r="H2848" s="222"/>
    </row>
    <row r="2849">
      <c r="C2849" s="703"/>
      <c r="E2849" s="221"/>
      <c r="F2849" s="222"/>
      <c r="G2849" s="702"/>
      <c r="H2849" s="222"/>
    </row>
    <row r="2850">
      <c r="C2850" s="703"/>
      <c r="E2850" s="221"/>
      <c r="F2850" s="222"/>
      <c r="G2850" s="702"/>
      <c r="H2850" s="222"/>
    </row>
    <row r="2851">
      <c r="C2851" s="703"/>
      <c r="E2851" s="221"/>
      <c r="F2851" s="222"/>
      <c r="G2851" s="702"/>
      <c r="H2851" s="222"/>
    </row>
    <row r="2852">
      <c r="C2852" s="703"/>
      <c r="E2852" s="221"/>
      <c r="F2852" s="222"/>
      <c r="G2852" s="702"/>
      <c r="H2852" s="222"/>
    </row>
    <row r="2853">
      <c r="C2853" s="703"/>
      <c r="E2853" s="221"/>
      <c r="F2853" s="222"/>
      <c r="G2853" s="702"/>
      <c r="H2853" s="222"/>
    </row>
    <row r="2854">
      <c r="C2854" s="703"/>
      <c r="E2854" s="221"/>
      <c r="F2854" s="222"/>
      <c r="G2854" s="702"/>
      <c r="H2854" s="222"/>
    </row>
    <row r="2855">
      <c r="C2855" s="703"/>
      <c r="E2855" s="221"/>
      <c r="F2855" s="222"/>
      <c r="G2855" s="702"/>
      <c r="H2855" s="222"/>
    </row>
    <row r="2856">
      <c r="C2856" s="703"/>
      <c r="E2856" s="221"/>
      <c r="F2856" s="222"/>
      <c r="G2856" s="702"/>
      <c r="H2856" s="222"/>
    </row>
    <row r="2857">
      <c r="C2857" s="703"/>
      <c r="E2857" s="221"/>
      <c r="F2857" s="222"/>
      <c r="G2857" s="702"/>
      <c r="H2857" s="222"/>
    </row>
    <row r="2858">
      <c r="C2858" s="703"/>
      <c r="E2858" s="221"/>
      <c r="F2858" s="222"/>
      <c r="G2858" s="702"/>
      <c r="H2858" s="222"/>
    </row>
    <row r="2859">
      <c r="C2859" s="703"/>
      <c r="E2859" s="221"/>
      <c r="F2859" s="222"/>
      <c r="G2859" s="702"/>
      <c r="H2859" s="222"/>
    </row>
    <row r="2860">
      <c r="C2860" s="703"/>
      <c r="E2860" s="221"/>
      <c r="F2860" s="222"/>
      <c r="G2860" s="702"/>
      <c r="H2860" s="222"/>
    </row>
    <row r="2861">
      <c r="C2861" s="703"/>
      <c r="E2861" s="221"/>
      <c r="F2861" s="222"/>
      <c r="G2861" s="702"/>
      <c r="H2861" s="222"/>
    </row>
    <row r="2862">
      <c r="C2862" s="703"/>
      <c r="E2862" s="221"/>
      <c r="F2862" s="222"/>
      <c r="G2862" s="702"/>
      <c r="H2862" s="222"/>
    </row>
    <row r="2863">
      <c r="C2863" s="703"/>
      <c r="E2863" s="221"/>
      <c r="F2863" s="222"/>
      <c r="G2863" s="702"/>
      <c r="H2863" s="222"/>
    </row>
    <row r="2864">
      <c r="C2864" s="703"/>
      <c r="E2864" s="221"/>
      <c r="F2864" s="222"/>
      <c r="G2864" s="702"/>
      <c r="H2864" s="222"/>
    </row>
    <row r="2865">
      <c r="C2865" s="703"/>
      <c r="E2865" s="221"/>
      <c r="F2865" s="222"/>
      <c r="G2865" s="702"/>
      <c r="H2865" s="222"/>
    </row>
    <row r="2866">
      <c r="C2866" s="703"/>
      <c r="E2866" s="221"/>
      <c r="F2866" s="222"/>
      <c r="G2866" s="702"/>
      <c r="H2866" s="222"/>
    </row>
    <row r="2867">
      <c r="C2867" s="703"/>
      <c r="E2867" s="221"/>
      <c r="F2867" s="222"/>
      <c r="G2867" s="702"/>
      <c r="H2867" s="222"/>
    </row>
    <row r="2868">
      <c r="C2868" s="703"/>
      <c r="E2868" s="221"/>
      <c r="F2868" s="222"/>
      <c r="G2868" s="702"/>
      <c r="H2868" s="222"/>
    </row>
    <row r="2869">
      <c r="C2869" s="703"/>
      <c r="E2869" s="221"/>
      <c r="F2869" s="222"/>
      <c r="G2869" s="702"/>
      <c r="H2869" s="222"/>
    </row>
    <row r="2870">
      <c r="C2870" s="703"/>
      <c r="E2870" s="221"/>
      <c r="F2870" s="222"/>
      <c r="G2870" s="702"/>
      <c r="H2870" s="222"/>
    </row>
    <row r="2871">
      <c r="C2871" s="703"/>
      <c r="E2871" s="221"/>
      <c r="F2871" s="222"/>
      <c r="G2871" s="702"/>
      <c r="H2871" s="222"/>
    </row>
    <row r="2872">
      <c r="C2872" s="703"/>
      <c r="E2872" s="221"/>
      <c r="F2872" s="222"/>
      <c r="G2872" s="702"/>
      <c r="H2872" s="222"/>
    </row>
    <row r="2873">
      <c r="C2873" s="703"/>
      <c r="E2873" s="221"/>
      <c r="F2873" s="222"/>
      <c r="G2873" s="702"/>
      <c r="H2873" s="222"/>
    </row>
    <row r="2874">
      <c r="C2874" s="703"/>
      <c r="E2874" s="221"/>
      <c r="F2874" s="222"/>
      <c r="G2874" s="702"/>
      <c r="H2874" s="222"/>
    </row>
    <row r="2875">
      <c r="C2875" s="703"/>
      <c r="E2875" s="221"/>
      <c r="F2875" s="222"/>
      <c r="G2875" s="702"/>
      <c r="H2875" s="222"/>
    </row>
    <row r="2876">
      <c r="C2876" s="703"/>
      <c r="E2876" s="221"/>
      <c r="F2876" s="222"/>
      <c r="G2876" s="702"/>
      <c r="H2876" s="222"/>
    </row>
    <row r="2877">
      <c r="C2877" s="703"/>
      <c r="E2877" s="221"/>
      <c r="F2877" s="222"/>
      <c r="G2877" s="702"/>
      <c r="H2877" s="222"/>
    </row>
    <row r="2878">
      <c r="C2878" s="703"/>
      <c r="E2878" s="221"/>
      <c r="F2878" s="222"/>
      <c r="G2878" s="702"/>
      <c r="H2878" s="222"/>
    </row>
    <row r="2879">
      <c r="C2879" s="703"/>
      <c r="E2879" s="221"/>
      <c r="F2879" s="222"/>
      <c r="G2879" s="702"/>
      <c r="H2879" s="222"/>
    </row>
    <row r="2880">
      <c r="C2880" s="703"/>
      <c r="E2880" s="221"/>
      <c r="F2880" s="222"/>
      <c r="G2880" s="702"/>
      <c r="H2880" s="222"/>
    </row>
    <row r="2881">
      <c r="C2881" s="703"/>
      <c r="E2881" s="221"/>
      <c r="F2881" s="222"/>
      <c r="G2881" s="702"/>
      <c r="H2881" s="222"/>
    </row>
    <row r="2882">
      <c r="C2882" s="703"/>
      <c r="E2882" s="221"/>
      <c r="F2882" s="222"/>
      <c r="G2882" s="702"/>
      <c r="H2882" s="222"/>
    </row>
    <row r="2883">
      <c r="C2883" s="703"/>
      <c r="E2883" s="221"/>
      <c r="F2883" s="222"/>
      <c r="G2883" s="702"/>
      <c r="H2883" s="222"/>
    </row>
    <row r="2884">
      <c r="C2884" s="703"/>
      <c r="E2884" s="221"/>
      <c r="F2884" s="222"/>
      <c r="G2884" s="702"/>
      <c r="H2884" s="222"/>
    </row>
    <row r="2885">
      <c r="C2885" s="703"/>
      <c r="E2885" s="221"/>
      <c r="F2885" s="222"/>
      <c r="G2885" s="702"/>
      <c r="H2885" s="222"/>
    </row>
    <row r="2886">
      <c r="C2886" s="703"/>
      <c r="E2886" s="221"/>
      <c r="F2886" s="222"/>
      <c r="G2886" s="702"/>
      <c r="H2886" s="222"/>
    </row>
    <row r="2887">
      <c r="C2887" s="703"/>
      <c r="E2887" s="221"/>
      <c r="F2887" s="222"/>
      <c r="G2887" s="702"/>
      <c r="H2887" s="222"/>
    </row>
    <row r="2888">
      <c r="C2888" s="703"/>
      <c r="E2888" s="221"/>
      <c r="F2888" s="222"/>
      <c r="G2888" s="702"/>
      <c r="H2888" s="222"/>
    </row>
    <row r="2889">
      <c r="C2889" s="703"/>
      <c r="E2889" s="221"/>
      <c r="F2889" s="222"/>
      <c r="G2889" s="702"/>
      <c r="H2889" s="222"/>
    </row>
    <row r="2890">
      <c r="C2890" s="703"/>
      <c r="E2890" s="221"/>
      <c r="F2890" s="222"/>
      <c r="G2890" s="702"/>
      <c r="H2890" s="222"/>
    </row>
    <row r="2891">
      <c r="C2891" s="703"/>
      <c r="E2891" s="221"/>
      <c r="F2891" s="222"/>
      <c r="G2891" s="702"/>
      <c r="H2891" s="222"/>
    </row>
    <row r="2892">
      <c r="C2892" s="703"/>
      <c r="E2892" s="221"/>
      <c r="F2892" s="222"/>
      <c r="G2892" s="702"/>
      <c r="H2892" s="222"/>
    </row>
    <row r="2893">
      <c r="C2893" s="703"/>
      <c r="E2893" s="221"/>
      <c r="F2893" s="222"/>
      <c r="G2893" s="702"/>
      <c r="H2893" s="222"/>
    </row>
    <row r="2894">
      <c r="C2894" s="703"/>
      <c r="E2894" s="221"/>
      <c r="F2894" s="222"/>
      <c r="G2894" s="702"/>
      <c r="H2894" s="222"/>
    </row>
    <row r="2895">
      <c r="C2895" s="703"/>
      <c r="E2895" s="221"/>
      <c r="F2895" s="222"/>
      <c r="G2895" s="702"/>
      <c r="H2895" s="222"/>
    </row>
    <row r="2896">
      <c r="C2896" s="703"/>
      <c r="E2896" s="221"/>
      <c r="F2896" s="222"/>
      <c r="G2896" s="702"/>
      <c r="H2896" s="222"/>
    </row>
    <row r="2897">
      <c r="C2897" s="703"/>
      <c r="E2897" s="221"/>
      <c r="F2897" s="222"/>
      <c r="G2897" s="702"/>
      <c r="H2897" s="222"/>
    </row>
    <row r="2898">
      <c r="C2898" s="703"/>
      <c r="E2898" s="221"/>
      <c r="F2898" s="222"/>
      <c r="G2898" s="702"/>
      <c r="H2898" s="222"/>
    </row>
    <row r="2899">
      <c r="C2899" s="703"/>
      <c r="E2899" s="221"/>
      <c r="F2899" s="222"/>
      <c r="G2899" s="702"/>
      <c r="H2899" s="222"/>
    </row>
    <row r="2900">
      <c r="C2900" s="703"/>
      <c r="E2900" s="221"/>
      <c r="F2900" s="222"/>
      <c r="G2900" s="702"/>
      <c r="H2900" s="222"/>
    </row>
    <row r="2901">
      <c r="C2901" s="703"/>
      <c r="E2901" s="221"/>
      <c r="F2901" s="222"/>
      <c r="G2901" s="702"/>
      <c r="H2901" s="222"/>
    </row>
    <row r="2902">
      <c r="C2902" s="703"/>
      <c r="E2902" s="221"/>
      <c r="F2902" s="222"/>
      <c r="G2902" s="702"/>
      <c r="H2902" s="222"/>
    </row>
    <row r="2903">
      <c r="C2903" s="703"/>
      <c r="E2903" s="221"/>
      <c r="F2903" s="222"/>
      <c r="G2903" s="702"/>
      <c r="H2903" s="222"/>
    </row>
    <row r="2904">
      <c r="C2904" s="703"/>
      <c r="E2904" s="221"/>
      <c r="F2904" s="222"/>
      <c r="G2904" s="702"/>
      <c r="H2904" s="222"/>
    </row>
    <row r="2905">
      <c r="C2905" s="703"/>
      <c r="E2905" s="221"/>
      <c r="F2905" s="222"/>
      <c r="G2905" s="702"/>
      <c r="H2905" s="222"/>
    </row>
    <row r="2906">
      <c r="C2906" s="703"/>
      <c r="E2906" s="221"/>
      <c r="F2906" s="222"/>
      <c r="G2906" s="702"/>
      <c r="H2906" s="222"/>
    </row>
    <row r="2907">
      <c r="C2907" s="703"/>
      <c r="E2907" s="221"/>
      <c r="F2907" s="222"/>
      <c r="G2907" s="702"/>
      <c r="H2907" s="222"/>
    </row>
    <row r="2908">
      <c r="C2908" s="703"/>
      <c r="E2908" s="221"/>
      <c r="F2908" s="222"/>
      <c r="G2908" s="702"/>
      <c r="H2908" s="222"/>
    </row>
    <row r="2909">
      <c r="C2909" s="703"/>
      <c r="E2909" s="221"/>
      <c r="F2909" s="222"/>
      <c r="G2909" s="702"/>
      <c r="H2909" s="222"/>
    </row>
    <row r="2910">
      <c r="C2910" s="703"/>
      <c r="E2910" s="221"/>
      <c r="F2910" s="222"/>
      <c r="G2910" s="702"/>
      <c r="H2910" s="222"/>
    </row>
    <row r="2911">
      <c r="C2911" s="703"/>
      <c r="E2911" s="221"/>
      <c r="F2911" s="222"/>
      <c r="G2911" s="702"/>
      <c r="H2911" s="222"/>
    </row>
    <row r="2912">
      <c r="C2912" s="703"/>
      <c r="E2912" s="221"/>
      <c r="F2912" s="222"/>
      <c r="G2912" s="702"/>
      <c r="H2912" s="222"/>
    </row>
    <row r="2913">
      <c r="C2913" s="703"/>
      <c r="E2913" s="221"/>
      <c r="F2913" s="222"/>
      <c r="G2913" s="702"/>
      <c r="H2913" s="222"/>
    </row>
    <row r="2914">
      <c r="C2914" s="703"/>
      <c r="E2914" s="221"/>
      <c r="F2914" s="222"/>
      <c r="G2914" s="702"/>
      <c r="H2914" s="222"/>
    </row>
    <row r="2915">
      <c r="C2915" s="703"/>
      <c r="E2915" s="221"/>
      <c r="F2915" s="222"/>
      <c r="G2915" s="702"/>
      <c r="H2915" s="222"/>
    </row>
    <row r="2916">
      <c r="C2916" s="703"/>
      <c r="E2916" s="221"/>
      <c r="F2916" s="222"/>
      <c r="G2916" s="702"/>
      <c r="H2916" s="222"/>
    </row>
    <row r="2917">
      <c r="C2917" s="703"/>
      <c r="E2917" s="221"/>
      <c r="F2917" s="222"/>
      <c r="G2917" s="702"/>
      <c r="H2917" s="222"/>
    </row>
    <row r="2918">
      <c r="C2918" s="703"/>
      <c r="E2918" s="221"/>
      <c r="F2918" s="222"/>
      <c r="G2918" s="702"/>
      <c r="H2918" s="222"/>
    </row>
    <row r="2919">
      <c r="C2919" s="703"/>
      <c r="E2919" s="221"/>
      <c r="F2919" s="222"/>
      <c r="G2919" s="702"/>
      <c r="H2919" s="222"/>
    </row>
    <row r="2920">
      <c r="C2920" s="703"/>
      <c r="E2920" s="221"/>
      <c r="F2920" s="222"/>
      <c r="G2920" s="702"/>
      <c r="H2920" s="222"/>
    </row>
    <row r="2921">
      <c r="C2921" s="703"/>
      <c r="E2921" s="221"/>
      <c r="F2921" s="222"/>
      <c r="G2921" s="702"/>
      <c r="H2921" s="222"/>
    </row>
    <row r="2922">
      <c r="C2922" s="703"/>
      <c r="E2922" s="221"/>
      <c r="F2922" s="222"/>
      <c r="G2922" s="702"/>
      <c r="H2922" s="222"/>
    </row>
    <row r="2923">
      <c r="C2923" s="703"/>
      <c r="E2923" s="221"/>
      <c r="F2923" s="222"/>
      <c r="G2923" s="702"/>
      <c r="H2923" s="222"/>
    </row>
    <row r="2924">
      <c r="C2924" s="703"/>
      <c r="E2924" s="221"/>
      <c r="F2924" s="222"/>
      <c r="G2924" s="702"/>
      <c r="H2924" s="222"/>
    </row>
    <row r="2925">
      <c r="C2925" s="703"/>
      <c r="E2925" s="221"/>
      <c r="F2925" s="222"/>
      <c r="G2925" s="702"/>
      <c r="H2925" s="222"/>
    </row>
    <row r="2926">
      <c r="C2926" s="703"/>
      <c r="E2926" s="221"/>
      <c r="F2926" s="222"/>
      <c r="G2926" s="702"/>
      <c r="H2926" s="222"/>
    </row>
    <row r="2927">
      <c r="C2927" s="703"/>
      <c r="E2927" s="221"/>
      <c r="F2927" s="222"/>
      <c r="G2927" s="702"/>
      <c r="H2927" s="222"/>
    </row>
    <row r="2928">
      <c r="C2928" s="703"/>
      <c r="E2928" s="221"/>
      <c r="F2928" s="222"/>
      <c r="G2928" s="702"/>
      <c r="H2928" s="222"/>
    </row>
    <row r="2929">
      <c r="C2929" s="703"/>
      <c r="E2929" s="221"/>
      <c r="F2929" s="222"/>
      <c r="G2929" s="702"/>
      <c r="H2929" s="222"/>
    </row>
    <row r="2930">
      <c r="C2930" s="703"/>
      <c r="E2930" s="221"/>
      <c r="F2930" s="222"/>
      <c r="G2930" s="702"/>
      <c r="H2930" s="222"/>
    </row>
    <row r="2931">
      <c r="C2931" s="703"/>
      <c r="E2931" s="221"/>
      <c r="F2931" s="222"/>
      <c r="G2931" s="702"/>
      <c r="H2931" s="222"/>
    </row>
    <row r="2932">
      <c r="C2932" s="703"/>
      <c r="E2932" s="221"/>
      <c r="F2932" s="222"/>
      <c r="G2932" s="702"/>
      <c r="H2932" s="222"/>
    </row>
    <row r="2933">
      <c r="C2933" s="703"/>
      <c r="E2933" s="221"/>
      <c r="F2933" s="222"/>
      <c r="G2933" s="702"/>
      <c r="H2933" s="222"/>
    </row>
    <row r="2934">
      <c r="C2934" s="703"/>
      <c r="E2934" s="221"/>
      <c r="F2934" s="222"/>
      <c r="G2934" s="702"/>
      <c r="H2934" s="222"/>
    </row>
    <row r="2935">
      <c r="C2935" s="703"/>
      <c r="E2935" s="221"/>
      <c r="F2935" s="222"/>
      <c r="G2935" s="702"/>
      <c r="H2935" s="222"/>
    </row>
    <row r="2936">
      <c r="C2936" s="703"/>
      <c r="E2936" s="221"/>
      <c r="F2936" s="222"/>
      <c r="G2936" s="702"/>
      <c r="H2936" s="222"/>
    </row>
    <row r="2937">
      <c r="C2937" s="703"/>
      <c r="E2937" s="221"/>
      <c r="F2937" s="222"/>
      <c r="G2937" s="702"/>
      <c r="H2937" s="222"/>
    </row>
    <row r="2938">
      <c r="C2938" s="703"/>
      <c r="E2938" s="221"/>
      <c r="F2938" s="222"/>
      <c r="G2938" s="702"/>
      <c r="H2938" s="222"/>
    </row>
    <row r="2939">
      <c r="C2939" s="703"/>
      <c r="E2939" s="221"/>
      <c r="F2939" s="222"/>
      <c r="G2939" s="702"/>
      <c r="H2939" s="222"/>
    </row>
    <row r="2940">
      <c r="C2940" s="703"/>
      <c r="E2940" s="221"/>
      <c r="F2940" s="222"/>
      <c r="G2940" s="702"/>
      <c r="H2940" s="222"/>
    </row>
    <row r="2941">
      <c r="C2941" s="703"/>
      <c r="E2941" s="221"/>
      <c r="F2941" s="222"/>
      <c r="G2941" s="702"/>
      <c r="H2941" s="222"/>
    </row>
    <row r="2942">
      <c r="C2942" s="703"/>
      <c r="E2942" s="221"/>
      <c r="F2942" s="222"/>
      <c r="G2942" s="702"/>
      <c r="H2942" s="222"/>
    </row>
    <row r="2943">
      <c r="C2943" s="703"/>
      <c r="E2943" s="221"/>
      <c r="F2943" s="222"/>
      <c r="G2943" s="702"/>
      <c r="H2943" s="222"/>
    </row>
    <row r="2944">
      <c r="C2944" s="703"/>
      <c r="E2944" s="221"/>
      <c r="F2944" s="222"/>
      <c r="G2944" s="702"/>
      <c r="H2944" s="222"/>
    </row>
    <row r="2945">
      <c r="C2945" s="703"/>
      <c r="E2945" s="221"/>
      <c r="F2945" s="222"/>
      <c r="G2945" s="702"/>
      <c r="H2945" s="222"/>
    </row>
    <row r="2946">
      <c r="C2946" s="703"/>
      <c r="E2946" s="221"/>
      <c r="F2946" s="222"/>
      <c r="G2946" s="702"/>
      <c r="H2946" s="222"/>
    </row>
    <row r="2947">
      <c r="C2947" s="703"/>
      <c r="E2947" s="221"/>
      <c r="F2947" s="222"/>
      <c r="G2947" s="702"/>
      <c r="H2947" s="222"/>
    </row>
    <row r="2948">
      <c r="C2948" s="703"/>
      <c r="E2948" s="221"/>
      <c r="F2948" s="222"/>
      <c r="G2948" s="702"/>
      <c r="H2948" s="222"/>
    </row>
    <row r="2949">
      <c r="C2949" s="703"/>
      <c r="E2949" s="221"/>
      <c r="F2949" s="222"/>
      <c r="G2949" s="702"/>
      <c r="H2949" s="222"/>
    </row>
    <row r="2950">
      <c r="C2950" s="703"/>
      <c r="E2950" s="221"/>
      <c r="F2950" s="222"/>
      <c r="G2950" s="702"/>
      <c r="H2950" s="222"/>
    </row>
    <row r="2951">
      <c r="C2951" s="703"/>
      <c r="E2951" s="221"/>
      <c r="F2951" s="222"/>
      <c r="G2951" s="702"/>
      <c r="H2951" s="222"/>
    </row>
    <row r="2952">
      <c r="C2952" s="703"/>
      <c r="E2952" s="221"/>
      <c r="F2952" s="222"/>
      <c r="G2952" s="702"/>
      <c r="H2952" s="222"/>
    </row>
    <row r="2953">
      <c r="C2953" s="703"/>
      <c r="E2953" s="221"/>
      <c r="F2953" s="222"/>
      <c r="G2953" s="702"/>
      <c r="H2953" s="222"/>
    </row>
    <row r="2954">
      <c r="C2954" s="703"/>
      <c r="E2954" s="221"/>
      <c r="F2954" s="222"/>
      <c r="G2954" s="702"/>
      <c r="H2954" s="222"/>
    </row>
    <row r="2955">
      <c r="C2955" s="703"/>
      <c r="E2955" s="221"/>
      <c r="F2955" s="222"/>
      <c r="G2955" s="702"/>
      <c r="H2955" s="222"/>
    </row>
    <row r="2956">
      <c r="C2956" s="703"/>
      <c r="E2956" s="221"/>
      <c r="F2956" s="222"/>
      <c r="G2956" s="702"/>
      <c r="H2956" s="222"/>
    </row>
    <row r="2957">
      <c r="C2957" s="703"/>
      <c r="E2957" s="221"/>
      <c r="F2957" s="222"/>
      <c r="G2957" s="702"/>
      <c r="H2957" s="222"/>
    </row>
    <row r="2958">
      <c r="C2958" s="703"/>
      <c r="E2958" s="221"/>
      <c r="F2958" s="222"/>
      <c r="G2958" s="702"/>
      <c r="H2958" s="222"/>
    </row>
    <row r="2959">
      <c r="C2959" s="703"/>
      <c r="E2959" s="221"/>
      <c r="F2959" s="222"/>
      <c r="G2959" s="702"/>
      <c r="H2959" s="222"/>
    </row>
    <row r="2960">
      <c r="C2960" s="703"/>
      <c r="E2960" s="221"/>
      <c r="F2960" s="222"/>
      <c r="G2960" s="702"/>
      <c r="H2960" s="222"/>
    </row>
    <row r="2961">
      <c r="C2961" s="703"/>
      <c r="E2961" s="221"/>
      <c r="F2961" s="222"/>
      <c r="G2961" s="702"/>
      <c r="H2961" s="222"/>
    </row>
    <row r="2962">
      <c r="C2962" s="703"/>
      <c r="E2962" s="221"/>
      <c r="F2962" s="222"/>
      <c r="G2962" s="702"/>
      <c r="H2962" s="222"/>
    </row>
    <row r="2963">
      <c r="C2963" s="703"/>
      <c r="E2963" s="221"/>
      <c r="F2963" s="222"/>
      <c r="G2963" s="702"/>
      <c r="H2963" s="222"/>
    </row>
    <row r="2964">
      <c r="C2964" s="703"/>
      <c r="E2964" s="221"/>
      <c r="F2964" s="222"/>
      <c r="G2964" s="702"/>
      <c r="H2964" s="222"/>
    </row>
    <row r="2965">
      <c r="C2965" s="703"/>
      <c r="E2965" s="221"/>
      <c r="F2965" s="222"/>
      <c r="G2965" s="702"/>
      <c r="H2965" s="222"/>
    </row>
    <row r="2966">
      <c r="C2966" s="703"/>
      <c r="E2966" s="221"/>
      <c r="F2966" s="222"/>
      <c r="G2966" s="702"/>
      <c r="H2966" s="222"/>
    </row>
    <row r="2967">
      <c r="C2967" s="703"/>
      <c r="E2967" s="221"/>
      <c r="F2967" s="222"/>
      <c r="G2967" s="702"/>
      <c r="H2967" s="222"/>
    </row>
    <row r="2968">
      <c r="C2968" s="703"/>
      <c r="E2968" s="221"/>
      <c r="F2968" s="222"/>
      <c r="G2968" s="702"/>
      <c r="H2968" s="222"/>
    </row>
    <row r="2969">
      <c r="C2969" s="703"/>
      <c r="E2969" s="221"/>
      <c r="F2969" s="222"/>
      <c r="G2969" s="702"/>
      <c r="H2969" s="222"/>
    </row>
    <row r="2970">
      <c r="C2970" s="703"/>
      <c r="E2970" s="221"/>
      <c r="F2970" s="222"/>
      <c r="G2970" s="702"/>
      <c r="H2970" s="222"/>
    </row>
    <row r="2971">
      <c r="C2971" s="703"/>
      <c r="E2971" s="221"/>
      <c r="F2971" s="222"/>
      <c r="G2971" s="702"/>
      <c r="H2971" s="222"/>
    </row>
    <row r="2972">
      <c r="C2972" s="703"/>
      <c r="E2972" s="221"/>
      <c r="F2972" s="222"/>
      <c r="G2972" s="702"/>
      <c r="H2972" s="222"/>
    </row>
    <row r="2973">
      <c r="C2973" s="703"/>
      <c r="E2973" s="221"/>
      <c r="F2973" s="222"/>
      <c r="G2973" s="702"/>
      <c r="H2973" s="222"/>
    </row>
    <row r="2974">
      <c r="C2974" s="703"/>
      <c r="E2974" s="221"/>
      <c r="F2974" s="222"/>
      <c r="G2974" s="702"/>
      <c r="H2974" s="222"/>
    </row>
    <row r="2975">
      <c r="C2975" s="703"/>
      <c r="E2975" s="221"/>
      <c r="F2975" s="222"/>
      <c r="G2975" s="702"/>
      <c r="H2975" s="222"/>
    </row>
    <row r="2976">
      <c r="C2976" s="703"/>
      <c r="E2976" s="221"/>
      <c r="F2976" s="222"/>
      <c r="G2976" s="702"/>
      <c r="H2976" s="222"/>
    </row>
    <row r="2977">
      <c r="C2977" s="703"/>
      <c r="E2977" s="221"/>
      <c r="F2977" s="222"/>
      <c r="G2977" s="702"/>
      <c r="H2977" s="222"/>
    </row>
    <row r="2978">
      <c r="C2978" s="703"/>
      <c r="E2978" s="221"/>
      <c r="F2978" s="222"/>
      <c r="G2978" s="702"/>
      <c r="H2978" s="222"/>
    </row>
    <row r="2979">
      <c r="C2979" s="703"/>
      <c r="E2979" s="221"/>
      <c r="F2979" s="222"/>
      <c r="G2979" s="702"/>
      <c r="H2979" s="222"/>
    </row>
    <row r="2980">
      <c r="C2980" s="703"/>
      <c r="E2980" s="221"/>
      <c r="F2980" s="222"/>
      <c r="G2980" s="702"/>
      <c r="H2980" s="222"/>
    </row>
    <row r="2981">
      <c r="C2981" s="703"/>
      <c r="E2981" s="221"/>
      <c r="F2981" s="222"/>
      <c r="G2981" s="702"/>
      <c r="H2981" s="222"/>
    </row>
    <row r="2982">
      <c r="C2982" s="703"/>
      <c r="E2982" s="221"/>
      <c r="F2982" s="222"/>
      <c r="G2982" s="702"/>
      <c r="H2982" s="222"/>
    </row>
    <row r="2983">
      <c r="C2983" s="703"/>
      <c r="E2983" s="221"/>
      <c r="F2983" s="222"/>
      <c r="G2983" s="702"/>
      <c r="H2983" s="222"/>
    </row>
    <row r="2984">
      <c r="C2984" s="703"/>
      <c r="E2984" s="221"/>
      <c r="F2984" s="222"/>
      <c r="G2984" s="702"/>
      <c r="H2984" s="222"/>
    </row>
    <row r="2985">
      <c r="C2985" s="703"/>
      <c r="E2985" s="221"/>
      <c r="F2985" s="222"/>
      <c r="G2985" s="702"/>
      <c r="H2985" s="222"/>
    </row>
    <row r="2986">
      <c r="C2986" s="703"/>
      <c r="E2986" s="221"/>
      <c r="F2986" s="222"/>
      <c r="G2986" s="702"/>
      <c r="H2986" s="222"/>
    </row>
    <row r="2987">
      <c r="C2987" s="703"/>
      <c r="E2987" s="221"/>
      <c r="F2987" s="222"/>
      <c r="G2987" s="702"/>
      <c r="H2987" s="222"/>
    </row>
    <row r="2988">
      <c r="C2988" s="703"/>
      <c r="E2988" s="221"/>
      <c r="F2988" s="222"/>
      <c r="G2988" s="702"/>
      <c r="H2988" s="222"/>
    </row>
    <row r="2989">
      <c r="C2989" s="703"/>
      <c r="E2989" s="221"/>
      <c r="F2989" s="222"/>
      <c r="G2989" s="702"/>
      <c r="H2989" s="222"/>
    </row>
  </sheetData>
  <conditionalFormatting sqref="C1:H2989">
    <cfRule type="expression" dxfId="4" priority="1">
      <formula>$C1=TRUE</formula>
    </cfRule>
  </conditionalFormatting>
  <conditionalFormatting sqref="C1:C2989">
    <cfRule type="expression" dxfId="5" priority="2">
      <formula>$H1="Description"</formula>
    </cfRule>
  </conditionalFormatting>
  <conditionalFormatting sqref="C1:H2989">
    <cfRule type="expression" dxfId="6" priority="3">
      <formula>$H1="Description"</formula>
    </cfRule>
  </conditionalFormatting>
  <drawing r:id="rId2"/>
  <legacyDrawing r:id="rId3"/>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8.75"/>
    <col customWidth="1" min="2" max="2" width="16.63"/>
    <col customWidth="1" min="3" max="3" width="5.13"/>
  </cols>
  <sheetData>
    <row r="1">
      <c r="A1" s="204" t="s">
        <v>7608</v>
      </c>
    </row>
    <row r="2">
      <c r="A2" s="708" t="s">
        <v>7609</v>
      </c>
      <c r="B2" s="211" t="s">
        <v>66</v>
      </c>
      <c r="C2" s="211" t="s">
        <v>7610</v>
      </c>
      <c r="D2" s="211" t="s">
        <v>7611</v>
      </c>
      <c r="E2" s="214"/>
      <c r="F2" s="214"/>
      <c r="G2" s="214"/>
      <c r="H2" s="214"/>
      <c r="I2" s="214"/>
      <c r="J2" s="214"/>
      <c r="K2" s="214"/>
      <c r="L2" s="214"/>
      <c r="M2" s="214"/>
      <c r="N2" s="214"/>
      <c r="O2" s="214"/>
      <c r="P2" s="214"/>
      <c r="Q2" s="214"/>
      <c r="R2" s="214"/>
      <c r="S2" s="214"/>
      <c r="T2" s="214"/>
      <c r="U2" s="214"/>
      <c r="V2" s="214"/>
      <c r="W2" s="214"/>
      <c r="X2" s="214"/>
      <c r="Y2" s="214"/>
      <c r="Z2" s="214"/>
      <c r="AA2" s="214"/>
      <c r="AB2" s="214"/>
      <c r="AC2" s="214"/>
      <c r="AD2" s="214"/>
      <c r="AE2" s="214"/>
      <c r="AF2" s="214"/>
      <c r="AG2" s="214"/>
      <c r="AH2" s="214"/>
      <c r="AI2" s="214"/>
      <c r="AJ2" s="214"/>
      <c r="AK2" s="214"/>
      <c r="AL2" s="214"/>
      <c r="AM2" s="214"/>
      <c r="AN2" s="214"/>
      <c r="AO2" s="214"/>
      <c r="AP2" s="214"/>
      <c r="AQ2" s="214"/>
      <c r="AR2" s="214"/>
      <c r="AS2" s="214"/>
      <c r="AT2" s="214"/>
      <c r="AU2" s="214"/>
      <c r="AV2" s="214"/>
      <c r="AW2" s="214"/>
      <c r="AX2" s="214"/>
      <c r="AY2" s="214"/>
      <c r="AZ2" s="214"/>
      <c r="BA2" s="214"/>
      <c r="BB2" s="214"/>
      <c r="BC2" s="214"/>
      <c r="BD2" s="214"/>
      <c r="BE2" s="214"/>
      <c r="BF2" s="214"/>
      <c r="BG2" s="214"/>
      <c r="BH2" s="214"/>
      <c r="BI2" s="214"/>
      <c r="BJ2" s="214"/>
      <c r="BK2" s="214"/>
      <c r="BL2" s="214"/>
      <c r="BM2" s="214"/>
      <c r="BN2" s="214"/>
      <c r="BO2" s="214"/>
      <c r="BP2" s="214"/>
      <c r="BQ2" s="214"/>
      <c r="BR2" s="214"/>
      <c r="BS2" s="214"/>
      <c r="BT2" s="214"/>
      <c r="BU2" s="214"/>
      <c r="BV2" s="214"/>
      <c r="BW2" s="214"/>
      <c r="BX2" s="214"/>
      <c r="BY2" s="214"/>
      <c r="BZ2" s="214"/>
      <c r="CA2" s="214"/>
      <c r="CB2" s="214"/>
      <c r="CC2" s="214"/>
      <c r="CD2" s="214"/>
      <c r="CE2" s="214"/>
      <c r="CF2" s="214"/>
      <c r="CG2" s="214"/>
      <c r="CH2" s="214"/>
    </row>
    <row r="3">
      <c r="A3" s="709" t="b">
        <f t="array" ref="A3">XLOOKUP(B3,Advancements!$I$2:$I175,Advancements!$G$2:$G175)</f>
        <v>0</v>
      </c>
      <c r="B3" s="208" t="s">
        <v>36</v>
      </c>
      <c r="C3" s="239" t="str">
        <f t="array" ref="C3">XLOOKUP(B3,Advancements!$I$2:$I175,Advancements!$L$2:$L175)</f>
        <v/>
      </c>
      <c r="D3" s="51" t="str">
        <f>IFERROR(__xludf.DUMMYFUNCTION("iferror(split(C3,"", ""),"""")"),"")</f>
        <v/>
      </c>
    </row>
    <row r="4">
      <c r="A4" s="709" t="b">
        <f t="array" ref="A4">XLOOKUP(B4,Advancements!$I$2:$I175,Advancements!$G$2:$G175)</f>
        <v>0</v>
      </c>
      <c r="B4" s="208" t="s">
        <v>63</v>
      </c>
      <c r="C4" s="239" t="str">
        <f t="array" ref="C4">XLOOKUP(B4,Advancements!$I$2:$I175,Advancements!$L$2:$L175)</f>
        <v/>
      </c>
      <c r="D4" s="51" t="str">
        <f>IFERROR(__xludf.DUMMYFUNCTION("iferror(split(C4,"", ""),"""")"),"")</f>
        <v/>
      </c>
    </row>
    <row r="5">
      <c r="A5" s="709" t="b">
        <f t="array" ref="A5">XLOOKUP(B5,Advancements!$I$2:$I175,Advancements!$G$2:$G175)</f>
        <v>0</v>
      </c>
      <c r="B5" s="208" t="s">
        <v>59</v>
      </c>
      <c r="C5" s="239" t="str">
        <f t="array" ref="C5">XLOOKUP(B5,Advancements!$I$2:$I175,Advancements!$L$2:$L175)</f>
        <v/>
      </c>
      <c r="D5" s="51" t="str">
        <f>IFERROR(__xludf.DUMMYFUNCTION("iferror(split(C5,"", ""),"""")"),"")</f>
        <v/>
      </c>
    </row>
    <row r="6">
      <c r="A6" s="709" t="b">
        <f t="array" ref="A6">XLOOKUP(B6,Advancements!$I$2:$I175,Advancements!$G$2:$G175)</f>
        <v>0</v>
      </c>
      <c r="B6" s="208" t="s">
        <v>55</v>
      </c>
      <c r="C6" s="239" t="str">
        <f t="array" ref="C6">XLOOKUP(B6,Advancements!$I$2:$I175,Advancements!$L$2:$L175)</f>
        <v/>
      </c>
      <c r="D6" s="51" t="str">
        <f>IFERROR(__xludf.DUMMYFUNCTION("iferror(split(C6,"", ""),"""")"),"")</f>
        <v/>
      </c>
    </row>
    <row r="7">
      <c r="A7" s="709" t="b">
        <f t="array" ref="A7">XLOOKUP(B7,Advancements!$I$2:$I175,Advancements!$G$2:$G175)</f>
        <v>0</v>
      </c>
      <c r="B7" s="208" t="s">
        <v>67</v>
      </c>
      <c r="C7" s="239" t="str">
        <f t="array" ref="C7">XLOOKUP(B7,Advancements!$I$2:$I175,Advancements!$L$2:$L175)</f>
        <v/>
      </c>
      <c r="D7" s="51" t="str">
        <f>IFERROR(__xludf.DUMMYFUNCTION("iferror(split(C7,"", ""),"""")"),"")</f>
        <v/>
      </c>
    </row>
    <row r="8">
      <c r="A8" s="709" t="b">
        <f t="array" ref="A8">XLOOKUP(B8,Advancements!$I$2:$I175,Advancements!$G$2:$G175)</f>
        <v>0</v>
      </c>
      <c r="B8" s="208" t="s">
        <v>4846</v>
      </c>
      <c r="C8" s="239" t="str">
        <f t="array" ref="C8">XLOOKUP(B8,Advancements!$I$2:$I175,Advancements!$L$2:$L175)</f>
        <v/>
      </c>
      <c r="D8" s="51" t="str">
        <f>IFERROR(__xludf.DUMMYFUNCTION("iferror(split(C8,"", ""),"""")"),"")</f>
        <v/>
      </c>
    </row>
    <row r="9">
      <c r="A9" s="709" t="b">
        <f t="array" ref="A9">XLOOKUP(B9,Advancements!$I$2:$I175,Advancements!$G$2:$G175)</f>
        <v>0</v>
      </c>
      <c r="B9" s="208" t="s">
        <v>2618</v>
      </c>
      <c r="C9" s="239" t="str">
        <f t="array" ref="C9">XLOOKUP(B9,Advancements!$I$2:$I175,Advancements!$L$2:$L175)</f>
        <v/>
      </c>
      <c r="D9" s="51" t="str">
        <f>IFERROR(__xludf.DUMMYFUNCTION("iferror(split(C9,"", ""),"""")"),"")</f>
        <v/>
      </c>
    </row>
    <row r="10">
      <c r="A10" s="709" t="b">
        <f t="array" ref="A10">XLOOKUP(B10,Advancements!$I$2:$I175,Advancements!$G$2:$G175)</f>
        <v>0</v>
      </c>
      <c r="B10" s="208" t="s">
        <v>1718</v>
      </c>
      <c r="C10" s="51" t="str">
        <f>C11</f>
        <v/>
      </c>
      <c r="D10" s="51" t="str">
        <f>IFERROR(__xludf.DUMMYFUNCTION("REGEXREPLACE(D11,""minecraft:"","""")"),"")</f>
        <v/>
      </c>
      <c r="E10" s="51" t="str">
        <f>IFERROR(__xludf.DUMMYFUNCTION("REGEXREPLACE(E11,""minecraft:"","""")"),"")</f>
        <v/>
      </c>
      <c r="F10" s="51" t="str">
        <f>IFERROR(__xludf.DUMMYFUNCTION("REGEXREPLACE(F11,""minecraft:"","""")"),"")</f>
        <v/>
      </c>
      <c r="G10" s="51" t="str">
        <f>IFERROR(__xludf.DUMMYFUNCTION("REGEXREPLACE(G11,""minecraft:"","""")"),"")</f>
        <v/>
      </c>
      <c r="H10" s="51" t="str">
        <f>IFERROR(__xludf.DUMMYFUNCTION("REGEXREPLACE(H11,""minecraft:"","""")"),"")</f>
        <v/>
      </c>
      <c r="I10" s="51" t="str">
        <f>IFERROR(__xludf.DUMMYFUNCTION("REGEXREPLACE(I11,""minecraft:"","""")"),"")</f>
        <v/>
      </c>
      <c r="J10" s="51" t="str">
        <f>IFERROR(__xludf.DUMMYFUNCTION("REGEXREPLACE(J11,""minecraft:"","""")"),"")</f>
        <v/>
      </c>
      <c r="K10" s="51" t="str">
        <f>IFERROR(__xludf.DUMMYFUNCTION("REGEXREPLACE(K11,""minecraft:"","""")"),"")</f>
        <v/>
      </c>
      <c r="L10" s="51" t="str">
        <f>IFERROR(__xludf.DUMMYFUNCTION("REGEXREPLACE(L11,""minecraft:"","""")"),"")</f>
        <v/>
      </c>
      <c r="M10" s="51" t="str">
        <f>IFERROR(__xludf.DUMMYFUNCTION("REGEXREPLACE(M11,""minecraft:"","""")"),"")</f>
        <v/>
      </c>
      <c r="N10" s="51" t="str">
        <f>IFERROR(__xludf.DUMMYFUNCTION("REGEXREPLACE(N11,""minecraft:"","""")"),"")</f>
        <v/>
      </c>
      <c r="O10" s="51" t="str">
        <f>IFERROR(__xludf.DUMMYFUNCTION("REGEXREPLACE(O11,""minecraft:"","""")"),"")</f>
        <v/>
      </c>
      <c r="P10" s="51" t="str">
        <f>IFERROR(__xludf.DUMMYFUNCTION("REGEXREPLACE(P11,""minecraft:"","""")"),"")</f>
        <v/>
      </c>
      <c r="Q10" s="51" t="str">
        <f>IFERROR(__xludf.DUMMYFUNCTION("REGEXREPLACE(Q11,""minecraft:"","""")"),"")</f>
        <v/>
      </c>
      <c r="R10" s="51" t="str">
        <f>IFERROR(__xludf.DUMMYFUNCTION("REGEXREPLACE(R11,""minecraft:"","""")"),"")</f>
        <v/>
      </c>
      <c r="S10" s="51" t="str">
        <f>IFERROR(__xludf.DUMMYFUNCTION("REGEXREPLACE(S11,""minecraft:"","""")"),"")</f>
        <v/>
      </c>
      <c r="T10" s="51" t="str">
        <f>IFERROR(__xludf.DUMMYFUNCTION("REGEXREPLACE(T11,""minecraft:"","""")"),"")</f>
        <v/>
      </c>
      <c r="U10" s="51" t="str">
        <f>IFERROR(__xludf.DUMMYFUNCTION("REGEXREPLACE(U11,""minecraft:"","""")"),"")</f>
        <v/>
      </c>
      <c r="V10" s="51" t="str">
        <f>IFERROR(__xludf.DUMMYFUNCTION("REGEXREPLACE(V11,""minecraft:"","""")"),"")</f>
        <v/>
      </c>
      <c r="W10" s="51" t="str">
        <f>IFERROR(__xludf.DUMMYFUNCTION("REGEXREPLACE(W11,""minecraft:"","""")"),"")</f>
        <v/>
      </c>
      <c r="X10" s="51" t="str">
        <f>IFERROR(__xludf.DUMMYFUNCTION("REGEXREPLACE(X11,""minecraft:"","""")"),"")</f>
        <v/>
      </c>
      <c r="Y10" s="51" t="str">
        <f>IFERROR(__xludf.DUMMYFUNCTION("REGEXREPLACE(Y11,""minecraft:"","""")"),"")</f>
        <v/>
      </c>
      <c r="Z10" s="51" t="str">
        <f>IFERROR(__xludf.DUMMYFUNCTION("REGEXREPLACE(Z11,""minecraft:"","""")"),"")</f>
        <v/>
      </c>
      <c r="AA10" s="51" t="str">
        <f>IFERROR(__xludf.DUMMYFUNCTION("REGEXREPLACE(AA11,""minecraft:"","""")"),"")</f>
        <v/>
      </c>
      <c r="AB10" s="51" t="str">
        <f>IFERROR(__xludf.DUMMYFUNCTION("REGEXREPLACE(AB11,""minecraft:"","""")"),"")</f>
        <v/>
      </c>
      <c r="AC10" s="51" t="str">
        <f>IFERROR(__xludf.DUMMYFUNCTION("REGEXREPLACE(AC11,""minecraft:"","""")"),"")</f>
        <v/>
      </c>
      <c r="AD10" s="51" t="str">
        <f>IFERROR(__xludf.DUMMYFUNCTION("REGEXREPLACE(AD11,""minecraft:"","""")"),"")</f>
        <v/>
      </c>
      <c r="AE10" s="51" t="str">
        <f>IFERROR(__xludf.DUMMYFUNCTION("REGEXREPLACE(AE11,""minecraft:"","""")"),"")</f>
        <v/>
      </c>
      <c r="AF10" s="51" t="str">
        <f>IFERROR(__xludf.DUMMYFUNCTION("REGEXREPLACE(AF11,""minecraft:"","""")"),"")</f>
        <v/>
      </c>
      <c r="AG10" s="51" t="str">
        <f>IFERROR(__xludf.DUMMYFUNCTION("REGEXREPLACE(AG11,""minecraft:"","""")"),"")</f>
        <v/>
      </c>
      <c r="AH10" s="51" t="str">
        <f>IFERROR(__xludf.DUMMYFUNCTION("REGEXREPLACE(AH11,""minecraft:"","""")"),"")</f>
        <v/>
      </c>
      <c r="AI10" s="51" t="str">
        <f>IFERROR(__xludf.DUMMYFUNCTION("REGEXREPLACE(AI11,""minecraft:"","""")"),"")</f>
        <v/>
      </c>
      <c r="AJ10" s="51" t="str">
        <f>IFERROR(__xludf.DUMMYFUNCTION("REGEXREPLACE(AJ11,""minecraft:"","""")"),"")</f>
        <v/>
      </c>
      <c r="AK10" s="51" t="str">
        <f>IFERROR(__xludf.DUMMYFUNCTION("REGEXREPLACE(AK11,""minecraft:"","""")"),"")</f>
        <v/>
      </c>
      <c r="AL10" s="51" t="str">
        <f>IFERROR(__xludf.DUMMYFUNCTION("REGEXREPLACE(AL11,""minecraft:"","""")"),"")</f>
        <v/>
      </c>
      <c r="AM10" s="51" t="str">
        <f>IFERROR(__xludf.DUMMYFUNCTION("REGEXREPLACE(AM11,""minecraft:"","""")"),"")</f>
        <v/>
      </c>
      <c r="AN10" s="51" t="str">
        <f>IFERROR(__xludf.DUMMYFUNCTION("REGEXREPLACE(AN11,""minecraft:"","""")"),"")</f>
        <v/>
      </c>
      <c r="AO10" s="51" t="str">
        <f>IFERROR(__xludf.DUMMYFUNCTION("REGEXREPLACE(AO11,""minecraft:"","""")"),"")</f>
        <v/>
      </c>
      <c r="AP10" s="51" t="str">
        <f>IFERROR(__xludf.DUMMYFUNCTION("REGEXREPLACE(AP11,""minecraft:"","""")"),"")</f>
        <v/>
      </c>
      <c r="AQ10" s="51" t="str">
        <f>IFERROR(__xludf.DUMMYFUNCTION("REGEXREPLACE(AQ11,""minecraft:"","""")"),"")</f>
        <v/>
      </c>
      <c r="AR10" s="51" t="str">
        <f>IFERROR(__xludf.DUMMYFUNCTION("REGEXREPLACE(AR11,""minecraft:"","""")"),"")</f>
        <v/>
      </c>
      <c r="AS10" s="51" t="str">
        <f>IFERROR(__xludf.DUMMYFUNCTION("REGEXREPLACE(AS11,""minecraft:"","""")"),"")</f>
        <v/>
      </c>
      <c r="AT10" s="51" t="str">
        <f>IFERROR(__xludf.DUMMYFUNCTION("REGEXREPLACE(AT11,""minecraft:"","""")"),"")</f>
        <v/>
      </c>
      <c r="AU10" s="51" t="str">
        <f>IFERROR(__xludf.DUMMYFUNCTION("REGEXREPLACE(AU11,""minecraft:"","""")"),"")</f>
        <v/>
      </c>
      <c r="AV10" s="51" t="str">
        <f>IFERROR(__xludf.DUMMYFUNCTION("REGEXREPLACE(AV11,""minecraft:"","""")"),"")</f>
        <v/>
      </c>
      <c r="AW10" s="51" t="str">
        <f>IFERROR(__xludf.DUMMYFUNCTION("REGEXREPLACE(AW11,""minecraft:"","""")"),"")</f>
        <v/>
      </c>
      <c r="AX10" s="51" t="str">
        <f>IFERROR(__xludf.DUMMYFUNCTION("REGEXREPLACE(AX11,""minecraft:"","""")"),"")</f>
        <v/>
      </c>
      <c r="AY10" s="51" t="str">
        <f>IFERROR(__xludf.DUMMYFUNCTION("REGEXREPLACE(AY11,""minecraft:"","""")"),"")</f>
        <v/>
      </c>
      <c r="AZ10" s="51" t="str">
        <f>IFERROR(__xludf.DUMMYFUNCTION("REGEXREPLACE(AZ11,""minecraft:"","""")"),"")</f>
        <v/>
      </c>
      <c r="BA10" s="51" t="str">
        <f>IFERROR(__xludf.DUMMYFUNCTION("REGEXREPLACE(BA11,""minecraft:"","""")"),"")</f>
        <v/>
      </c>
      <c r="BB10" s="51" t="str">
        <f>IFERROR(__xludf.DUMMYFUNCTION("REGEXREPLACE(BB11,""minecraft:"","""")"),"")</f>
        <v/>
      </c>
      <c r="BC10" s="51" t="str">
        <f>IFERROR(__xludf.DUMMYFUNCTION("REGEXREPLACE(BC11,""minecraft:"","""")"),"")</f>
        <v/>
      </c>
      <c r="BD10" s="51" t="str">
        <f>IFERROR(__xludf.DUMMYFUNCTION("REGEXREPLACE(BD11,""minecraft:"","""")"),"")</f>
        <v/>
      </c>
      <c r="BE10" s="51" t="str">
        <f>IFERROR(__xludf.DUMMYFUNCTION("REGEXREPLACE(BE11,""minecraft:"","""")"),"")</f>
        <v/>
      </c>
      <c r="BF10" s="51" t="str">
        <f>IFERROR(__xludf.DUMMYFUNCTION("REGEXREPLACE(BF11,""minecraft:"","""")"),"")</f>
        <v/>
      </c>
      <c r="BG10" s="51" t="str">
        <f>IFERROR(__xludf.DUMMYFUNCTION("REGEXREPLACE(BG11,""minecraft:"","""")"),"")</f>
        <v/>
      </c>
      <c r="BH10" s="51" t="str">
        <f>IFERROR(__xludf.DUMMYFUNCTION("REGEXREPLACE(BH11,""minecraft:"","""")"),"")</f>
        <v/>
      </c>
      <c r="BI10" s="51" t="str">
        <f>IFERROR(__xludf.DUMMYFUNCTION("REGEXREPLACE(BI11,""minecraft:"","""")"),"")</f>
        <v/>
      </c>
      <c r="BJ10" s="51" t="str">
        <f>IFERROR(__xludf.DUMMYFUNCTION("REGEXREPLACE(BJ11,""minecraft:"","""")"),"")</f>
        <v/>
      </c>
      <c r="BK10" s="51" t="str">
        <f>IFERROR(__xludf.DUMMYFUNCTION("REGEXREPLACE(BK11,""minecraft:"","""")"),"")</f>
        <v/>
      </c>
      <c r="BL10" s="51" t="str">
        <f>IFERROR(__xludf.DUMMYFUNCTION("REGEXREPLACE(BL11,""minecraft:"","""")"),"")</f>
        <v/>
      </c>
      <c r="BM10" s="51" t="str">
        <f>IFERROR(__xludf.DUMMYFUNCTION("REGEXREPLACE(BM11,""minecraft:"","""")"),"")</f>
        <v/>
      </c>
      <c r="BN10" s="51" t="str">
        <f>IFERROR(__xludf.DUMMYFUNCTION("REGEXREPLACE(BN11,""minecraft:"","""")"),"")</f>
        <v/>
      </c>
      <c r="BO10" s="51" t="str">
        <f>IFERROR(__xludf.DUMMYFUNCTION("REGEXREPLACE(BO11,""minecraft:"","""")"),"")</f>
        <v/>
      </c>
      <c r="BP10" s="51" t="str">
        <f>IFERROR(__xludf.DUMMYFUNCTION("REGEXREPLACE(BP11,""minecraft:"","""")"),"")</f>
        <v/>
      </c>
      <c r="BQ10" s="51" t="str">
        <f>IFERROR(__xludf.DUMMYFUNCTION("REGEXREPLACE(BQ11,""minecraft:"","""")"),"")</f>
        <v/>
      </c>
      <c r="BR10" s="51" t="str">
        <f>IFERROR(__xludf.DUMMYFUNCTION("REGEXREPLACE(BR11,""minecraft:"","""")"),"")</f>
        <v/>
      </c>
      <c r="BS10" s="51" t="str">
        <f>IFERROR(__xludf.DUMMYFUNCTION("REGEXREPLACE(BS11,""minecraft:"","""")"),"")</f>
        <v/>
      </c>
      <c r="BT10" s="51" t="str">
        <f>IFERROR(__xludf.DUMMYFUNCTION("REGEXREPLACE(BT11,""minecraft:"","""")"),"")</f>
        <v/>
      </c>
      <c r="BU10" s="51" t="str">
        <f>IFERROR(__xludf.DUMMYFUNCTION("REGEXREPLACE(BU11,""minecraft:"","""")"),"")</f>
        <v/>
      </c>
      <c r="BV10" s="51" t="str">
        <f>IFERROR(__xludf.DUMMYFUNCTION("REGEXREPLACE(BV11,""minecraft:"","""")"),"")</f>
        <v/>
      </c>
      <c r="BW10" s="51" t="str">
        <f>IFERROR(__xludf.DUMMYFUNCTION("REGEXREPLACE(BW11,""minecraft:"","""")"),"")</f>
        <v/>
      </c>
      <c r="BX10" s="51" t="str">
        <f>IFERROR(__xludf.DUMMYFUNCTION("REGEXREPLACE(BX11,""minecraft:"","""")"),"")</f>
        <v/>
      </c>
      <c r="BY10" s="51" t="str">
        <f>IFERROR(__xludf.DUMMYFUNCTION("REGEXREPLACE(BY11,""minecraft:"","""")"),"")</f>
        <v/>
      </c>
      <c r="BZ10" s="51" t="str">
        <f>IFERROR(__xludf.DUMMYFUNCTION("REGEXREPLACE(BZ11,""minecraft:"","""")"),"")</f>
        <v/>
      </c>
      <c r="CA10" s="51" t="str">
        <f>IFERROR(__xludf.DUMMYFUNCTION("REGEXREPLACE(CA11,""minecraft:"","""")"),"")</f>
        <v/>
      </c>
      <c r="CB10" s="51" t="str">
        <f>IFERROR(__xludf.DUMMYFUNCTION("REGEXREPLACE(CB11,""minecraft:"","""")"),"")</f>
        <v/>
      </c>
      <c r="CC10" s="51" t="str">
        <f>IFERROR(__xludf.DUMMYFUNCTION("REGEXREPLACE(CC11,""minecraft:"","""")"),"")</f>
        <v/>
      </c>
      <c r="CD10" s="51" t="str">
        <f>IFERROR(__xludf.DUMMYFUNCTION("REGEXREPLACE(CD11,""minecraft:"","""")"),"")</f>
        <v/>
      </c>
      <c r="CE10" s="51" t="str">
        <f>IFERROR(__xludf.DUMMYFUNCTION("REGEXREPLACE(CE11,""minecraft:"","""")"),"")</f>
        <v/>
      </c>
      <c r="CF10" s="51" t="str">
        <f>IFERROR(__xludf.DUMMYFUNCTION("REGEXREPLACE(CF11,""minecraft:"","""")"),"")</f>
        <v/>
      </c>
      <c r="CG10" s="51" t="str">
        <f>IFERROR(__xludf.DUMMYFUNCTION("REGEXREPLACE(CG11,""minecraft:"","""")"),"")</f>
        <v/>
      </c>
      <c r="CH10" s="51" t="str">
        <f>IFERROR(__xludf.DUMMYFUNCTION("REGEXREPLACE(CH11,""minecraft:"","""")"),"")</f>
        <v/>
      </c>
    </row>
    <row r="11" hidden="1">
      <c r="A11" s="710" t="b">
        <v>0</v>
      </c>
      <c r="B11" s="711"/>
      <c r="C11" s="712" t="str">
        <f t="array" ref="C11">XLOOKUP(B10,Advancements!$I$2:$I175,Advancements!$L$2:$L175)</f>
        <v/>
      </c>
      <c r="D11" s="713" t="str">
        <f>IFERROR(__xludf.DUMMYFUNCTION("iferror(split(C11,"", ""),"""")"),"")</f>
        <v/>
      </c>
      <c r="E11" s="713"/>
      <c r="F11" s="713"/>
      <c r="G11" s="713"/>
      <c r="H11" s="713"/>
      <c r="I11" s="713"/>
      <c r="J11" s="713"/>
      <c r="K11" s="713"/>
      <c r="L11" s="713"/>
      <c r="M11" s="713"/>
      <c r="N11" s="713"/>
      <c r="O11" s="713"/>
      <c r="P11" s="713"/>
      <c r="Q11" s="713"/>
      <c r="R11" s="713"/>
      <c r="S11" s="713"/>
      <c r="T11" s="713"/>
      <c r="U11" s="713"/>
      <c r="V11" s="713"/>
      <c r="W11" s="713"/>
      <c r="X11" s="713"/>
      <c r="Y11" s="713"/>
      <c r="Z11" s="713"/>
      <c r="AA11" s="713"/>
      <c r="AB11" s="713"/>
      <c r="AC11" s="713"/>
      <c r="AD11" s="713"/>
      <c r="AE11" s="713"/>
      <c r="AF11" s="713"/>
      <c r="AG11" s="713"/>
      <c r="AH11" s="713"/>
      <c r="AI11" s="713"/>
      <c r="AJ11" s="713"/>
      <c r="AK11" s="713"/>
      <c r="AL11" s="713"/>
      <c r="AM11" s="713"/>
      <c r="AN11" s="713"/>
      <c r="AO11" s="713"/>
      <c r="AP11" s="713"/>
      <c r="AQ11" s="713"/>
      <c r="AR11" s="713"/>
      <c r="AS11" s="713"/>
      <c r="AT11" s="713"/>
      <c r="AU11" s="713"/>
      <c r="AV11" s="713"/>
      <c r="AW11" s="713"/>
      <c r="AX11" s="713"/>
      <c r="AY11" s="713"/>
      <c r="AZ11" s="713"/>
      <c r="BA11" s="713"/>
      <c r="BB11" s="713"/>
      <c r="BC11" s="713"/>
      <c r="BD11" s="713"/>
      <c r="BE11" s="713"/>
      <c r="BF11" s="713"/>
      <c r="BG11" s="713"/>
      <c r="BH11" s="713"/>
      <c r="BI11" s="713"/>
      <c r="BJ11" s="713"/>
      <c r="BK11" s="713"/>
      <c r="BL11" s="713"/>
      <c r="BM11" s="713"/>
      <c r="BN11" s="713"/>
      <c r="BO11" s="713"/>
      <c r="BP11" s="713"/>
      <c r="BQ11" s="713"/>
      <c r="BR11" s="713"/>
      <c r="BS11" s="713"/>
      <c r="BT11" s="713"/>
      <c r="BU11" s="713"/>
      <c r="BV11" s="713"/>
      <c r="BW11" s="713"/>
      <c r="BX11" s="713"/>
      <c r="BY11" s="713"/>
      <c r="BZ11" s="713"/>
      <c r="CA11" s="713"/>
      <c r="CB11" s="713"/>
      <c r="CC11" s="713"/>
      <c r="CD11" s="713"/>
      <c r="CE11" s="713"/>
      <c r="CF11" s="713"/>
      <c r="CG11" s="713"/>
      <c r="CH11" s="713"/>
    </row>
    <row r="12">
      <c r="A12" s="709" t="b">
        <f t="array" ref="A12">XLOOKUP(B12,Advancements!$I$2:$I175,Advancements!$G$2:$G175)</f>
        <v>0</v>
      </c>
      <c r="B12" s="51" t="s">
        <v>3616</v>
      </c>
      <c r="C12" s="239" t="str">
        <f>C13</f>
        <v/>
      </c>
      <c r="D12" s="51" t="str">
        <f>IFERROR(__xludf.DUMMYFUNCTION("REGEXREPLACE(D13,""minecraft:"","""")"),"")</f>
        <v/>
      </c>
      <c r="E12" s="51" t="str">
        <f>IFERROR(__xludf.DUMMYFUNCTION("REGEXREPLACE(E13,""minecraft:"","""")"),"")</f>
        <v/>
      </c>
      <c r="F12" s="51" t="str">
        <f>IFERROR(__xludf.DUMMYFUNCTION("REGEXREPLACE(F13,""minecraft:"","""")"),"")</f>
        <v/>
      </c>
      <c r="G12" s="51" t="str">
        <f>IFERROR(__xludf.DUMMYFUNCTION("REGEXREPLACE(G13,""minecraft:"","""")"),"")</f>
        <v/>
      </c>
      <c r="H12" s="51" t="str">
        <f>IFERROR(__xludf.DUMMYFUNCTION("REGEXREPLACE(H13,""minecraft:"","""")"),"")</f>
        <v/>
      </c>
      <c r="I12" s="51" t="str">
        <f>IFERROR(__xludf.DUMMYFUNCTION("REGEXREPLACE(I13,""minecraft:"","""")"),"")</f>
        <v/>
      </c>
      <c r="J12" s="51" t="str">
        <f>IFERROR(__xludf.DUMMYFUNCTION("REGEXREPLACE(J13,""minecraft:"","""")"),"")</f>
        <v/>
      </c>
      <c r="K12" s="51" t="str">
        <f>IFERROR(__xludf.DUMMYFUNCTION("REGEXREPLACE(K13,""minecraft:"","""")"),"")</f>
        <v/>
      </c>
      <c r="L12" s="51" t="str">
        <f>IFERROR(__xludf.DUMMYFUNCTION("REGEXREPLACE(L13,""minecraft:"","""")"),"")</f>
        <v/>
      </c>
      <c r="M12" s="51" t="str">
        <f>IFERROR(__xludf.DUMMYFUNCTION("REGEXREPLACE(M13,""minecraft:"","""")"),"")</f>
        <v/>
      </c>
      <c r="N12" s="51" t="str">
        <f>IFERROR(__xludf.DUMMYFUNCTION("REGEXREPLACE(N13,""minecraft:"","""")"),"")</f>
        <v/>
      </c>
      <c r="O12" s="51" t="str">
        <f>IFERROR(__xludf.DUMMYFUNCTION("REGEXREPLACE(O13,""minecraft:"","""")"),"")</f>
        <v/>
      </c>
      <c r="P12" s="51" t="str">
        <f>IFERROR(__xludf.DUMMYFUNCTION("REGEXREPLACE(P13,""minecraft:"","""")"),"")</f>
        <v/>
      </c>
      <c r="Q12" s="51" t="str">
        <f>IFERROR(__xludf.DUMMYFUNCTION("REGEXREPLACE(Q13,""minecraft:"","""")"),"")</f>
        <v/>
      </c>
      <c r="R12" s="51" t="str">
        <f>IFERROR(__xludf.DUMMYFUNCTION("REGEXREPLACE(R13,""minecraft:"","""")"),"")</f>
        <v/>
      </c>
      <c r="S12" s="51" t="str">
        <f>IFERROR(__xludf.DUMMYFUNCTION("REGEXREPLACE(S13,""minecraft:"","""")"),"")</f>
        <v/>
      </c>
      <c r="T12" s="51" t="str">
        <f>IFERROR(__xludf.DUMMYFUNCTION("REGEXREPLACE(T13,""minecraft:"","""")"),"")</f>
        <v/>
      </c>
      <c r="U12" s="51" t="str">
        <f>IFERROR(__xludf.DUMMYFUNCTION("REGEXREPLACE(U13,""minecraft:"","""")"),"")</f>
        <v/>
      </c>
      <c r="V12" s="51" t="str">
        <f>IFERROR(__xludf.DUMMYFUNCTION("REGEXREPLACE(V13,""minecraft:"","""")"),"")</f>
        <v/>
      </c>
      <c r="W12" s="51" t="str">
        <f>IFERROR(__xludf.DUMMYFUNCTION("REGEXREPLACE(W13,""minecraft:"","""")"),"")</f>
        <v/>
      </c>
      <c r="X12" s="51" t="str">
        <f>IFERROR(__xludf.DUMMYFUNCTION("REGEXREPLACE(X13,""minecraft:"","""")"),"")</f>
        <v/>
      </c>
      <c r="Y12" s="51" t="str">
        <f>IFERROR(__xludf.DUMMYFUNCTION("REGEXREPLACE(Y13,""minecraft:"","""")"),"")</f>
        <v/>
      </c>
      <c r="Z12" s="51" t="str">
        <f>IFERROR(__xludf.DUMMYFUNCTION("REGEXREPLACE(Z13,""minecraft:"","""")"),"")</f>
        <v/>
      </c>
      <c r="AA12" s="51" t="str">
        <f>IFERROR(__xludf.DUMMYFUNCTION("REGEXREPLACE(AA13,""minecraft:"","""")"),"")</f>
        <v/>
      </c>
      <c r="AB12" s="51" t="str">
        <f>IFERROR(__xludf.DUMMYFUNCTION("REGEXREPLACE(AB13,""minecraft:"","""")"),"")</f>
        <v/>
      </c>
      <c r="AC12" s="51" t="str">
        <f>IFERROR(__xludf.DUMMYFUNCTION("REGEXREPLACE(AC13,""minecraft:"","""")"),"")</f>
        <v/>
      </c>
      <c r="AD12" s="51" t="str">
        <f>IFERROR(__xludf.DUMMYFUNCTION("REGEXREPLACE(AD13,""minecraft:"","""")"),"")</f>
        <v/>
      </c>
      <c r="AE12" s="51" t="str">
        <f>IFERROR(__xludf.DUMMYFUNCTION("REGEXREPLACE(AE13,""minecraft:"","""")"),"")</f>
        <v/>
      </c>
      <c r="AF12" s="51" t="str">
        <f>IFERROR(__xludf.DUMMYFUNCTION("REGEXREPLACE(AF13,""minecraft:"","""")"),"")</f>
        <v/>
      </c>
      <c r="AG12" s="51" t="str">
        <f>IFERROR(__xludf.DUMMYFUNCTION("REGEXREPLACE(AG13,""minecraft:"","""")"),"")</f>
        <v/>
      </c>
      <c r="AH12" s="51" t="str">
        <f>IFERROR(__xludf.DUMMYFUNCTION("REGEXREPLACE(AH13,""minecraft:"","""")"),"")</f>
        <v/>
      </c>
      <c r="AI12" s="51" t="str">
        <f>IFERROR(__xludf.DUMMYFUNCTION("REGEXREPLACE(AI13,""minecraft:"","""")"),"")</f>
        <v/>
      </c>
      <c r="AJ12" s="51" t="str">
        <f>IFERROR(__xludf.DUMMYFUNCTION("REGEXREPLACE(AJ13,""minecraft:"","""")"),"")</f>
        <v/>
      </c>
      <c r="AK12" s="51" t="str">
        <f>IFERROR(__xludf.DUMMYFUNCTION("REGEXREPLACE(AK13,""minecraft:"","""")"),"")</f>
        <v/>
      </c>
      <c r="AL12" s="51" t="str">
        <f>IFERROR(__xludf.DUMMYFUNCTION("REGEXREPLACE(AL13,""minecraft:"","""")"),"")</f>
        <v/>
      </c>
      <c r="AM12" s="51" t="str">
        <f>IFERROR(__xludf.DUMMYFUNCTION("REGEXREPLACE(AM13,""minecraft:"","""")"),"")</f>
        <v/>
      </c>
      <c r="AN12" s="51" t="str">
        <f>IFERROR(__xludf.DUMMYFUNCTION("REGEXREPLACE(AN13,""minecraft:"","""")"),"")</f>
        <v/>
      </c>
      <c r="AO12" s="51" t="str">
        <f>IFERROR(__xludf.DUMMYFUNCTION("REGEXREPLACE(AO13,""minecraft:"","""")"),"")</f>
        <v/>
      </c>
      <c r="AP12" s="51" t="str">
        <f>IFERROR(__xludf.DUMMYFUNCTION("REGEXREPLACE(AP13,""minecraft:"","""")"),"")</f>
        <v/>
      </c>
      <c r="AQ12" s="51" t="str">
        <f>IFERROR(__xludf.DUMMYFUNCTION("REGEXREPLACE(AQ13,""minecraft:"","""")"),"")</f>
        <v/>
      </c>
      <c r="AR12" s="51" t="str">
        <f>IFERROR(__xludf.DUMMYFUNCTION("REGEXREPLACE(AR13,""minecraft:"","""")"),"")</f>
        <v/>
      </c>
      <c r="AS12" s="51" t="str">
        <f>IFERROR(__xludf.DUMMYFUNCTION("REGEXREPLACE(AS13,""minecraft:"","""")"),"")</f>
        <v/>
      </c>
      <c r="AT12" s="51" t="str">
        <f>IFERROR(__xludf.DUMMYFUNCTION("REGEXREPLACE(AT13,""minecraft:"","""")"),"")</f>
        <v/>
      </c>
      <c r="AU12" s="51" t="str">
        <f>IFERROR(__xludf.DUMMYFUNCTION("REGEXREPLACE(AU13,""minecraft:"","""")"),"")</f>
        <v/>
      </c>
      <c r="AV12" s="51" t="str">
        <f>IFERROR(__xludf.DUMMYFUNCTION("REGEXREPLACE(AV13,""minecraft:"","""")"),"")</f>
        <v/>
      </c>
      <c r="AW12" s="51" t="str">
        <f>IFERROR(__xludf.DUMMYFUNCTION("REGEXREPLACE(AW13,""minecraft:"","""")"),"")</f>
        <v/>
      </c>
      <c r="AX12" s="51" t="str">
        <f>IFERROR(__xludf.DUMMYFUNCTION("REGEXREPLACE(AX13,""minecraft:"","""")"),"")</f>
        <v/>
      </c>
      <c r="AY12" s="51" t="str">
        <f>IFERROR(__xludf.DUMMYFUNCTION("REGEXREPLACE(AY13,""minecraft:"","""")"),"")</f>
        <v/>
      </c>
      <c r="AZ12" s="51" t="str">
        <f>IFERROR(__xludf.DUMMYFUNCTION("REGEXREPLACE(AZ13,""minecraft:"","""")"),"")</f>
        <v/>
      </c>
      <c r="BA12" s="51" t="str">
        <f>IFERROR(__xludf.DUMMYFUNCTION("REGEXREPLACE(BA13,""minecraft:"","""")"),"")</f>
        <v/>
      </c>
      <c r="BB12" s="51" t="str">
        <f>IFERROR(__xludf.DUMMYFUNCTION("REGEXREPLACE(BB13,""minecraft:"","""")"),"")</f>
        <v/>
      </c>
      <c r="BC12" s="51" t="str">
        <f>IFERROR(__xludf.DUMMYFUNCTION("REGEXREPLACE(BC13,""minecraft:"","""")"),"")</f>
        <v/>
      </c>
      <c r="BD12" s="51" t="str">
        <f>IFERROR(__xludf.DUMMYFUNCTION("REGEXREPLACE(BD13,""minecraft:"","""")"),"")</f>
        <v/>
      </c>
      <c r="BE12" s="51" t="str">
        <f>IFERROR(__xludf.DUMMYFUNCTION("REGEXREPLACE(BE13,""minecraft:"","""")"),"")</f>
        <v/>
      </c>
      <c r="BF12" s="51" t="str">
        <f>IFERROR(__xludf.DUMMYFUNCTION("REGEXREPLACE(BF13,""minecraft:"","""")"),"")</f>
        <v/>
      </c>
      <c r="BG12" s="51" t="str">
        <f>IFERROR(__xludf.DUMMYFUNCTION("REGEXREPLACE(BG13,""minecraft:"","""")"),"")</f>
        <v/>
      </c>
      <c r="BH12" s="51" t="str">
        <f>IFERROR(__xludf.DUMMYFUNCTION("REGEXREPLACE(BH13,""minecraft:"","""")"),"")</f>
        <v/>
      </c>
      <c r="BI12" s="51" t="str">
        <f>IFERROR(__xludf.DUMMYFUNCTION("REGEXREPLACE(BI13,""minecraft:"","""")"),"")</f>
        <v/>
      </c>
      <c r="BJ12" s="51" t="str">
        <f>IFERROR(__xludf.DUMMYFUNCTION("REGEXREPLACE(BJ13,""minecraft:"","""")"),"")</f>
        <v/>
      </c>
      <c r="BK12" s="51" t="str">
        <f>IFERROR(__xludf.DUMMYFUNCTION("REGEXREPLACE(BK13,""minecraft:"","""")"),"")</f>
        <v/>
      </c>
      <c r="BL12" s="51" t="str">
        <f>IFERROR(__xludf.DUMMYFUNCTION("REGEXREPLACE(BL13,""minecraft:"","""")"),"")</f>
        <v/>
      </c>
      <c r="BM12" s="51" t="str">
        <f>IFERROR(__xludf.DUMMYFUNCTION("REGEXREPLACE(BM13,""minecraft:"","""")"),"")</f>
        <v/>
      </c>
      <c r="BN12" s="51" t="str">
        <f>IFERROR(__xludf.DUMMYFUNCTION("REGEXREPLACE(BN13,""minecraft:"","""")"),"")</f>
        <v/>
      </c>
      <c r="BO12" s="51" t="str">
        <f>IFERROR(__xludf.DUMMYFUNCTION("REGEXREPLACE(BO13,""minecraft:"","""")"),"")</f>
        <v/>
      </c>
      <c r="BP12" s="51" t="str">
        <f>IFERROR(__xludf.DUMMYFUNCTION("REGEXREPLACE(BP13,""minecraft:"","""")"),"")</f>
        <v/>
      </c>
      <c r="BQ12" s="51" t="str">
        <f>IFERROR(__xludf.DUMMYFUNCTION("REGEXREPLACE(BQ13,""minecraft:"","""")"),"")</f>
        <v/>
      </c>
      <c r="BR12" s="51" t="str">
        <f>IFERROR(__xludf.DUMMYFUNCTION("REGEXREPLACE(BR13,""minecraft:"","""")"),"")</f>
        <v/>
      </c>
      <c r="BS12" s="51" t="str">
        <f>IFERROR(__xludf.DUMMYFUNCTION("REGEXREPLACE(BS13,""minecraft:"","""")"),"")</f>
        <v/>
      </c>
      <c r="BT12" s="51" t="str">
        <f>IFERROR(__xludf.DUMMYFUNCTION("REGEXREPLACE(BT13,""minecraft:"","""")"),"")</f>
        <v/>
      </c>
      <c r="BU12" s="51" t="str">
        <f>IFERROR(__xludf.DUMMYFUNCTION("REGEXREPLACE(BU13,""minecraft:"","""")"),"")</f>
        <v/>
      </c>
      <c r="BV12" s="51" t="str">
        <f>IFERROR(__xludf.DUMMYFUNCTION("REGEXREPLACE(BV13,""minecraft:"","""")"),"")</f>
        <v/>
      </c>
      <c r="BW12" s="51" t="str">
        <f>IFERROR(__xludf.DUMMYFUNCTION("REGEXREPLACE(BW13,""minecraft:"","""")"),"")</f>
        <v/>
      </c>
      <c r="BX12" s="51" t="str">
        <f>IFERROR(__xludf.DUMMYFUNCTION("REGEXREPLACE(BX13,""minecraft:"","""")"),"")</f>
        <v/>
      </c>
      <c r="BY12" s="51" t="str">
        <f>IFERROR(__xludf.DUMMYFUNCTION("REGEXREPLACE(BY13,""minecraft:"","""")"),"")</f>
        <v/>
      </c>
      <c r="BZ12" s="51" t="str">
        <f>IFERROR(__xludf.DUMMYFUNCTION("REGEXREPLACE(BZ13,""minecraft:"","""")"),"")</f>
        <v/>
      </c>
      <c r="CA12" s="51" t="str">
        <f>IFERROR(__xludf.DUMMYFUNCTION("REGEXREPLACE(CA13,""minecraft:"","""")"),"")</f>
        <v/>
      </c>
      <c r="CB12" s="51" t="str">
        <f>IFERROR(__xludf.DUMMYFUNCTION("REGEXREPLACE(CB13,""minecraft:"","""")"),"")</f>
        <v/>
      </c>
      <c r="CC12" s="51" t="str">
        <f>IFERROR(__xludf.DUMMYFUNCTION("REGEXREPLACE(CC13,""minecraft:"","""")"),"")</f>
        <v/>
      </c>
      <c r="CD12" s="51" t="str">
        <f>IFERROR(__xludf.DUMMYFUNCTION("REGEXREPLACE(CD13,""minecraft:"","""")"),"")</f>
        <v/>
      </c>
      <c r="CE12" s="51" t="str">
        <f>IFERROR(__xludf.DUMMYFUNCTION("REGEXREPLACE(CE13,""minecraft:"","""")"),"")</f>
        <v/>
      </c>
      <c r="CF12" s="51" t="str">
        <f>IFERROR(__xludf.DUMMYFUNCTION("REGEXREPLACE(CF13,""minecraft:"","""")"),"")</f>
        <v/>
      </c>
      <c r="CG12" s="51" t="str">
        <f>IFERROR(__xludf.DUMMYFUNCTION("REGEXREPLACE(CG13,""minecraft:"","""")"),"")</f>
        <v/>
      </c>
      <c r="CH12" s="51" t="str">
        <f>IFERROR(__xludf.DUMMYFUNCTION("REGEXREPLACE(CH13,""minecraft:"","""")"),"")</f>
        <v/>
      </c>
    </row>
    <row r="13" hidden="1">
      <c r="A13" s="710" t="b">
        <v>0</v>
      </c>
      <c r="B13" s="713"/>
      <c r="C13" s="712" t="str">
        <f t="array" ref="C13">XLOOKUP(B12,Advancements!$I$2:$I175,Advancements!$L$2:$L175)</f>
        <v/>
      </c>
      <c r="D13" s="713" t="str">
        <f>IFERROR(__xludf.DUMMYFUNCTION("iferror(split(C13,"", ""),"""")"),"")</f>
        <v/>
      </c>
      <c r="E13" s="713"/>
      <c r="F13" s="713"/>
      <c r="G13" s="713"/>
      <c r="H13" s="713"/>
      <c r="I13" s="713"/>
      <c r="J13" s="713"/>
      <c r="K13" s="713"/>
      <c r="L13" s="713"/>
      <c r="M13" s="713"/>
      <c r="N13" s="713"/>
      <c r="O13" s="713"/>
      <c r="P13" s="713"/>
      <c r="Q13" s="713"/>
      <c r="R13" s="713"/>
      <c r="S13" s="713"/>
      <c r="T13" s="713"/>
      <c r="U13" s="713"/>
      <c r="V13" s="713"/>
      <c r="W13" s="713"/>
      <c r="X13" s="713"/>
      <c r="Y13" s="713"/>
      <c r="Z13" s="713"/>
      <c r="AA13" s="713"/>
      <c r="AB13" s="713"/>
      <c r="AC13" s="713"/>
      <c r="AD13" s="713"/>
      <c r="AE13" s="713"/>
      <c r="AF13" s="713"/>
      <c r="AG13" s="713"/>
      <c r="AH13" s="713"/>
      <c r="AI13" s="713"/>
      <c r="AJ13" s="713"/>
      <c r="AK13" s="713"/>
      <c r="AL13" s="713"/>
      <c r="AM13" s="713"/>
      <c r="AN13" s="713"/>
      <c r="AO13" s="713"/>
      <c r="AP13" s="713"/>
      <c r="AQ13" s="713"/>
      <c r="AR13" s="713"/>
      <c r="AS13" s="713"/>
      <c r="AT13" s="713"/>
      <c r="AU13" s="713"/>
      <c r="AV13" s="713"/>
      <c r="AW13" s="713"/>
      <c r="AX13" s="713"/>
      <c r="AY13" s="713"/>
      <c r="AZ13" s="713"/>
      <c r="BA13" s="713"/>
      <c r="BB13" s="713"/>
      <c r="BC13" s="713"/>
      <c r="BD13" s="713"/>
      <c r="BE13" s="713"/>
      <c r="BF13" s="713"/>
      <c r="BG13" s="713"/>
      <c r="BH13" s="713"/>
      <c r="BI13" s="713"/>
      <c r="BJ13" s="713"/>
      <c r="BK13" s="713"/>
      <c r="BL13" s="713"/>
      <c r="BM13" s="713"/>
      <c r="BN13" s="713"/>
      <c r="BO13" s="713"/>
      <c r="BP13" s="713"/>
      <c r="BQ13" s="713"/>
      <c r="BR13" s="713"/>
      <c r="BS13" s="713"/>
      <c r="BT13" s="713"/>
      <c r="BU13" s="713"/>
      <c r="BV13" s="713"/>
      <c r="BW13" s="713"/>
      <c r="BX13" s="713"/>
      <c r="BY13" s="713"/>
      <c r="BZ13" s="713"/>
      <c r="CA13" s="713"/>
      <c r="CB13" s="713"/>
      <c r="CC13" s="713"/>
      <c r="CD13" s="713"/>
      <c r="CE13" s="713"/>
      <c r="CF13" s="713"/>
      <c r="CG13" s="713"/>
      <c r="CH13" s="713"/>
    </row>
    <row r="14">
      <c r="A14" s="709" t="b">
        <f t="array" ref="A14">XLOOKUP(B14,Advancements!$I$2:$I175,Advancements!$G$2:$G175)</f>
        <v>0</v>
      </c>
      <c r="B14" s="51" t="s">
        <v>2679</v>
      </c>
      <c r="C14" s="239" t="str">
        <f t="array" ref="C14">XLOOKUP(B14,Advancements!$I$2:$I175,Advancements!$L$2:$L175)</f>
        <v/>
      </c>
      <c r="D14" s="51" t="str">
        <f>IFERROR(__xludf.DUMMYFUNCTION("iferror(split(C14,"", ""),"""")"),"")</f>
        <v/>
      </c>
    </row>
    <row r="15">
      <c r="A15" s="709" t="b">
        <f t="array" ref="A15">XLOOKUP(B15,Advancements!$I$2:$I175,Advancements!$G$2:$G175)</f>
        <v>0</v>
      </c>
      <c r="B15" s="51" t="s">
        <v>2711</v>
      </c>
      <c r="C15" s="239" t="str">
        <f t="array" ref="C15">XLOOKUP(B15,Advancements!$I$2:$I175,Advancements!$L$2:$L175)</f>
        <v/>
      </c>
      <c r="D15" s="51" t="str">
        <f>IFERROR(__xludf.DUMMYFUNCTION("iferror(split(C15,"", ""),"""")"),"")</f>
        <v/>
      </c>
    </row>
    <row r="16">
      <c r="A16" s="709" t="b">
        <f t="array" ref="A16">XLOOKUP(B16,Advancements!$I$2:$I175,Advancements!$G$2:$G175)</f>
        <v>0</v>
      </c>
      <c r="B16" s="51" t="s">
        <v>2738</v>
      </c>
      <c r="C16" s="239" t="str">
        <f t="array" ref="C16">XLOOKUP(B16,Advancements!$I$2:$I175,Advancements!$L$2:$L175)</f>
        <v/>
      </c>
      <c r="D16" s="51" t="str">
        <f>IFERROR(__xludf.DUMMYFUNCTION("iferror(split(C16,"", ""),"""")"),"")</f>
        <v/>
      </c>
    </row>
    <row r="17">
      <c r="A17" s="709" t="b">
        <f t="array" ref="A17">XLOOKUP(B17,Advancements!$I$2:$I175,Advancements!$G$2:$G175)</f>
        <v>0</v>
      </c>
      <c r="B17" s="51" t="s">
        <v>2707</v>
      </c>
      <c r="C17" s="239" t="str">
        <f t="array" ref="C17">XLOOKUP(B17,Advancements!$I$2:$I175,Advancements!$L$2:$L175)</f>
        <v/>
      </c>
      <c r="D17" s="51" t="str">
        <f>IFERROR(__xludf.DUMMYFUNCTION("iferror(split(C17,"", ""),"""")"),"")</f>
        <v/>
      </c>
    </row>
    <row r="18">
      <c r="A18" s="709" t="b">
        <f t="array" ref="A18">XLOOKUP(B18,Advancements!$I$2:$I175,Advancements!$G$2:$G175)</f>
        <v>0</v>
      </c>
      <c r="B18" s="51" t="s">
        <v>2016</v>
      </c>
      <c r="C18" s="239" t="str">
        <f t="array" ref="C18">XLOOKUP(B18,Advancements!$I$2:$I175,Advancements!$L$2:$L175)</f>
        <v/>
      </c>
      <c r="D18" s="51" t="str">
        <f>IFERROR(__xludf.DUMMYFUNCTION("iferror(split(C18,"", ""),"""")"),"")</f>
        <v/>
      </c>
    </row>
    <row r="19">
      <c r="A19" s="221"/>
      <c r="E19" s="208" t="s">
        <v>7612</v>
      </c>
    </row>
    <row r="20">
      <c r="A20" s="714" t="s">
        <v>7613</v>
      </c>
      <c r="B20" s="214" t="s">
        <v>62</v>
      </c>
      <c r="C20" s="208" t="s">
        <v>7614</v>
      </c>
      <c r="E20" s="715" t="str">
        <f>IFERROR(__xludf.DUMMYFUNCTION("REGEXREPLACE(REGEXREPLACE(PROPER(D20),""Minecraft:"",""""),"","","""")"),"")</f>
        <v/>
      </c>
    </row>
    <row r="21">
      <c r="A21" s="716"/>
      <c r="B21" s="208" t="s">
        <v>7334</v>
      </c>
    </row>
    <row r="22">
      <c r="A22" s="221"/>
      <c r="B22" s="208" t="s">
        <v>7306</v>
      </c>
    </row>
    <row r="23">
      <c r="A23" s="221"/>
      <c r="B23" s="208" t="s">
        <v>7289</v>
      </c>
    </row>
    <row r="24">
      <c r="A24" s="221"/>
      <c r="B24" s="208" t="s">
        <v>7329</v>
      </c>
    </row>
    <row r="25">
      <c r="A25" s="221"/>
      <c r="B25" s="208" t="s">
        <v>7295</v>
      </c>
    </row>
    <row r="26">
      <c r="A26" s="221"/>
      <c r="B26" s="208" t="s">
        <v>7323</v>
      </c>
    </row>
    <row r="27">
      <c r="A27" s="221"/>
      <c r="B27" s="208" t="s">
        <v>7243</v>
      </c>
    </row>
    <row r="28">
      <c r="A28" s="221"/>
      <c r="B28" s="208" t="s">
        <v>7346</v>
      </c>
    </row>
    <row r="29">
      <c r="A29" s="717"/>
      <c r="B29" s="718" t="s">
        <v>7303</v>
      </c>
    </row>
    <row r="30">
      <c r="A30" s="221"/>
      <c r="B30" s="208" t="s">
        <v>7197</v>
      </c>
    </row>
    <row r="31">
      <c r="A31" s="221"/>
      <c r="B31" s="208" t="s">
        <v>7336</v>
      </c>
    </row>
    <row r="32">
      <c r="A32" s="221"/>
      <c r="B32" s="208" t="s">
        <v>2621</v>
      </c>
    </row>
    <row r="33">
      <c r="A33" s="221"/>
      <c r="B33" s="208" t="s">
        <v>2180</v>
      </c>
    </row>
    <row r="34">
      <c r="A34" s="221"/>
      <c r="B34" s="208" t="s">
        <v>7341</v>
      </c>
    </row>
    <row r="35">
      <c r="A35" s="221"/>
      <c r="B35" s="208" t="s">
        <v>7348</v>
      </c>
    </row>
    <row r="36">
      <c r="A36" s="221"/>
      <c r="B36" s="208" t="s">
        <v>7284</v>
      </c>
    </row>
    <row r="37">
      <c r="A37" s="221"/>
      <c r="B37" s="208" t="s">
        <v>7300</v>
      </c>
    </row>
    <row r="38">
      <c r="A38" s="221"/>
      <c r="B38" s="208" t="s">
        <v>7268</v>
      </c>
    </row>
    <row r="39">
      <c r="A39" s="221"/>
      <c r="B39" s="208" t="s">
        <v>7282</v>
      </c>
    </row>
    <row r="40">
      <c r="A40" s="221"/>
      <c r="B40" s="208" t="s">
        <v>7325</v>
      </c>
    </row>
    <row r="41">
      <c r="A41" s="221"/>
      <c r="B41" s="208" t="s">
        <v>7326</v>
      </c>
    </row>
    <row r="42">
      <c r="A42" s="221"/>
      <c r="B42" s="208" t="s">
        <v>7294</v>
      </c>
    </row>
    <row r="43">
      <c r="A43" s="221"/>
      <c r="B43" s="208" t="s">
        <v>7315</v>
      </c>
    </row>
    <row r="44">
      <c r="A44" s="221"/>
      <c r="B44" s="208" t="s">
        <v>7307</v>
      </c>
    </row>
    <row r="45">
      <c r="A45" s="221"/>
      <c r="B45" s="208" t="s">
        <v>7331</v>
      </c>
    </row>
    <row r="46">
      <c r="A46" s="221"/>
      <c r="B46" s="208" t="s">
        <v>7322</v>
      </c>
    </row>
    <row r="47">
      <c r="A47" s="221"/>
      <c r="B47" s="208" t="s">
        <v>7286</v>
      </c>
    </row>
    <row r="48">
      <c r="A48" s="221"/>
      <c r="B48" s="208" t="s">
        <v>7310</v>
      </c>
    </row>
    <row r="49">
      <c r="A49" s="221"/>
      <c r="B49" s="208" t="s">
        <v>7283</v>
      </c>
    </row>
    <row r="50">
      <c r="A50" s="221"/>
      <c r="B50" s="208" t="s">
        <v>7320</v>
      </c>
    </row>
    <row r="51">
      <c r="A51" s="221"/>
      <c r="B51" s="208" t="s">
        <v>7299</v>
      </c>
    </row>
    <row r="52">
      <c r="A52" s="221"/>
      <c r="B52" s="208" t="s">
        <v>7267</v>
      </c>
    </row>
    <row r="53">
      <c r="A53" s="221"/>
      <c r="B53" s="208" t="s">
        <v>7292</v>
      </c>
    </row>
    <row r="54">
      <c r="A54" s="221"/>
      <c r="B54" s="208" t="s">
        <v>7194</v>
      </c>
    </row>
    <row r="55">
      <c r="A55" s="221"/>
      <c r="B55" s="208" t="s">
        <v>7333</v>
      </c>
    </row>
    <row r="56">
      <c r="A56" s="221"/>
      <c r="B56" s="208" t="s">
        <v>7342</v>
      </c>
    </row>
    <row r="57">
      <c r="A57" s="221"/>
      <c r="B57" s="208" t="s">
        <v>7301</v>
      </c>
    </row>
    <row r="58">
      <c r="A58" s="221"/>
      <c r="B58" s="208" t="s">
        <v>7339</v>
      </c>
    </row>
    <row r="59">
      <c r="A59" s="221"/>
      <c r="B59" s="208" t="s">
        <v>7338</v>
      </c>
    </row>
    <row r="60">
      <c r="A60" s="221"/>
      <c r="B60" s="208" t="s">
        <v>7340</v>
      </c>
    </row>
    <row r="61">
      <c r="A61" s="221"/>
      <c r="B61" s="208" t="s">
        <v>7347</v>
      </c>
    </row>
    <row r="62">
      <c r="A62" s="221"/>
      <c r="B62" s="208" t="s">
        <v>7302</v>
      </c>
    </row>
    <row r="63">
      <c r="A63" s="221"/>
      <c r="B63" s="208" t="s">
        <v>7318</v>
      </c>
    </row>
    <row r="64">
      <c r="A64" s="221"/>
      <c r="B64" s="208" t="s">
        <v>7319</v>
      </c>
    </row>
    <row r="65">
      <c r="A65" s="221"/>
      <c r="B65" s="208" t="s">
        <v>7312</v>
      </c>
    </row>
    <row r="66">
      <c r="A66" s="221"/>
      <c r="B66" s="208" t="s">
        <v>7343</v>
      </c>
    </row>
    <row r="67">
      <c r="A67" s="221"/>
      <c r="B67" s="208" t="s">
        <v>2205</v>
      </c>
    </row>
    <row r="68">
      <c r="A68" s="221"/>
      <c r="B68" s="208" t="s">
        <v>916</v>
      </c>
    </row>
    <row r="69">
      <c r="A69" s="221"/>
      <c r="B69" s="208" t="s">
        <v>7314</v>
      </c>
    </row>
    <row r="70">
      <c r="A70" s="221"/>
      <c r="B70" s="208" t="s">
        <v>2184</v>
      </c>
    </row>
    <row r="71">
      <c r="A71" s="221"/>
      <c r="B71" s="208" t="s">
        <v>7308</v>
      </c>
    </row>
    <row r="72">
      <c r="A72" s="221"/>
      <c r="B72" s="208" t="s">
        <v>7327</v>
      </c>
    </row>
    <row r="73">
      <c r="A73" s="221"/>
      <c r="B73" s="208" t="s">
        <v>7328</v>
      </c>
    </row>
    <row r="74">
      <c r="A74" s="221"/>
      <c r="B74" s="208" t="s">
        <v>7241</v>
      </c>
    </row>
    <row r="75">
      <c r="A75" s="221"/>
      <c r="B75" s="208" t="s">
        <v>7238</v>
      </c>
    </row>
    <row r="76">
      <c r="A76" s="221"/>
      <c r="B76" s="208" t="s">
        <v>7332</v>
      </c>
    </row>
    <row r="77">
      <c r="A77" s="221"/>
      <c r="B77" s="208" t="s">
        <v>7309</v>
      </c>
    </row>
    <row r="78">
      <c r="A78" s="221"/>
      <c r="B78" s="208" t="s">
        <v>7293</v>
      </c>
    </row>
    <row r="79">
      <c r="A79" s="221"/>
      <c r="B79" s="208" t="s">
        <v>7335</v>
      </c>
    </row>
    <row r="80">
      <c r="A80" s="221"/>
      <c r="B80" s="208" t="s">
        <v>7285</v>
      </c>
    </row>
    <row r="81">
      <c r="A81" s="221"/>
      <c r="B81" s="208" t="s">
        <v>7242</v>
      </c>
    </row>
    <row r="82">
      <c r="A82" s="221"/>
      <c r="B82" s="208" t="s">
        <v>7304</v>
      </c>
    </row>
    <row r="83">
      <c r="A83" s="221"/>
      <c r="B83" s="208" t="s">
        <v>7290</v>
      </c>
    </row>
    <row r="84">
      <c r="A84" s="221"/>
      <c r="B84" s="208" t="s">
        <v>7193</v>
      </c>
    </row>
    <row r="85">
      <c r="A85" s="221"/>
      <c r="B85" s="208" t="s">
        <v>2107</v>
      </c>
    </row>
    <row r="86">
      <c r="A86" s="221"/>
      <c r="B86" s="208" t="s">
        <v>7287</v>
      </c>
    </row>
    <row r="87">
      <c r="A87" s="221"/>
      <c r="B87" s="208" t="s">
        <v>7316</v>
      </c>
    </row>
    <row r="88">
      <c r="A88" s="221"/>
      <c r="B88" s="208" t="s">
        <v>7195</v>
      </c>
    </row>
    <row r="89">
      <c r="A89" s="221"/>
      <c r="B89" s="208" t="s">
        <v>7313</v>
      </c>
    </row>
    <row r="90">
      <c r="A90" s="221"/>
      <c r="B90" s="208" t="s">
        <v>7192</v>
      </c>
    </row>
    <row r="91">
      <c r="A91" s="221"/>
      <c r="B91" s="208" t="s">
        <v>7345</v>
      </c>
    </row>
    <row r="92">
      <c r="A92" s="221"/>
      <c r="B92" s="208" t="s">
        <v>7317</v>
      </c>
    </row>
    <row r="93">
      <c r="A93" s="221"/>
      <c r="B93" s="208" t="s">
        <v>7239</v>
      </c>
    </row>
    <row r="94">
      <c r="A94" s="221"/>
      <c r="B94" s="208" t="s">
        <v>7240</v>
      </c>
    </row>
    <row r="95">
      <c r="A95" s="221"/>
      <c r="B95" s="208" t="s">
        <v>7196</v>
      </c>
    </row>
    <row r="96">
      <c r="A96" s="221"/>
      <c r="B96" s="208" t="s">
        <v>7321</v>
      </c>
    </row>
    <row r="97">
      <c r="A97" s="221"/>
      <c r="B97" s="208" t="s">
        <v>7266</v>
      </c>
    </row>
    <row r="98">
      <c r="A98" s="221"/>
      <c r="B98" s="208" t="s">
        <v>7269</v>
      </c>
    </row>
    <row r="99">
      <c r="A99" s="221"/>
      <c r="B99" s="208" t="s">
        <v>7270</v>
      </c>
    </row>
    <row r="100">
      <c r="A100" s="221"/>
    </row>
    <row r="101">
      <c r="A101" s="221"/>
    </row>
    <row r="102">
      <c r="A102" s="221"/>
    </row>
    <row r="103">
      <c r="A103" s="221"/>
    </row>
    <row r="104">
      <c r="A104" s="221"/>
    </row>
    <row r="105">
      <c r="A105" s="221"/>
    </row>
    <row r="106">
      <c r="A106" s="221"/>
    </row>
    <row r="107">
      <c r="A107" s="221"/>
    </row>
    <row r="108">
      <c r="A108" s="221"/>
    </row>
    <row r="109">
      <c r="A109" s="221"/>
    </row>
    <row r="110">
      <c r="A110" s="221"/>
    </row>
    <row r="111">
      <c r="A111" s="221"/>
    </row>
    <row r="112">
      <c r="A112" s="221"/>
    </row>
    <row r="113">
      <c r="A113" s="221"/>
    </row>
    <row r="114">
      <c r="A114" s="221"/>
    </row>
    <row r="115">
      <c r="A115" s="221"/>
    </row>
    <row r="116">
      <c r="A116" s="221"/>
    </row>
    <row r="117">
      <c r="A117" s="221"/>
    </row>
    <row r="118">
      <c r="A118" s="221"/>
    </row>
    <row r="119">
      <c r="A119" s="221"/>
    </row>
    <row r="120">
      <c r="A120" s="221"/>
    </row>
    <row r="121">
      <c r="A121" s="221"/>
    </row>
    <row r="122">
      <c r="A122" s="221"/>
    </row>
    <row r="123">
      <c r="A123" s="221"/>
    </row>
    <row r="124">
      <c r="A124" s="221"/>
    </row>
    <row r="125">
      <c r="A125" s="221"/>
    </row>
    <row r="126">
      <c r="A126" s="221"/>
    </row>
    <row r="127">
      <c r="A127" s="221"/>
    </row>
    <row r="128">
      <c r="A128" s="221"/>
    </row>
    <row r="129">
      <c r="A129" s="221"/>
    </row>
    <row r="130">
      <c r="A130" s="221"/>
    </row>
    <row r="131">
      <c r="A131" s="221"/>
    </row>
    <row r="132">
      <c r="A132" s="221"/>
    </row>
    <row r="133">
      <c r="A133" s="221"/>
    </row>
    <row r="134">
      <c r="A134" s="221"/>
    </row>
    <row r="135">
      <c r="A135" s="221"/>
    </row>
    <row r="136">
      <c r="A136" s="221"/>
    </row>
    <row r="137">
      <c r="A137" s="221"/>
    </row>
    <row r="138">
      <c r="A138" s="221"/>
    </row>
    <row r="139">
      <c r="A139" s="221"/>
    </row>
    <row r="140">
      <c r="A140" s="221"/>
    </row>
    <row r="141">
      <c r="A141" s="221"/>
    </row>
    <row r="142">
      <c r="A142" s="221"/>
    </row>
    <row r="143">
      <c r="A143" s="221"/>
    </row>
    <row r="144">
      <c r="A144" s="221"/>
    </row>
    <row r="145">
      <c r="A145" s="221"/>
    </row>
    <row r="146">
      <c r="A146" s="221"/>
    </row>
    <row r="147">
      <c r="A147" s="221"/>
    </row>
    <row r="148">
      <c r="A148" s="221"/>
    </row>
    <row r="149">
      <c r="A149" s="221"/>
    </row>
    <row r="150">
      <c r="A150" s="221"/>
    </row>
    <row r="151">
      <c r="A151" s="221"/>
    </row>
    <row r="152">
      <c r="A152" s="221"/>
    </row>
    <row r="153">
      <c r="A153" s="221"/>
    </row>
    <row r="154">
      <c r="A154" s="221"/>
    </row>
    <row r="155">
      <c r="A155" s="221"/>
    </row>
    <row r="156">
      <c r="A156" s="221"/>
    </row>
    <row r="157">
      <c r="A157" s="221"/>
    </row>
    <row r="158">
      <c r="A158" s="221"/>
    </row>
    <row r="159">
      <c r="A159" s="221"/>
    </row>
    <row r="160">
      <c r="A160" s="221"/>
    </row>
    <row r="161">
      <c r="A161" s="221"/>
    </row>
    <row r="162">
      <c r="A162" s="221"/>
    </row>
    <row r="163">
      <c r="A163" s="221"/>
    </row>
    <row r="164">
      <c r="A164" s="221"/>
    </row>
    <row r="165">
      <c r="A165" s="221"/>
    </row>
    <row r="166">
      <c r="A166" s="221"/>
    </row>
    <row r="167">
      <c r="A167" s="221"/>
    </row>
    <row r="168">
      <c r="A168" s="221"/>
    </row>
    <row r="169">
      <c r="A169" s="221"/>
    </row>
    <row r="170">
      <c r="A170" s="221"/>
    </row>
    <row r="171">
      <c r="A171" s="221"/>
    </row>
    <row r="172">
      <c r="A172" s="221"/>
    </row>
    <row r="173">
      <c r="A173" s="221"/>
    </row>
    <row r="174">
      <c r="A174" s="221"/>
    </row>
    <row r="175">
      <c r="A175" s="221"/>
    </row>
  </sheetData>
  <mergeCells count="1">
    <mergeCell ref="A1:F1"/>
  </mergeCells>
  <drawing r:id="rId2"/>
  <legacyDrawing r:id="rId3"/>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0000"/>
    <outlinePr summaryBelow="0" summaryRight="0"/>
  </sheetPr>
  <sheetViews>
    <sheetView workbookViewId="0"/>
  </sheetViews>
  <sheetFormatPr customHeight="1" defaultColWidth="12.63" defaultRowHeight="15.75"/>
  <cols>
    <col customWidth="1" min="1" max="1" width="18.13"/>
    <col customWidth="1" min="4" max="4" width="16.75"/>
    <col customWidth="1" min="7" max="7" width="17.88"/>
    <col customWidth="1" min="9" max="13" width="18.88"/>
  </cols>
  <sheetData>
    <row r="1">
      <c r="A1" s="204" t="s">
        <v>7615</v>
      </c>
      <c r="G1" s="700"/>
      <c r="H1" s="599"/>
      <c r="I1" s="700"/>
    </row>
    <row r="2">
      <c r="A2" s="205" t="s">
        <v>7616</v>
      </c>
      <c r="C2" s="208" t="s">
        <v>7617</v>
      </c>
      <c r="D2" s="700" t="s">
        <v>7618</v>
      </c>
      <c r="E2" s="700" t="s">
        <v>7619</v>
      </c>
      <c r="G2" s="700" t="s">
        <v>7619</v>
      </c>
      <c r="H2" s="719" t="s">
        <v>7620</v>
      </c>
      <c r="I2" s="720" t="s">
        <v>7621</v>
      </c>
      <c r="J2" s="90"/>
    </row>
    <row r="3">
      <c r="A3" s="51" t="str">
        <f>IFERROR(__xludf.DUMMYFUNCTION("UNIQUE({Advancements!S2:S2304;ItemsBlocks!B2:B2304})"),"")</f>
        <v/>
      </c>
      <c r="C3" s="208">
        <v>1.0</v>
      </c>
      <c r="D3" s="721" t="s">
        <v>290</v>
      </c>
      <c r="E3" s="722" t="s">
        <v>7622</v>
      </c>
      <c r="G3" s="722" t="s">
        <v>20</v>
      </c>
      <c r="H3" s="723">
        <v>23.0</v>
      </c>
      <c r="I3" s="175" t="str">
        <f>IFERROR(__xludf.DUMMYFUNCTION("IFERROR(TRANSPOSE(FILTER($D$3:$D2304, $E$3:$E2304=G3)),"""")"),"All Mobs")</f>
        <v>All Mobs</v>
      </c>
      <c r="J3" s="51" t="str">
        <f>IFERROR(__xludf.DUMMYFUNCTION("""COMPUTED_VALUE"""),"HDWGH")</f>
        <v>HDWGH</v>
      </c>
      <c r="K3" s="51" t="str">
        <f>IFERROR(__xludf.DUMMYFUNCTION("""COMPUTED_VALUE"""),"Raids")</f>
        <v>Raids</v>
      </c>
      <c r="L3" s="51" t="str">
        <f>IFERROR(__xludf.DUMMYFUNCTION("""COMPUTED_VALUE"""),"Warden")</f>
        <v>Warden</v>
      </c>
      <c r="M3" s="51" t="str">
        <f>IFERROR(__xludf.DUMMYFUNCTION("""COMPUTED_VALUE"""),"All Deaths")</f>
        <v>All Deaths</v>
      </c>
      <c r="N3" s="51" t="str">
        <f>IFERROR(__xludf.DUMMYFUNCTION("""COMPUTED_VALUE"""),"Phantom")</f>
        <v>Phantom</v>
      </c>
    </row>
    <row r="4">
      <c r="A4" s="51" t="str">
        <f>IFERROR(__xludf.DUMMYFUNCTION("""COMPUTED_VALUE"""),"Misc")</f>
        <v>Misc</v>
      </c>
      <c r="C4" s="208">
        <v>1.0</v>
      </c>
      <c r="D4" s="724" t="s">
        <v>267</v>
      </c>
      <c r="E4" s="232" t="s">
        <v>20</v>
      </c>
      <c r="G4" s="232" t="s">
        <v>7623</v>
      </c>
      <c r="H4" s="725">
        <v>23.0</v>
      </c>
      <c r="I4" s="175" t="str">
        <f>IFERROR(__xludf.DUMMYFUNCTION("IFERROR(TRANSPOSE(FILTER($D$3:$D2304, $E$3:$E2304=G4)),"""")"),"Nether Roof")</f>
        <v>Nether Roof</v>
      </c>
      <c r="J4" s="51" t="str">
        <f>IFERROR(__xludf.DUMMYFUNCTION("""COMPUTED_VALUE"""),"Undying Fandom")</f>
        <v>Undying Fandom</v>
      </c>
      <c r="K4" s="51" t="str">
        <f>IFERROR(__xludf.DUMMYFUNCTION("""COMPUTED_VALUE"""),"Pots")</f>
        <v>Pots</v>
      </c>
    </row>
    <row r="5">
      <c r="A5" s="51" t="str">
        <f>IFERROR(__xludf.DUMMYFUNCTION("""COMPUTED_VALUE"""),"All Mobs")</f>
        <v>All Mobs</v>
      </c>
      <c r="D5" s="232" t="s">
        <v>3165</v>
      </c>
      <c r="E5" s="232" t="s">
        <v>7624</v>
      </c>
      <c r="G5" s="232" t="s">
        <v>7625</v>
      </c>
      <c r="H5" s="725">
        <v>5.0</v>
      </c>
      <c r="I5" s="175" t="str">
        <f>IFERROR(__xludf.DUMMYFUNCTION("IFERROR(TRANSPOSE(FILTER($D$3:$D2304, $E$3:$E2304=G5)),"""")"),"")</f>
        <v/>
      </c>
    </row>
    <row r="6">
      <c r="A6" s="51" t="str">
        <f>IFERROR(__xludf.DUMMYFUNCTION("""COMPUTED_VALUE"""),"All Items")</f>
        <v>All Items</v>
      </c>
      <c r="D6" s="208" t="s">
        <v>3943</v>
      </c>
      <c r="E6" s="208" t="s">
        <v>7626</v>
      </c>
      <c r="G6" s="232" t="s">
        <v>7626</v>
      </c>
      <c r="H6" s="725">
        <v>25.0</v>
      </c>
      <c r="I6" s="175" t="str">
        <f>IFERROR(__xludf.DUMMYFUNCTION("IFERROR(TRANSPOSE(FILTER($D$3:$D2304, $E$3:$E2304=G6)),"""")"),"End Explorer 
(100k)")</f>
        <v>End Explorer 
(100k)</v>
      </c>
      <c r="J6" s="51" t="str">
        <f>IFERROR(__xludf.DUMMYFUNCTION("""COMPUTED_VALUE"""),"Looter")</f>
        <v>Looter</v>
      </c>
      <c r="K6" s="51" t="str">
        <f>IFERROR(__xludf.DUMMYFUNCTION("""COMPUTED_VALUE"""),"Ancient City")</f>
        <v>Ancient City</v>
      </c>
      <c r="L6" s="51" t="str">
        <f>IFERROR(__xludf.DUMMYFUNCTION("""COMPUTED_VALUE"""),"Explorers
(Shared)")</f>
        <v>Explorers
(Shared)</v>
      </c>
    </row>
    <row r="7">
      <c r="A7" s="51" t="str">
        <f>IFERROR(__xludf.DUMMYFUNCTION("""COMPUTED_VALUE"""),"World Height")</f>
        <v>World Height</v>
      </c>
      <c r="D7" s="208" t="s">
        <v>5909</v>
      </c>
      <c r="E7" s="208" t="s">
        <v>7627</v>
      </c>
      <c r="G7" s="232" t="s">
        <v>7624</v>
      </c>
      <c r="H7" s="725">
        <v>25.0</v>
      </c>
      <c r="I7" s="175" t="str">
        <f>IFERROR(__xludf.DUMMYFUNCTION("IFERROR(TRANSPOSE(FILTER($D$3:$D2304, $E$3:$E2304=G7)),"""")"),"Vaccination")</f>
        <v>Vaccination</v>
      </c>
      <c r="J7" s="51" t="str">
        <f>IFERROR(__xludf.DUMMYFUNCTION("""COMPUTED_VALUE"""),"Explorers
(Shared)")</f>
        <v>Explorers
(Shared)</v>
      </c>
      <c r="K7" s="51" t="str">
        <f>IFERROR(__xludf.DUMMYFUNCTION("""COMPUTED_VALUE"""),"World Height")</f>
        <v>World Height</v>
      </c>
    </row>
    <row r="8">
      <c r="A8" s="51" t="str">
        <f>IFERROR(__xludf.DUMMYFUNCTION("""COMPUTED_VALUE"""),"Crafting")</f>
        <v>Crafting</v>
      </c>
      <c r="D8" s="232" t="s">
        <v>2891</v>
      </c>
      <c r="E8" s="232" t="s">
        <v>7626</v>
      </c>
      <c r="G8" s="232" t="s">
        <v>7628</v>
      </c>
      <c r="H8" s="725">
        <v>25.0</v>
      </c>
      <c r="I8" s="175" t="str">
        <f>IFERROR(__xludf.DUMMYFUNCTION("IFERROR(TRANSPOSE(FILTER($D$3:$D2304, $E$3:$E2304=G8)),"""")"),"")</f>
        <v/>
      </c>
    </row>
    <row r="9">
      <c r="A9" s="51" t="str">
        <f>IFERROR(__xludf.DUMMYFUNCTION("""COMPUTED_VALUE"""),"Pacelocks")</f>
        <v>Pacelocks</v>
      </c>
      <c r="D9" s="232" t="s">
        <v>423</v>
      </c>
      <c r="E9" s="232" t="s">
        <v>7622</v>
      </c>
      <c r="G9" s="232" t="s">
        <v>7629</v>
      </c>
      <c r="H9" s="725">
        <v>23.0</v>
      </c>
      <c r="I9" s="175" t="str">
        <f>IFERROR(__xludf.DUMMYFUNCTION("IFERROR(TRANSPOSE(FILTER($D$3:$D2304, $E$3:$E2304=G9)),"""")"),"Archaeology")</f>
        <v>Archaeology</v>
      </c>
      <c r="J9" s="51" t="str">
        <f>IFERROR(__xludf.DUMMYFUNCTION("""COMPUTED_VALUE"""),"Trials")</f>
        <v>Trials</v>
      </c>
      <c r="K9" s="51" t="str">
        <f>IFERROR(__xludf.DUMMYFUNCTION("""COMPUTED_VALUE"""),"Explorers
(Shared)")</f>
        <v>Explorers
(Shared)</v>
      </c>
    </row>
    <row r="10">
      <c r="A10" s="51" t="str">
        <f>IFERROR(__xludf.DUMMYFUNCTION("""COMPUTED_VALUE"""),"Breaking")</f>
        <v>Breaking</v>
      </c>
      <c r="D10" s="232" t="s">
        <v>1437</v>
      </c>
      <c r="E10" s="232" t="s">
        <v>7627</v>
      </c>
      <c r="G10" s="232" t="s">
        <v>7630</v>
      </c>
      <c r="H10" s="725">
        <v>25.0</v>
      </c>
      <c r="I10" s="175" t="str">
        <f>IFERROR(__xludf.DUMMYFUNCTION("IFERROR(TRANSPOSE(FILTER($D$3:$D2304, $E$3:$E2304=G10)),"""")"),"Ores")</f>
        <v>Ores</v>
      </c>
      <c r="J10" s="51" t="str">
        <f>IFERROR(__xludf.DUMMYFUNCTION("""COMPUTED_VALUE"""),"Explorers
(Shared)")</f>
        <v>Explorers
(Shared)</v>
      </c>
    </row>
    <row r="11">
      <c r="A11" s="51" t="str">
        <f>IFERROR(__xludf.DUMMYFUNCTION("""COMPUTED_VALUE"""),"Trials")</f>
        <v>Trials</v>
      </c>
      <c r="D11" s="232" t="s">
        <v>1178</v>
      </c>
      <c r="E11" s="232" t="s">
        <v>7622</v>
      </c>
      <c r="G11" s="232" t="s">
        <v>7631</v>
      </c>
      <c r="H11" s="725">
        <v>21.0</v>
      </c>
      <c r="I11" s="175" t="str">
        <f>IFERROR(__xludf.DUMMYFUNCTION("IFERROR(TRANSPOSE(FILTER($D$3:$D2304, $E$3:$E2304=G11)),"""")"),"")</f>
        <v/>
      </c>
    </row>
    <row r="12">
      <c r="A12" s="51" t="str">
        <f>IFERROR(__xludf.DUMMYFUNCTION("""COMPUTED_VALUE"""),"Blocks Misc.")</f>
        <v>Blocks Misc.</v>
      </c>
      <c r="D12" s="232" t="s">
        <v>3218</v>
      </c>
      <c r="E12" s="232" t="s">
        <v>7622</v>
      </c>
      <c r="G12" s="232" t="s">
        <v>7622</v>
      </c>
      <c r="H12" s="725">
        <v>25.0</v>
      </c>
      <c r="I12" s="175" t="str">
        <f>IFERROR(__xludf.DUMMYFUNCTION("IFERROR(TRANSPOSE(FILTER($D$3:$D2304, $E$3:$E2304=G12)),"""")"),"All Items")</f>
        <v>All Items</v>
      </c>
      <c r="J12" s="51" t="str">
        <f>IFERROR(__xludf.DUMMYFUNCTION("""COMPUTED_VALUE"""),"Crafting")</f>
        <v>Crafting</v>
      </c>
      <c r="K12" s="51" t="str">
        <f>IFERROR(__xludf.DUMMYFUNCTION("""COMPUTED_VALUE"""),"Blocks Misc.")</f>
        <v>Blocks Misc.</v>
      </c>
      <c r="L12" s="51" t="str">
        <f>IFERROR(__xludf.DUMMYFUNCTION("""COMPUTED_VALUE"""),"Trader")</f>
        <v>Trader</v>
      </c>
      <c r="M12" s="51" t="str">
        <f>IFERROR(__xludf.DUMMYFUNCTION("""COMPUTED_VALUE"""),"Breaking")</f>
        <v>Breaking</v>
      </c>
    </row>
    <row r="13">
      <c r="A13" s="51" t="str">
        <f>IFERROR(__xludf.DUMMYFUNCTION("""COMPUTED_VALUE"""),"All Deaths")</f>
        <v>All Deaths</v>
      </c>
      <c r="D13" s="51" t="s">
        <v>2905</v>
      </c>
      <c r="E13" s="232" t="s">
        <v>7629</v>
      </c>
      <c r="G13" s="232" t="s">
        <v>7632</v>
      </c>
      <c r="H13" s="725">
        <v>4.0</v>
      </c>
      <c r="I13" s="175" t="str">
        <f>IFERROR(__xludf.DUMMYFUNCTION("IFERROR(TRANSPOSE(FILTER($D$3:$D2304, $E$3:$E2304=G13)),"""")"),"")</f>
        <v/>
      </c>
    </row>
    <row r="14">
      <c r="A14" s="51" t="str">
        <f>IFERROR(__xludf.DUMMYFUNCTION("""COMPUTED_VALUE"""),"Explorers
(shared)")</f>
        <v>Explorers
(shared)</v>
      </c>
      <c r="D14" s="232" t="s">
        <v>117</v>
      </c>
      <c r="E14" s="232" t="s">
        <v>7626</v>
      </c>
      <c r="G14" s="232" t="s">
        <v>7633</v>
      </c>
      <c r="H14" s="725">
        <v>13.0</v>
      </c>
      <c r="I14" s="175" t="str">
        <f>IFERROR(__xludf.DUMMYFUNCTION("IFERROR(TRANSPOSE(FILTER($D$3:$D2304, $E$3:$E2304=G14)),"""")"),"Nether Exploring")</f>
        <v>Nether Exploring</v>
      </c>
      <c r="J14" s="51" t="str">
        <f>IFERROR(__xludf.DUMMYFUNCTION("""COMPUTED_VALUE"""),"Trials")</f>
        <v>Trials</v>
      </c>
      <c r="K14" s="51" t="str">
        <f>IFERROR(__xludf.DUMMYFUNCTION("""COMPUTED_VALUE"""),"Explorers
(Shared)")</f>
        <v>Explorers
(Shared)</v>
      </c>
      <c r="L14" s="51" t="str">
        <f>IFERROR(__xludf.DUMMYFUNCTION("""COMPUTED_VALUE"""),"Nether Mobs")</f>
        <v>Nether Mobs</v>
      </c>
      <c r="M14" s="51" t="str">
        <f>IFERROR(__xludf.DUMMYFUNCTION("""COMPUTED_VALUE"""),"Goats")</f>
        <v>Goats</v>
      </c>
    </row>
    <row r="15">
      <c r="A15" s="51" t="str">
        <f>IFERROR(__xludf.DUMMYFUNCTION("""COMPUTED_VALUE"""),"Apple a Day")</f>
        <v>Apple a Day</v>
      </c>
      <c r="D15" s="232" t="s">
        <v>2143</v>
      </c>
      <c r="E15" s="232" t="s">
        <v>7634</v>
      </c>
      <c r="G15" s="232" t="s">
        <v>7635</v>
      </c>
      <c r="H15" s="725">
        <v>22.0</v>
      </c>
      <c r="I15" s="175" t="str">
        <f>IFERROR(__xludf.DUMMYFUNCTION("IFERROR(TRANSPOSE(FILTER($D$3:$D2304, $E$3:$E2304=G15)),"""")"),"XP")</f>
        <v>XP</v>
      </c>
    </row>
    <row r="16">
      <c r="A16" s="51" t="str">
        <f>IFERROR(__xludf.DUMMYFUNCTION("""COMPUTED_VALUE"""),"Eating")</f>
        <v>Eating</v>
      </c>
      <c r="D16" s="232" t="s">
        <v>1353</v>
      </c>
      <c r="E16" s="232" t="s">
        <v>7627</v>
      </c>
      <c r="G16" s="232" t="s">
        <v>7627</v>
      </c>
      <c r="H16" s="725">
        <v>23.0</v>
      </c>
      <c r="I16" s="175" t="str">
        <f>IFERROR(__xludf.DUMMYFUNCTION("IFERROR(TRANSPOSE(FILTER($D$3:$D2304, $E$3:$E2304=G16)),"""")"),"Drowned Farm")</f>
        <v>Drowned Farm</v>
      </c>
      <c r="J16" s="51" t="str">
        <f>IFERROR(__xludf.DUMMYFUNCTION("""COMPUTED_VALUE"""),"Eating")</f>
        <v>Eating</v>
      </c>
      <c r="K16" s="51" t="str">
        <f>IFERROR(__xludf.DUMMYFUNCTION("""COMPUTED_VALUE"""),"Apple a Day")</f>
        <v>Apple a Day</v>
      </c>
      <c r="L16" s="51" t="str">
        <f>IFERROR(__xludf.DUMMYFUNCTION("""COMPUTED_VALUE"""),"Barter")</f>
        <v>Barter</v>
      </c>
    </row>
    <row r="17">
      <c r="A17" s="51" t="str">
        <f>IFERROR(__xludf.DUMMYFUNCTION("""COMPUTED_VALUE"""),"afk")</f>
        <v>afk</v>
      </c>
      <c r="D17" s="232" t="s">
        <v>4936</v>
      </c>
      <c r="E17" s="232" t="s">
        <v>20</v>
      </c>
      <c r="G17" s="232" t="s">
        <v>7636</v>
      </c>
      <c r="H17" s="725">
        <v>23.0</v>
      </c>
      <c r="I17" s="175" t="str">
        <f>IFERROR(__xludf.DUMMYFUNCTION("IFERROR(TRANSPOSE(FILTER($D$3:$D2304, $E$3:$E2304=G17)),"""")"),"Bosses 2")</f>
        <v>Bosses 2</v>
      </c>
      <c r="J17" s="51" t="str">
        <f>IFERROR(__xludf.DUMMYFUNCTION("""COMPUTED_VALUE"""),"Explorers
(Shared)")</f>
        <v>Explorers
(Shared)</v>
      </c>
    </row>
    <row r="18">
      <c r="A18" s="51" t="str">
        <f>IFERROR(__xludf.DUMMYFUNCTION("""COMPUTED_VALUE"""),"Explorer")</f>
        <v>Explorer</v>
      </c>
      <c r="D18" s="232" t="s">
        <v>5992</v>
      </c>
      <c r="E18" s="232" t="s">
        <v>7633</v>
      </c>
      <c r="G18" s="232" t="s">
        <v>7637</v>
      </c>
      <c r="H18" s="725">
        <v>3.0</v>
      </c>
      <c r="I18" s="175" t="str">
        <f>IFERROR(__xludf.DUMMYFUNCTION("IFERROR(TRANSPOSE(FILTER($D$3:$D2304, $E$3:$E2304=G18)),"""")"),"")</f>
        <v/>
      </c>
    </row>
    <row r="19">
      <c r="A19" s="51" t="str">
        <f>IFERROR(__xludf.DUMMYFUNCTION("""COMPUTED_VALUE"""),"Ancient City")</f>
        <v>Ancient City</v>
      </c>
      <c r="D19" s="232" t="s">
        <v>3641</v>
      </c>
      <c r="E19" s="232" t="s">
        <v>7638</v>
      </c>
      <c r="G19" s="208" t="s">
        <v>7639</v>
      </c>
      <c r="H19" s="709">
        <v>8.0</v>
      </c>
      <c r="I19" s="175" t="str">
        <f>IFERROR(__xludf.DUMMYFUNCTION("IFERROR(TRANSPOSE(FILTER($D$3:$D2304, $E$3:$E2304=G19)),"""")"),"Bosses")</f>
        <v>Bosses</v>
      </c>
    </row>
    <row r="20">
      <c r="A20" s="51" t="str">
        <f>IFERROR(__xludf.DUMMYFUNCTION("""COMPUTED_VALUE"""),"Raids")</f>
        <v>Raids</v>
      </c>
      <c r="D20" s="208" t="s">
        <v>4683</v>
      </c>
      <c r="E20" s="208" t="s">
        <v>7639</v>
      </c>
      <c r="G20" s="208" t="s">
        <v>7640</v>
      </c>
      <c r="H20" s="726">
        <v>16.0</v>
      </c>
      <c r="I20" s="175" t="str">
        <f>IFERROR(__xludf.DUMMYFUNCTION("IFERROR(TRANSPOSE(FILTER($D$3:$D2304, $E$3:$E2304=G20)),"""")"),"")</f>
        <v/>
      </c>
    </row>
    <row r="21">
      <c r="A21" s="51" t="str">
        <f>IFERROR(__xludf.DUMMYFUNCTION("""COMPUTED_VALUE"""),"Goats")</f>
        <v>Goats</v>
      </c>
      <c r="D21" s="208" t="s">
        <v>1863</v>
      </c>
      <c r="E21" s="208" t="s">
        <v>20</v>
      </c>
      <c r="G21" s="208" t="s">
        <v>7634</v>
      </c>
      <c r="H21" s="709">
        <v>25.0</v>
      </c>
      <c r="I21" s="175" t="str">
        <f>IFERROR(__xludf.DUMMYFUNCTION("IFERROR(TRANSPOSE(FILTER($D$3:$D2304, $E$3:$E2304=G21)),"""")"),"Axolotl Breeder")</f>
        <v>Axolotl Breeder</v>
      </c>
      <c r="J21" s="51" t="str">
        <f>IFERROR(__xludf.DUMMYFUNCTION("""COMPUTED_VALUE"""),"Breeding")</f>
        <v>Breeding</v>
      </c>
      <c r="X21" s="727"/>
    </row>
    <row r="22">
      <c r="A22" s="51" t="str">
        <f>IFERROR(__xludf.DUMMYFUNCTION("""COMPUTED_VALUE"""),"Mob Misc.")</f>
        <v>Mob Misc.</v>
      </c>
      <c r="D22" s="232" t="s">
        <v>5110</v>
      </c>
      <c r="E22" s="232" t="s">
        <v>7630</v>
      </c>
      <c r="G22" s="728" t="s">
        <v>7641</v>
      </c>
      <c r="H22" s="46"/>
      <c r="I22" s="729" t="s">
        <v>5302</v>
      </c>
      <c r="X22" s="727"/>
    </row>
    <row r="23">
      <c r="A23" s="51" t="str">
        <f>IFERROR(__xludf.DUMMYFUNCTION("""COMPUTED_VALUE"""),"Breeding")</f>
        <v>Breeding</v>
      </c>
      <c r="D23" s="232" t="s">
        <v>2559</v>
      </c>
      <c r="E23" s="232" t="s">
        <v>20</v>
      </c>
      <c r="G23" s="208" t="s">
        <v>28</v>
      </c>
      <c r="H23" s="730"/>
      <c r="I23" s="175" t="str">
        <f>IFERROR(__xludf.DUMMYFUNCTION("IFERROR(TRANSPOSE(FILTER($D$3:$D2304, $E$3:$E2304=G23)),"""")"),"Breeding")</f>
        <v>Breeding</v>
      </c>
      <c r="J23" s="51" t="str">
        <f>IFERROR(__xludf.DUMMYFUNCTION("""COMPUTED_VALUE"""),"afk")</f>
        <v>afk</v>
      </c>
      <c r="K23" s="51" t="str">
        <f>IFERROR(__xludf.DUMMYFUNCTION("""COMPUTED_VALUE"""),"Pacelocks")</f>
        <v>Pacelocks</v>
      </c>
    </row>
    <row r="24">
      <c r="A24" s="51" t="str">
        <f>IFERROR(__xludf.DUMMYFUNCTION("""COMPUTED_VALUE"""),"Axolotl Breeder")</f>
        <v>Axolotl Breeder</v>
      </c>
      <c r="D24" s="232" t="s">
        <v>993</v>
      </c>
      <c r="E24" s="232" t="s">
        <v>7629</v>
      </c>
      <c r="G24" s="208" t="s">
        <v>7552</v>
      </c>
      <c r="H24" s="730"/>
      <c r="I24" s="175" t="str">
        <f>IFERROR(__xludf.DUMMYFUNCTION("IFERROR(TRANSPOSE(FILTER($D$3:$D2304, $E$3:$E2304=G24)),"""")"),"Mob Misc.")</f>
        <v>Mob Misc.</v>
      </c>
      <c r="J24" s="51" t="str">
        <f>IFERROR(__xludf.DUMMYFUNCTION("""COMPUTED_VALUE"""),"Misc")</f>
        <v>Misc</v>
      </c>
      <c r="K24" s="51" t="str">
        <f>IFERROR(__xludf.DUMMYFUNCTION("""COMPUTED_VALUE"""),"Name Tag")</f>
        <v>Name Tag</v>
      </c>
      <c r="L24" s="51" t="str">
        <f>IFERROR(__xludf.DUMMYFUNCTION("""COMPUTED_VALUE"""),"Music")</f>
        <v>Music</v>
      </c>
      <c r="M24" s="51" t="str">
        <f>IFERROR(__xludf.DUMMYFUNCTION("""COMPUTED_VALUE"""),"1 million")</f>
        <v>1 million</v>
      </c>
      <c r="N24" s="51" t="str">
        <f>IFERROR(__xludf.DUMMYFUNCTION("""COMPUTED_VALUE"""),"Nether Mobs")</f>
        <v>Nether Mobs</v>
      </c>
      <c r="O24" s="51" t="str">
        <f>IFERROR(__xludf.DUMMYFUNCTION("""COMPUTED_VALUE"""),"Allay")</f>
        <v>Allay</v>
      </c>
      <c r="P24" s="51" t="str">
        <f>IFERROR(__xludf.DUMMYFUNCTION("""COMPUTED_VALUE"""),"Netherite")</f>
        <v>Netherite</v>
      </c>
      <c r="Q24" s="51" t="str">
        <f>IFERROR(__xludf.DUMMYFUNCTION("""COMPUTED_VALUE"""),"Riddle")</f>
        <v>Riddle</v>
      </c>
    </row>
    <row r="25">
      <c r="A25" s="51" t="str">
        <f>IFERROR(__xludf.DUMMYFUNCTION("""COMPUTED_VALUE"""),"Phantom")</f>
        <v>Phantom</v>
      </c>
      <c r="D25" s="232" t="s">
        <v>993</v>
      </c>
      <c r="E25" s="232" t="s">
        <v>7633</v>
      </c>
      <c r="G25" s="208" t="s">
        <v>7642</v>
      </c>
      <c r="H25" s="730"/>
      <c r="I25" s="175" t="str">
        <f>IFERROR(__xludf.DUMMYFUNCTION("IFERROR(TRANSPOSE(FILTER($D$3:$D2304, $E$3:$E2304=G25)),"""")"),"Explorer")</f>
        <v>Explorer</v>
      </c>
      <c r="J25" s="51" t="str">
        <f>IFERROR(__xludf.DUMMYFUNCTION("""COMPUTED_VALUE"""),"Explorers
(Shared)")</f>
        <v>Explorers
(Shared)</v>
      </c>
      <c r="K25" s="51" t="str">
        <f>IFERROR(__xludf.DUMMYFUNCTION("""COMPUTED_VALUE"""),"Nether Mobs")</f>
        <v>Nether Mobs</v>
      </c>
    </row>
    <row r="26">
      <c r="A26" s="51" t="str">
        <f>IFERROR(__xludf.DUMMYFUNCTION("""COMPUTED_VALUE"""),"Warden")</f>
        <v>Warden</v>
      </c>
      <c r="D26" s="232" t="s">
        <v>4133</v>
      </c>
      <c r="E26" s="232" t="s">
        <v>7627</v>
      </c>
      <c r="H26" s="730"/>
      <c r="I26" s="175" t="str">
        <f>IFERROR(__xludf.DUMMYFUNCTION("IFERROR(TRANSPOSE(FILTER($D$3:$D2304, $E$3:$E2304=G26)),"""")"),"")</f>
        <v/>
      </c>
      <c r="J26" s="51"/>
      <c r="K26" s="51"/>
      <c r="L26" s="51"/>
      <c r="M26" s="51"/>
      <c r="N26" s="51"/>
      <c r="O26" s="51"/>
      <c r="P26" s="51"/>
      <c r="Q26" s="51"/>
      <c r="R26" s="51"/>
      <c r="S26" s="51"/>
      <c r="T26" s="51"/>
      <c r="U26" s="51"/>
      <c r="V26" s="51"/>
      <c r="W26" s="51"/>
      <c r="X26" s="51"/>
      <c r="Y26" s="51"/>
      <c r="Z26" s="51"/>
      <c r="AA26" s="51"/>
      <c r="AB26" s="51"/>
      <c r="AC26" s="51"/>
      <c r="AD26" s="51"/>
      <c r="AE26" s="51"/>
      <c r="AF26" s="51"/>
      <c r="AG26" s="51"/>
      <c r="AH26" s="51"/>
      <c r="AI26" s="51"/>
      <c r="AJ26" s="51"/>
      <c r="AK26" s="51"/>
      <c r="AL26" s="51"/>
      <c r="AM26" s="51"/>
      <c r="AN26" s="51"/>
      <c r="AO26" s="51"/>
      <c r="AP26" s="51"/>
      <c r="AQ26" s="51"/>
      <c r="AR26" s="51"/>
      <c r="AS26" s="51"/>
      <c r="AT26" s="51"/>
      <c r="AU26" s="51"/>
      <c r="AV26" s="51"/>
      <c r="AW26" s="51"/>
      <c r="AX26" s="51"/>
      <c r="AY26" s="51"/>
      <c r="AZ26" s="51"/>
      <c r="BA26" s="51"/>
      <c r="BB26" s="51"/>
      <c r="BC26" s="51"/>
      <c r="BD26" s="51"/>
      <c r="BE26" s="51"/>
      <c r="BF26" s="51"/>
      <c r="BG26" s="51"/>
      <c r="BH26" s="51"/>
    </row>
    <row r="27">
      <c r="A27" s="51" t="str">
        <f>IFERROR(__xludf.DUMMYFUNCTION("""COMPUTED_VALUE"""),"Name Tag")</f>
        <v>Name Tag</v>
      </c>
      <c r="D27" s="232" t="s">
        <v>3053</v>
      </c>
      <c r="E27" s="232" t="s">
        <v>7636</v>
      </c>
      <c r="H27" s="221"/>
    </row>
    <row r="28">
      <c r="A28" s="51" t="str">
        <f>IFERROR(__xludf.DUMMYFUNCTION("""COMPUTED_VALUE"""),"Music")</f>
        <v>Music</v>
      </c>
      <c r="D28" s="232" t="s">
        <v>6802</v>
      </c>
      <c r="E28" s="232" t="s">
        <v>7630</v>
      </c>
    </row>
    <row r="29">
      <c r="A29" s="51" t="str">
        <f>IFERROR(__xludf.DUMMYFUNCTION("""COMPUTED_VALUE"""),"Looter")</f>
        <v>Looter</v>
      </c>
      <c r="D29" s="232" t="s">
        <v>6802</v>
      </c>
      <c r="E29" s="208" t="s">
        <v>7626</v>
      </c>
      <c r="H29" s="221"/>
    </row>
    <row r="30">
      <c r="A30" s="51" t="str">
        <f>IFERROR(__xludf.DUMMYFUNCTION("""COMPUTED_VALUE"""),"Archaeology")</f>
        <v>Archaeology</v>
      </c>
      <c r="D30" s="232" t="s">
        <v>6802</v>
      </c>
      <c r="E30" s="232" t="s">
        <v>7624</v>
      </c>
      <c r="H30" s="221"/>
    </row>
    <row r="31">
      <c r="A31" s="51" t="str">
        <f>IFERROR(__xludf.DUMMYFUNCTION("""COMPUTED_VALUE"""),"Bosses 2")</f>
        <v>Bosses 2</v>
      </c>
      <c r="D31" s="232" t="s">
        <v>6802</v>
      </c>
      <c r="E31" s="208" t="s">
        <v>7629</v>
      </c>
      <c r="H31" s="221"/>
    </row>
    <row r="32">
      <c r="A32" s="51" t="str">
        <f>IFERROR(__xludf.DUMMYFUNCTION("""COMPUTED_VALUE"""),"Undying Fandom")</f>
        <v>Undying Fandom</v>
      </c>
      <c r="D32" s="232" t="s">
        <v>6802</v>
      </c>
      <c r="E32" s="208" t="s">
        <v>7633</v>
      </c>
      <c r="H32" s="221"/>
    </row>
    <row r="33">
      <c r="A33" s="51" t="str">
        <f>IFERROR(__xludf.DUMMYFUNCTION("""COMPUTED_VALUE"""),"Allay")</f>
        <v>Allay</v>
      </c>
      <c r="D33" s="232" t="s">
        <v>4425</v>
      </c>
      <c r="E33" s="208" t="s">
        <v>7623</v>
      </c>
      <c r="H33" s="221"/>
    </row>
    <row r="34">
      <c r="A34" s="51" t="str">
        <f>IFERROR(__xludf.DUMMYFUNCTION("""COMPUTED_VALUE"""),"Vaccination")</f>
        <v>Vaccination</v>
      </c>
      <c r="D34" s="232" t="s">
        <v>3057</v>
      </c>
      <c r="E34" s="208" t="s">
        <v>7623</v>
      </c>
      <c r="H34" s="221"/>
    </row>
    <row r="35">
      <c r="A35" s="51" t="str">
        <f>IFERROR(__xludf.DUMMYFUNCTION("""COMPUTED_VALUE"""),"Trader")</f>
        <v>Trader</v>
      </c>
      <c r="D35" s="208" t="s">
        <v>594</v>
      </c>
      <c r="E35" s="208" t="s">
        <v>7622</v>
      </c>
      <c r="H35" s="221"/>
    </row>
    <row r="36">
      <c r="A36" s="51" t="str">
        <f>IFERROR(__xludf.DUMMYFUNCTION("""COMPUTED_VALUE"""),"XP")</f>
        <v>XP</v>
      </c>
      <c r="D36" s="208" t="s">
        <v>1276</v>
      </c>
      <c r="E36" s="208" t="s">
        <v>20</v>
      </c>
      <c r="H36" s="221"/>
    </row>
    <row r="37">
      <c r="A37" s="51" t="str">
        <f>IFERROR(__xludf.DUMMYFUNCTION("""COMPUTED_VALUE"""),"End Explorer 
(100k)")</f>
        <v>End Explorer 
(100k)</v>
      </c>
      <c r="D37" s="51" t="s">
        <v>1991</v>
      </c>
      <c r="E37" s="232" t="s">
        <v>7634</v>
      </c>
      <c r="H37" s="221"/>
    </row>
    <row r="38">
      <c r="A38" s="51" t="str">
        <f>IFERROR(__xludf.DUMMYFUNCTION("""COMPUTED_VALUE"""),"Nether Mobs")</f>
        <v>Nether Mobs</v>
      </c>
      <c r="D38" s="232" t="s">
        <v>4513</v>
      </c>
      <c r="E38" s="232" t="s">
        <v>7623</v>
      </c>
      <c r="H38" s="221"/>
    </row>
    <row r="39">
      <c r="A39" s="51" t="str">
        <f>IFERROR(__xludf.DUMMYFUNCTION("""COMPUTED_VALUE"""),"Barter")</f>
        <v>Barter</v>
      </c>
      <c r="D39" s="208" t="s">
        <v>4104</v>
      </c>
      <c r="E39" s="208" t="s">
        <v>7633</v>
      </c>
      <c r="H39" s="221"/>
    </row>
    <row r="40">
      <c r="A40" s="51" t="str">
        <f>IFERROR(__xludf.DUMMYFUNCTION("""COMPUTED_VALUE"""),"Nether Roof")</f>
        <v>Nether Roof</v>
      </c>
      <c r="D40" s="208" t="s">
        <v>1869</v>
      </c>
      <c r="E40" s="208" t="s">
        <v>7633</v>
      </c>
      <c r="H40" s="221"/>
    </row>
    <row r="41">
      <c r="A41" s="51" t="str">
        <f>IFERROR(__xludf.DUMMYFUNCTION("""COMPUTED_VALUE"""),"Pots")</f>
        <v>Pots</v>
      </c>
      <c r="D41" s="208" t="s">
        <v>2531</v>
      </c>
      <c r="E41" s="208" t="s">
        <v>20</v>
      </c>
      <c r="H41" s="221"/>
    </row>
    <row r="42">
      <c r="A42" s="51" t="str">
        <f>IFERROR(__xludf.DUMMYFUNCTION("""COMPUTED_VALUE"""),"Bosses")</f>
        <v>Bosses</v>
      </c>
      <c r="D42" s="232" t="s">
        <v>6802</v>
      </c>
      <c r="E42" s="208" t="s">
        <v>7636</v>
      </c>
      <c r="H42" s="221"/>
    </row>
    <row r="43">
      <c r="A43" s="51" t="str">
        <f>IFERROR(__xludf.DUMMYFUNCTION("""COMPUTED_VALUE"""),"Riddle")</f>
        <v>Riddle</v>
      </c>
      <c r="H43" s="221"/>
    </row>
    <row r="44">
      <c r="A44" s="51" t="str">
        <f>IFERROR(__xludf.DUMMYFUNCTION("""COMPUTED_VALUE"""),"HDWGH")</f>
        <v>HDWGH</v>
      </c>
      <c r="H44" s="221"/>
    </row>
    <row r="45">
      <c r="A45" s="51" t="str">
        <f>IFERROR(__xludf.DUMMYFUNCTION("""COMPUTED_VALUE"""),"1 million")</f>
        <v>1 million</v>
      </c>
      <c r="D45" s="208" t="s">
        <v>1991</v>
      </c>
      <c r="E45" s="208" t="s">
        <v>28</v>
      </c>
      <c r="H45" s="221"/>
    </row>
    <row r="46">
      <c r="A46" s="51" t="str">
        <f>IFERROR(__xludf.DUMMYFUNCTION("""COMPUTED_VALUE"""),"Ores")</f>
        <v>Ores</v>
      </c>
      <c r="D46" s="232" t="s">
        <v>1634</v>
      </c>
      <c r="E46" s="232" t="s">
        <v>28</v>
      </c>
      <c r="H46" s="221"/>
    </row>
    <row r="47">
      <c r="A47" s="51" t="str">
        <f>IFERROR(__xludf.DUMMYFUNCTION("""COMPUTED_VALUE"""),"Netherite")</f>
        <v>Netherite</v>
      </c>
      <c r="D47" s="232" t="s">
        <v>28</v>
      </c>
      <c r="E47" s="232" t="s">
        <v>28</v>
      </c>
      <c r="H47" s="221"/>
    </row>
    <row r="48">
      <c r="A48" s="51" t="str">
        <f>IFERROR(__xludf.DUMMYFUNCTION("""COMPUTED_VALUE"""),"Wither")</f>
        <v>Wither</v>
      </c>
      <c r="D48" s="232" t="s">
        <v>1948</v>
      </c>
      <c r="E48" s="232" t="s">
        <v>7552</v>
      </c>
      <c r="H48" s="221"/>
    </row>
    <row r="49">
      <c r="A49" s="51" t="str">
        <f>IFERROR(__xludf.DUMMYFUNCTION("""COMPUTED_VALUE"""),"Warm Ocean")</f>
        <v>Warm Ocean</v>
      </c>
      <c r="D49" s="232" t="s">
        <v>262</v>
      </c>
      <c r="E49" s="232" t="s">
        <v>7552</v>
      </c>
      <c r="H49" s="221"/>
    </row>
    <row r="50">
      <c r="A50" s="51" t="str">
        <f>IFERROR(__xludf.DUMMYFUNCTION("""COMPUTED_VALUE"""),"End Explorer
(100k)")</f>
        <v>End Explorer
(100k)</v>
      </c>
      <c r="D50" s="208" t="s">
        <v>347</v>
      </c>
      <c r="E50" s="208" t="s">
        <v>7624</v>
      </c>
      <c r="H50" s="221"/>
    </row>
    <row r="51">
      <c r="A51" s="51" t="str">
        <f>IFERROR(__xludf.DUMMYFUNCTION("""COMPUTED_VALUE"""),"Drowned Farm")</f>
        <v>Drowned Farm</v>
      </c>
      <c r="D51" s="208" t="s">
        <v>2822</v>
      </c>
      <c r="E51" s="208" t="s">
        <v>7552</v>
      </c>
      <c r="H51" s="221"/>
    </row>
    <row r="52">
      <c r="A52" s="51" t="str">
        <f>IFERROR(__xludf.DUMMYFUNCTION("""COMPUTED_VALUE"""),"Nether Exploring")</f>
        <v>Nether Exploring</v>
      </c>
      <c r="D52" s="232" t="s">
        <v>2861</v>
      </c>
      <c r="E52" s="232" t="s">
        <v>7552</v>
      </c>
      <c r="H52" s="221"/>
    </row>
    <row r="53">
      <c r="A53" s="51" t="str">
        <f>IFERROR(__xludf.DUMMYFUNCTION("""COMPUTED_VALUE"""),"Explorers
(Shared)")</f>
        <v>Explorers
(Shared)</v>
      </c>
      <c r="D53" s="232" t="s">
        <v>4942</v>
      </c>
      <c r="E53" s="232" t="s">
        <v>7552</v>
      </c>
      <c r="H53" s="221"/>
    </row>
    <row r="54">
      <c r="A54" s="51" t="str">
        <f>IFERROR(__xludf.DUMMYFUNCTION("""COMPUTED_VALUE"""),"Ocean Monument")</f>
        <v>Ocean Monument</v>
      </c>
      <c r="D54" s="232" t="s">
        <v>1661</v>
      </c>
      <c r="E54" s="232" t="s">
        <v>7642</v>
      </c>
      <c r="H54" s="221"/>
    </row>
    <row r="55">
      <c r="A55" s="51"/>
      <c r="D55" s="232" t="s">
        <v>6802</v>
      </c>
      <c r="E55" s="232" t="s">
        <v>7642</v>
      </c>
      <c r="H55" s="221"/>
    </row>
    <row r="56">
      <c r="A56" s="51"/>
      <c r="D56" s="208" t="s">
        <v>4104</v>
      </c>
      <c r="E56" s="208" t="s">
        <v>7552</v>
      </c>
      <c r="H56" s="221"/>
    </row>
    <row r="57">
      <c r="A57" s="51"/>
      <c r="D57" s="232" t="s">
        <v>4104</v>
      </c>
      <c r="E57" s="232" t="s">
        <v>7642</v>
      </c>
      <c r="H57" s="221"/>
    </row>
    <row r="58">
      <c r="A58" s="51"/>
      <c r="D58" s="208" t="s">
        <v>3086</v>
      </c>
      <c r="E58" s="208" t="s">
        <v>7552</v>
      </c>
      <c r="H58" s="221"/>
    </row>
    <row r="59">
      <c r="A59" s="51"/>
      <c r="D59" s="208" t="s">
        <v>5341</v>
      </c>
      <c r="E59" s="208" t="s">
        <v>7552</v>
      </c>
      <c r="H59" s="221"/>
    </row>
    <row r="60">
      <c r="A60" s="51"/>
      <c r="D60" s="208" t="s">
        <v>4907</v>
      </c>
      <c r="E60" s="208" t="s">
        <v>7552</v>
      </c>
      <c r="H60" s="221"/>
    </row>
    <row r="61">
      <c r="A61" s="51"/>
      <c r="H61" s="221"/>
    </row>
    <row r="62">
      <c r="A62" s="51"/>
      <c r="H62" s="221"/>
    </row>
    <row r="63">
      <c r="A63" s="51"/>
      <c r="H63" s="221"/>
    </row>
    <row r="64">
      <c r="A64" s="51"/>
      <c r="H64" s="221"/>
    </row>
    <row r="65">
      <c r="A65" s="51"/>
      <c r="H65" s="221"/>
    </row>
    <row r="66">
      <c r="A66" s="51"/>
      <c r="H66" s="221"/>
    </row>
    <row r="67">
      <c r="A67" s="51"/>
      <c r="E67" s="232"/>
      <c r="H67" s="221"/>
    </row>
    <row r="68">
      <c r="A68" s="51"/>
      <c r="E68" s="232"/>
      <c r="H68" s="221"/>
    </row>
    <row r="69">
      <c r="A69" s="51"/>
      <c r="D69" s="731"/>
      <c r="E69" s="732"/>
      <c r="H69" s="221"/>
    </row>
    <row r="70">
      <c r="A70" s="51"/>
      <c r="D70" s="51"/>
      <c r="E70" s="232"/>
      <c r="H70" s="221"/>
    </row>
    <row r="71">
      <c r="A71" s="51"/>
      <c r="D71" s="51"/>
      <c r="E71" s="232"/>
      <c r="H71" s="221"/>
    </row>
    <row r="72">
      <c r="A72" s="51"/>
      <c r="D72" s="51"/>
      <c r="E72" s="232"/>
      <c r="H72" s="221"/>
    </row>
    <row r="73">
      <c r="A73" s="51"/>
      <c r="D73" s="51"/>
      <c r="E73" s="232"/>
      <c r="H73" s="221"/>
    </row>
    <row r="74">
      <c r="A74" s="51"/>
      <c r="D74" s="51"/>
      <c r="E74" s="232"/>
      <c r="H74" s="221"/>
    </row>
    <row r="75">
      <c r="A75" s="51"/>
      <c r="D75" s="51"/>
      <c r="E75" s="232"/>
      <c r="H75" s="221"/>
    </row>
    <row r="76">
      <c r="A76" s="51"/>
      <c r="D76" s="51"/>
      <c r="E76" s="232"/>
      <c r="H76" s="221"/>
    </row>
    <row r="77">
      <c r="A77" s="51"/>
      <c r="D77" s="51"/>
      <c r="E77" s="232"/>
      <c r="H77" s="221"/>
    </row>
    <row r="78">
      <c r="A78" s="51"/>
      <c r="D78" s="51"/>
      <c r="E78" s="232"/>
      <c r="H78" s="221"/>
    </row>
    <row r="79">
      <c r="A79" s="51"/>
      <c r="D79" s="51"/>
      <c r="E79" s="232"/>
      <c r="H79" s="221"/>
    </row>
    <row r="80">
      <c r="A80" s="51"/>
      <c r="D80" s="51"/>
      <c r="E80" s="232"/>
      <c r="H80" s="221"/>
    </row>
    <row r="81">
      <c r="A81" s="51"/>
      <c r="D81" s="51"/>
      <c r="E81" s="232"/>
      <c r="H81" s="221"/>
    </row>
    <row r="82">
      <c r="A82" s="51"/>
      <c r="D82" s="51"/>
      <c r="E82" s="232"/>
      <c r="H82" s="221"/>
    </row>
    <row r="83">
      <c r="A83" s="51"/>
      <c r="D83" s="51"/>
      <c r="H83" s="221"/>
    </row>
    <row r="84">
      <c r="A84" s="51"/>
      <c r="D84" s="51"/>
      <c r="H84" s="221"/>
    </row>
    <row r="85">
      <c r="A85" s="51"/>
      <c r="H85" s="221"/>
    </row>
    <row r="86">
      <c r="A86" s="51"/>
      <c r="H86" s="221"/>
    </row>
    <row r="87">
      <c r="A87" s="51"/>
      <c r="H87" s="221"/>
    </row>
    <row r="88">
      <c r="A88" s="51"/>
      <c r="H88" s="221"/>
    </row>
    <row r="89">
      <c r="A89" s="51"/>
      <c r="H89" s="221"/>
    </row>
    <row r="90">
      <c r="A90" s="51"/>
      <c r="H90" s="221"/>
    </row>
    <row r="91">
      <c r="A91" s="51"/>
      <c r="H91" s="221"/>
    </row>
    <row r="92">
      <c r="A92" s="51"/>
      <c r="H92" s="221"/>
    </row>
    <row r="93">
      <c r="A93" s="51"/>
      <c r="H93" s="221"/>
    </row>
    <row r="94">
      <c r="A94" s="51"/>
      <c r="H94" s="221"/>
    </row>
    <row r="95">
      <c r="A95" s="51"/>
      <c r="H95" s="221"/>
    </row>
    <row r="96">
      <c r="A96" s="51"/>
      <c r="H96" s="221"/>
    </row>
    <row r="97">
      <c r="A97" s="51"/>
      <c r="H97" s="221"/>
    </row>
    <row r="98">
      <c r="A98" s="51"/>
      <c r="H98" s="221"/>
    </row>
    <row r="99">
      <c r="A99" s="51"/>
      <c r="H99" s="221"/>
    </row>
    <row r="100">
      <c r="A100" s="51"/>
      <c r="H100" s="221"/>
    </row>
    <row r="101">
      <c r="A101" s="51"/>
      <c r="H101" s="221"/>
    </row>
    <row r="102">
      <c r="A102" s="51"/>
      <c r="H102" s="221"/>
    </row>
    <row r="103">
      <c r="A103" s="51"/>
      <c r="H103" s="221"/>
    </row>
    <row r="104">
      <c r="A104" s="51"/>
      <c r="H104" s="221"/>
    </row>
    <row r="105">
      <c r="A105" s="51"/>
      <c r="H105" s="221"/>
    </row>
    <row r="106">
      <c r="A106" s="51"/>
      <c r="H106" s="221"/>
    </row>
    <row r="107">
      <c r="A107" s="51"/>
      <c r="H107" s="221"/>
    </row>
    <row r="108">
      <c r="A108" s="51"/>
      <c r="H108" s="221"/>
    </row>
    <row r="109">
      <c r="A109" s="51"/>
      <c r="H109" s="221"/>
    </row>
    <row r="110">
      <c r="A110" s="51"/>
      <c r="H110" s="221"/>
    </row>
    <row r="111">
      <c r="A111" s="51"/>
      <c r="H111" s="221"/>
    </row>
    <row r="112">
      <c r="A112" s="51"/>
      <c r="H112" s="221"/>
    </row>
    <row r="113">
      <c r="A113" s="51"/>
      <c r="H113" s="221"/>
    </row>
    <row r="114">
      <c r="A114" s="51"/>
      <c r="H114" s="221"/>
    </row>
    <row r="115">
      <c r="A115" s="51"/>
      <c r="H115" s="221"/>
    </row>
    <row r="116">
      <c r="A116" s="51"/>
      <c r="H116" s="221"/>
    </row>
    <row r="117">
      <c r="A117" s="51"/>
      <c r="H117" s="221"/>
    </row>
    <row r="118">
      <c r="A118" s="51"/>
      <c r="H118" s="221"/>
    </row>
    <row r="119">
      <c r="A119" s="51"/>
      <c r="H119" s="221"/>
    </row>
    <row r="120">
      <c r="A120" s="51"/>
      <c r="H120" s="221"/>
    </row>
    <row r="121">
      <c r="A121" s="51"/>
      <c r="H121" s="221"/>
    </row>
    <row r="122">
      <c r="A122" s="51"/>
      <c r="H122" s="221"/>
    </row>
    <row r="123">
      <c r="A123" s="51"/>
      <c r="H123" s="221"/>
    </row>
    <row r="124">
      <c r="A124" s="51"/>
      <c r="H124" s="221"/>
    </row>
    <row r="125">
      <c r="A125" s="51"/>
      <c r="H125" s="221"/>
    </row>
    <row r="126">
      <c r="A126" s="51"/>
      <c r="H126" s="221"/>
    </row>
    <row r="127">
      <c r="A127" s="51"/>
      <c r="H127" s="221"/>
    </row>
    <row r="128">
      <c r="A128" s="51"/>
      <c r="H128" s="221"/>
    </row>
    <row r="129">
      <c r="A129" s="51"/>
      <c r="H129" s="221"/>
    </row>
    <row r="130">
      <c r="A130" s="51"/>
      <c r="H130" s="221"/>
    </row>
    <row r="131">
      <c r="A131" s="51"/>
      <c r="H131" s="221"/>
    </row>
    <row r="132">
      <c r="A132" s="51"/>
      <c r="H132" s="221"/>
    </row>
    <row r="133">
      <c r="A133" s="51"/>
      <c r="H133" s="221"/>
    </row>
    <row r="134">
      <c r="A134" s="51"/>
      <c r="H134" s="221"/>
    </row>
    <row r="135">
      <c r="A135" s="51"/>
      <c r="H135" s="221"/>
    </row>
    <row r="136">
      <c r="A136" s="51"/>
      <c r="H136" s="221"/>
    </row>
    <row r="137">
      <c r="A137" s="51"/>
      <c r="H137" s="221"/>
    </row>
    <row r="138">
      <c r="A138" s="51"/>
      <c r="H138" s="221"/>
    </row>
    <row r="139">
      <c r="A139" s="51"/>
      <c r="H139" s="221"/>
    </row>
    <row r="140">
      <c r="A140" s="51"/>
      <c r="H140" s="221"/>
    </row>
    <row r="141">
      <c r="A141" s="51"/>
      <c r="H141" s="221"/>
    </row>
    <row r="142">
      <c r="A142" s="51"/>
      <c r="H142" s="221"/>
    </row>
    <row r="143">
      <c r="A143" s="51"/>
      <c r="H143" s="221"/>
    </row>
    <row r="144">
      <c r="A144" s="51"/>
      <c r="H144" s="221"/>
    </row>
    <row r="145">
      <c r="A145" s="51"/>
      <c r="H145" s="221"/>
    </row>
    <row r="146">
      <c r="A146" s="51"/>
      <c r="H146" s="221"/>
    </row>
    <row r="147">
      <c r="A147" s="51"/>
      <c r="H147" s="221"/>
    </row>
    <row r="148">
      <c r="A148" s="51"/>
      <c r="H148" s="221"/>
    </row>
    <row r="149">
      <c r="A149" s="51"/>
      <c r="H149" s="221"/>
    </row>
    <row r="150">
      <c r="A150" s="51"/>
      <c r="H150" s="221"/>
    </row>
    <row r="151">
      <c r="A151" s="51"/>
      <c r="H151" s="221"/>
    </row>
    <row r="152">
      <c r="A152" s="51"/>
      <c r="H152" s="221"/>
    </row>
    <row r="153">
      <c r="A153" s="51"/>
      <c r="H153" s="221"/>
    </row>
    <row r="154">
      <c r="A154" s="51"/>
      <c r="H154" s="221"/>
    </row>
    <row r="155">
      <c r="A155" s="51"/>
      <c r="H155" s="221"/>
    </row>
    <row r="156">
      <c r="A156" s="51"/>
      <c r="H156" s="221"/>
    </row>
    <row r="157">
      <c r="A157" s="51"/>
      <c r="H157" s="221"/>
    </row>
    <row r="158">
      <c r="A158" s="51"/>
      <c r="H158" s="221"/>
    </row>
    <row r="159">
      <c r="A159" s="51"/>
      <c r="H159" s="221"/>
    </row>
    <row r="160">
      <c r="A160" s="51"/>
      <c r="H160" s="221"/>
    </row>
    <row r="161">
      <c r="A161" s="51"/>
      <c r="H161" s="221"/>
    </row>
    <row r="162">
      <c r="A162" s="51"/>
      <c r="H162" s="221"/>
    </row>
    <row r="163">
      <c r="A163" s="51"/>
      <c r="H163" s="221"/>
    </row>
    <row r="164">
      <c r="A164" s="51"/>
      <c r="H164" s="221"/>
    </row>
    <row r="165">
      <c r="A165" s="51"/>
      <c r="H165" s="221"/>
    </row>
    <row r="166">
      <c r="A166" s="51"/>
      <c r="H166" s="221"/>
    </row>
    <row r="167">
      <c r="A167" s="51"/>
      <c r="H167" s="221"/>
    </row>
    <row r="168">
      <c r="A168" s="51"/>
      <c r="H168" s="221"/>
    </row>
    <row r="169">
      <c r="A169" s="51"/>
      <c r="H169" s="221"/>
    </row>
    <row r="170">
      <c r="A170" s="51"/>
      <c r="H170" s="221"/>
    </row>
    <row r="171">
      <c r="A171" s="51"/>
      <c r="H171" s="221"/>
    </row>
    <row r="172">
      <c r="A172" s="51"/>
      <c r="H172" s="221"/>
    </row>
    <row r="173">
      <c r="A173" s="51"/>
      <c r="H173" s="221"/>
    </row>
    <row r="174">
      <c r="A174" s="51"/>
      <c r="H174" s="221"/>
    </row>
    <row r="175">
      <c r="A175" s="51"/>
      <c r="H175" s="221"/>
    </row>
    <row r="176">
      <c r="A176" s="51"/>
      <c r="H176" s="221"/>
    </row>
    <row r="177">
      <c r="A177" s="51"/>
      <c r="H177" s="221"/>
    </row>
    <row r="178">
      <c r="A178" s="51"/>
      <c r="H178" s="221"/>
    </row>
    <row r="179">
      <c r="A179" s="51"/>
      <c r="H179" s="221"/>
    </row>
    <row r="180">
      <c r="A180" s="51"/>
      <c r="H180" s="221"/>
    </row>
    <row r="181">
      <c r="A181" s="51"/>
      <c r="H181" s="221"/>
    </row>
    <row r="182">
      <c r="A182" s="51"/>
      <c r="H182" s="221"/>
    </row>
    <row r="183">
      <c r="A183" s="51"/>
      <c r="H183" s="221"/>
    </row>
    <row r="184">
      <c r="A184" s="51"/>
      <c r="H184" s="221"/>
    </row>
    <row r="185">
      <c r="A185" s="51"/>
      <c r="H185" s="221"/>
    </row>
    <row r="186">
      <c r="A186" s="51"/>
      <c r="H186" s="221"/>
    </row>
    <row r="187">
      <c r="A187" s="51"/>
      <c r="H187" s="221"/>
    </row>
    <row r="188">
      <c r="A188" s="51"/>
      <c r="H188" s="221"/>
    </row>
    <row r="189">
      <c r="A189" s="51"/>
      <c r="H189" s="221"/>
    </row>
    <row r="190">
      <c r="A190" s="51"/>
      <c r="H190" s="221"/>
    </row>
    <row r="191">
      <c r="A191" s="51"/>
      <c r="H191" s="221"/>
    </row>
    <row r="192">
      <c r="A192" s="51"/>
      <c r="H192" s="221"/>
    </row>
    <row r="193">
      <c r="A193" s="51"/>
      <c r="H193" s="221"/>
    </row>
    <row r="194">
      <c r="A194" s="51"/>
      <c r="H194" s="221"/>
    </row>
    <row r="195">
      <c r="A195" s="51"/>
      <c r="H195" s="221"/>
    </row>
    <row r="196">
      <c r="A196" s="51"/>
      <c r="H196" s="221"/>
    </row>
    <row r="197">
      <c r="A197" s="51"/>
      <c r="H197" s="221"/>
    </row>
    <row r="198">
      <c r="A198" s="51"/>
      <c r="H198" s="221"/>
    </row>
    <row r="199">
      <c r="A199" s="51"/>
      <c r="H199" s="221"/>
    </row>
    <row r="200">
      <c r="A200" s="51"/>
      <c r="H200" s="221"/>
    </row>
    <row r="201">
      <c r="A201" s="51"/>
      <c r="H201" s="221"/>
    </row>
    <row r="202">
      <c r="A202" s="51"/>
      <c r="H202" s="221"/>
    </row>
    <row r="203">
      <c r="A203" s="51"/>
      <c r="H203" s="221"/>
    </row>
    <row r="204">
      <c r="A204" s="51"/>
      <c r="H204" s="221"/>
    </row>
    <row r="205">
      <c r="A205" s="51"/>
      <c r="H205" s="221"/>
    </row>
    <row r="206">
      <c r="A206" s="51"/>
      <c r="H206" s="221"/>
    </row>
    <row r="207">
      <c r="A207" s="51"/>
      <c r="H207" s="221"/>
    </row>
    <row r="208">
      <c r="A208" s="51"/>
      <c r="H208" s="221"/>
    </row>
    <row r="209">
      <c r="A209" s="51"/>
      <c r="H209" s="221"/>
    </row>
    <row r="210">
      <c r="A210" s="51"/>
      <c r="H210" s="221"/>
    </row>
    <row r="211">
      <c r="A211" s="51"/>
      <c r="H211" s="221"/>
    </row>
    <row r="212">
      <c r="A212" s="51"/>
      <c r="H212" s="221"/>
    </row>
    <row r="213">
      <c r="A213" s="51"/>
      <c r="H213" s="221"/>
    </row>
    <row r="214">
      <c r="A214" s="51"/>
      <c r="H214" s="221"/>
    </row>
    <row r="215">
      <c r="A215" s="51"/>
      <c r="H215" s="221"/>
    </row>
    <row r="216">
      <c r="A216" s="51"/>
      <c r="H216" s="221"/>
    </row>
    <row r="217">
      <c r="A217" s="51"/>
      <c r="H217" s="221"/>
    </row>
    <row r="218">
      <c r="A218" s="51"/>
      <c r="H218" s="221"/>
    </row>
    <row r="219">
      <c r="A219" s="51"/>
      <c r="H219" s="221"/>
    </row>
    <row r="220">
      <c r="A220" s="51"/>
      <c r="H220" s="221"/>
    </row>
    <row r="221">
      <c r="A221" s="51"/>
      <c r="H221" s="221"/>
    </row>
    <row r="222">
      <c r="A222" s="51"/>
      <c r="H222" s="221"/>
    </row>
    <row r="223">
      <c r="A223" s="51"/>
      <c r="H223" s="221"/>
    </row>
    <row r="224">
      <c r="A224" s="51"/>
      <c r="H224" s="221"/>
    </row>
    <row r="225">
      <c r="A225" s="51"/>
      <c r="H225" s="221"/>
    </row>
    <row r="226">
      <c r="A226" s="51"/>
      <c r="H226" s="221"/>
    </row>
    <row r="227">
      <c r="A227" s="51"/>
      <c r="H227" s="221"/>
    </row>
    <row r="228">
      <c r="A228" s="51"/>
      <c r="H228" s="221"/>
    </row>
    <row r="229">
      <c r="A229" s="51"/>
      <c r="H229" s="221"/>
    </row>
    <row r="230">
      <c r="A230" s="51"/>
      <c r="H230" s="221"/>
    </row>
    <row r="231">
      <c r="A231" s="51"/>
      <c r="H231" s="221"/>
    </row>
    <row r="232">
      <c r="A232" s="51"/>
      <c r="H232" s="221"/>
    </row>
    <row r="233">
      <c r="A233" s="51"/>
      <c r="H233" s="221"/>
    </row>
    <row r="234">
      <c r="A234" s="51"/>
      <c r="H234" s="221"/>
    </row>
    <row r="235">
      <c r="A235" s="51"/>
      <c r="H235" s="221"/>
    </row>
    <row r="236">
      <c r="A236" s="51"/>
      <c r="H236" s="221"/>
    </row>
    <row r="237">
      <c r="A237" s="51"/>
      <c r="H237" s="221"/>
    </row>
    <row r="238">
      <c r="A238" s="51"/>
      <c r="H238" s="221"/>
    </row>
    <row r="239">
      <c r="A239" s="51"/>
      <c r="H239" s="221"/>
    </row>
    <row r="240">
      <c r="A240" s="51"/>
      <c r="H240" s="221"/>
    </row>
    <row r="241">
      <c r="A241" s="51"/>
      <c r="H241" s="221"/>
    </row>
    <row r="242">
      <c r="A242" s="51"/>
      <c r="H242" s="221"/>
    </row>
    <row r="243">
      <c r="A243" s="51"/>
      <c r="H243" s="221"/>
    </row>
    <row r="244">
      <c r="A244" s="51"/>
      <c r="H244" s="221"/>
    </row>
    <row r="245">
      <c r="A245" s="51"/>
      <c r="H245" s="221"/>
    </row>
    <row r="246">
      <c r="A246" s="51"/>
      <c r="H246" s="221"/>
    </row>
    <row r="247">
      <c r="A247" s="51"/>
      <c r="H247" s="221"/>
    </row>
    <row r="248">
      <c r="A248" s="51"/>
      <c r="H248" s="221"/>
    </row>
    <row r="249">
      <c r="A249" s="51"/>
      <c r="H249" s="221"/>
    </row>
    <row r="250">
      <c r="A250" s="51"/>
      <c r="H250" s="221"/>
    </row>
    <row r="251">
      <c r="A251" s="51"/>
      <c r="H251" s="221"/>
    </row>
    <row r="252">
      <c r="A252" s="51"/>
      <c r="H252" s="221"/>
    </row>
    <row r="253">
      <c r="A253" s="51"/>
      <c r="H253" s="221"/>
    </row>
    <row r="254">
      <c r="A254" s="51"/>
      <c r="H254" s="221"/>
    </row>
    <row r="255">
      <c r="A255" s="51"/>
      <c r="H255" s="221"/>
    </row>
    <row r="256">
      <c r="A256" s="51"/>
      <c r="H256" s="221"/>
    </row>
    <row r="257">
      <c r="A257" s="51"/>
      <c r="H257" s="221"/>
    </row>
    <row r="258">
      <c r="A258" s="51"/>
      <c r="H258" s="221"/>
    </row>
    <row r="259">
      <c r="A259" s="51"/>
      <c r="H259" s="221"/>
    </row>
    <row r="260">
      <c r="A260" s="51"/>
      <c r="H260" s="221"/>
    </row>
    <row r="261">
      <c r="A261" s="51"/>
      <c r="H261" s="221"/>
    </row>
    <row r="262">
      <c r="A262" s="51"/>
      <c r="H262" s="221"/>
    </row>
    <row r="263">
      <c r="A263" s="51"/>
      <c r="H263" s="221"/>
    </row>
    <row r="264">
      <c r="A264" s="51"/>
      <c r="H264" s="221"/>
    </row>
    <row r="265">
      <c r="A265" s="51"/>
      <c r="H265" s="221"/>
    </row>
    <row r="266">
      <c r="A266" s="51"/>
      <c r="H266" s="221"/>
    </row>
    <row r="267">
      <c r="A267" s="51"/>
      <c r="H267" s="221"/>
    </row>
    <row r="268">
      <c r="A268" s="51"/>
      <c r="H268" s="221"/>
    </row>
    <row r="269">
      <c r="A269" s="51"/>
      <c r="H269" s="221"/>
    </row>
    <row r="270">
      <c r="A270" s="51"/>
      <c r="H270" s="221"/>
    </row>
    <row r="271">
      <c r="A271" s="51"/>
      <c r="H271" s="221"/>
    </row>
    <row r="272">
      <c r="A272" s="51"/>
      <c r="H272" s="221"/>
    </row>
    <row r="273">
      <c r="A273" s="51"/>
      <c r="H273" s="221"/>
    </row>
    <row r="274">
      <c r="A274" s="51"/>
      <c r="H274" s="221"/>
    </row>
    <row r="275">
      <c r="A275" s="51"/>
      <c r="H275" s="221"/>
    </row>
    <row r="276">
      <c r="A276" s="51"/>
      <c r="H276" s="221"/>
    </row>
    <row r="277">
      <c r="A277" s="51"/>
      <c r="H277" s="221"/>
    </row>
    <row r="278">
      <c r="A278" s="51"/>
      <c r="H278" s="221"/>
    </row>
    <row r="279">
      <c r="A279" s="51"/>
      <c r="H279" s="221"/>
    </row>
    <row r="280">
      <c r="A280" s="51"/>
      <c r="H280" s="221"/>
    </row>
    <row r="281">
      <c r="A281" s="51"/>
      <c r="H281" s="221"/>
    </row>
    <row r="282">
      <c r="A282" s="51"/>
      <c r="H282" s="221"/>
    </row>
    <row r="283">
      <c r="A283" s="51"/>
      <c r="H283" s="221"/>
    </row>
    <row r="284">
      <c r="A284" s="51"/>
      <c r="H284" s="221"/>
    </row>
    <row r="285">
      <c r="A285" s="51"/>
      <c r="H285" s="221"/>
    </row>
    <row r="286">
      <c r="A286" s="51"/>
      <c r="H286" s="221"/>
    </row>
    <row r="287">
      <c r="A287" s="51"/>
      <c r="H287" s="221"/>
    </row>
    <row r="288">
      <c r="A288" s="51"/>
      <c r="H288" s="221"/>
    </row>
    <row r="289">
      <c r="A289" s="51"/>
      <c r="H289" s="221"/>
    </row>
    <row r="290">
      <c r="A290" s="51"/>
      <c r="H290" s="221"/>
    </row>
    <row r="291">
      <c r="A291" s="51"/>
      <c r="H291" s="221"/>
    </row>
    <row r="292">
      <c r="A292" s="51"/>
      <c r="H292" s="221"/>
    </row>
    <row r="293">
      <c r="A293" s="51"/>
      <c r="H293" s="221"/>
    </row>
    <row r="294">
      <c r="A294" s="51"/>
      <c r="H294" s="221"/>
    </row>
    <row r="295">
      <c r="A295" s="51"/>
      <c r="H295" s="221"/>
    </row>
    <row r="296">
      <c r="A296" s="51"/>
      <c r="H296" s="221"/>
    </row>
    <row r="297">
      <c r="A297" s="51"/>
      <c r="H297" s="221"/>
    </row>
    <row r="298">
      <c r="A298" s="51"/>
      <c r="H298" s="221"/>
    </row>
    <row r="299">
      <c r="A299" s="51"/>
      <c r="H299" s="221"/>
    </row>
    <row r="300">
      <c r="A300" s="51"/>
      <c r="H300" s="221"/>
    </row>
    <row r="301">
      <c r="A301" s="51"/>
      <c r="H301" s="221"/>
    </row>
    <row r="302">
      <c r="A302" s="51"/>
      <c r="H302" s="221"/>
    </row>
    <row r="303">
      <c r="A303" s="51"/>
      <c r="H303" s="221"/>
    </row>
    <row r="304">
      <c r="A304" s="51"/>
      <c r="H304" s="221"/>
    </row>
    <row r="305">
      <c r="A305" s="51"/>
      <c r="H305" s="221"/>
    </row>
    <row r="306">
      <c r="A306" s="51"/>
      <c r="H306" s="221"/>
    </row>
    <row r="307">
      <c r="A307" s="51"/>
      <c r="H307" s="221"/>
    </row>
    <row r="308">
      <c r="A308" s="51"/>
      <c r="H308" s="221"/>
    </row>
    <row r="309">
      <c r="A309" s="51"/>
      <c r="H309" s="221"/>
    </row>
    <row r="310">
      <c r="A310" s="51"/>
      <c r="H310" s="221"/>
    </row>
    <row r="311">
      <c r="A311" s="51"/>
      <c r="H311" s="221"/>
    </row>
    <row r="312">
      <c r="A312" s="51"/>
      <c r="H312" s="221"/>
    </row>
    <row r="313">
      <c r="A313" s="51"/>
      <c r="H313" s="221"/>
    </row>
    <row r="314">
      <c r="A314" s="51"/>
      <c r="H314" s="221"/>
    </row>
    <row r="315">
      <c r="A315" s="51"/>
      <c r="H315" s="221"/>
    </row>
    <row r="316">
      <c r="A316" s="51"/>
      <c r="H316" s="221"/>
    </row>
    <row r="317">
      <c r="A317" s="51"/>
      <c r="H317" s="221"/>
    </row>
    <row r="318">
      <c r="A318" s="51"/>
      <c r="H318" s="221"/>
    </row>
    <row r="319">
      <c r="A319" s="51"/>
      <c r="H319" s="221"/>
    </row>
    <row r="320">
      <c r="A320" s="51"/>
      <c r="H320" s="221"/>
    </row>
    <row r="321">
      <c r="A321" s="51"/>
      <c r="H321" s="221"/>
    </row>
    <row r="322">
      <c r="A322" s="51"/>
      <c r="H322" s="221"/>
    </row>
    <row r="323">
      <c r="A323" s="51"/>
      <c r="H323" s="221"/>
    </row>
    <row r="324">
      <c r="A324" s="51"/>
      <c r="H324" s="221"/>
    </row>
    <row r="325">
      <c r="A325" s="51"/>
      <c r="H325" s="221"/>
    </row>
    <row r="326">
      <c r="A326" s="51"/>
      <c r="H326" s="221"/>
    </row>
    <row r="327">
      <c r="A327" s="51"/>
      <c r="H327" s="221"/>
    </row>
    <row r="328">
      <c r="A328" s="51"/>
      <c r="H328" s="221"/>
    </row>
    <row r="329">
      <c r="A329" s="51"/>
      <c r="H329" s="221"/>
    </row>
    <row r="330">
      <c r="A330" s="51"/>
      <c r="H330" s="221"/>
    </row>
    <row r="331">
      <c r="A331" s="51"/>
      <c r="H331" s="221"/>
    </row>
    <row r="332">
      <c r="A332" s="51"/>
      <c r="H332" s="221"/>
    </row>
    <row r="333">
      <c r="A333" s="51"/>
      <c r="H333" s="221"/>
    </row>
    <row r="334">
      <c r="A334" s="51"/>
      <c r="H334" s="221"/>
    </row>
    <row r="335">
      <c r="A335" s="51"/>
      <c r="H335" s="221"/>
    </row>
    <row r="336">
      <c r="A336" s="51"/>
      <c r="H336" s="221"/>
    </row>
    <row r="337">
      <c r="A337" s="51"/>
      <c r="H337" s="221"/>
    </row>
    <row r="338">
      <c r="A338" s="51"/>
      <c r="H338" s="221"/>
    </row>
    <row r="339">
      <c r="A339" s="51"/>
      <c r="H339" s="221"/>
    </row>
    <row r="340">
      <c r="A340" s="51"/>
      <c r="H340" s="221"/>
    </row>
    <row r="341">
      <c r="A341" s="51"/>
      <c r="H341" s="221"/>
    </row>
    <row r="342">
      <c r="A342" s="51"/>
      <c r="H342" s="221"/>
    </row>
    <row r="343">
      <c r="A343" s="51"/>
      <c r="H343" s="221"/>
    </row>
    <row r="344">
      <c r="A344" s="51"/>
      <c r="H344" s="221"/>
    </row>
    <row r="345">
      <c r="A345" s="51"/>
      <c r="H345" s="221"/>
    </row>
    <row r="346">
      <c r="A346" s="51"/>
      <c r="H346" s="221"/>
    </row>
    <row r="347">
      <c r="A347" s="51"/>
      <c r="H347" s="221"/>
    </row>
    <row r="348">
      <c r="A348" s="51"/>
      <c r="H348" s="221"/>
    </row>
    <row r="349">
      <c r="A349" s="51"/>
      <c r="H349" s="221"/>
    </row>
    <row r="350">
      <c r="A350" s="51"/>
      <c r="H350" s="221"/>
    </row>
    <row r="351">
      <c r="A351" s="51"/>
      <c r="H351" s="221"/>
    </row>
    <row r="352">
      <c r="A352" s="51"/>
      <c r="H352" s="221"/>
    </row>
    <row r="353">
      <c r="A353" s="51"/>
      <c r="H353" s="221"/>
    </row>
    <row r="354">
      <c r="A354" s="51"/>
      <c r="H354" s="221"/>
    </row>
    <row r="355">
      <c r="A355" s="51"/>
      <c r="H355" s="221"/>
    </row>
    <row r="356">
      <c r="A356" s="51"/>
      <c r="H356" s="221"/>
    </row>
    <row r="357">
      <c r="A357" s="51"/>
      <c r="H357" s="221"/>
    </row>
    <row r="358">
      <c r="A358" s="51"/>
      <c r="H358" s="221"/>
    </row>
    <row r="359">
      <c r="A359" s="51"/>
      <c r="H359" s="221"/>
    </row>
    <row r="360">
      <c r="A360" s="51"/>
      <c r="H360" s="221"/>
    </row>
    <row r="361">
      <c r="A361" s="51"/>
      <c r="H361" s="221"/>
    </row>
    <row r="362">
      <c r="A362" s="51"/>
      <c r="H362" s="221"/>
    </row>
    <row r="363">
      <c r="A363" s="51"/>
      <c r="H363" s="221"/>
    </row>
    <row r="364">
      <c r="A364" s="51"/>
      <c r="H364" s="221"/>
    </row>
    <row r="365">
      <c r="A365" s="51"/>
      <c r="H365" s="221"/>
    </row>
    <row r="366">
      <c r="A366" s="51"/>
      <c r="H366" s="221"/>
    </row>
    <row r="367">
      <c r="A367" s="51"/>
      <c r="H367" s="221"/>
    </row>
    <row r="368">
      <c r="A368" s="51"/>
      <c r="H368" s="221"/>
    </row>
    <row r="369">
      <c r="A369" s="51"/>
      <c r="H369" s="221"/>
    </row>
    <row r="370">
      <c r="A370" s="51"/>
      <c r="H370" s="221"/>
    </row>
    <row r="371">
      <c r="A371" s="51"/>
      <c r="H371" s="221"/>
    </row>
    <row r="372">
      <c r="A372" s="51"/>
      <c r="H372" s="221"/>
    </row>
    <row r="373">
      <c r="A373" s="51"/>
      <c r="H373" s="221"/>
    </row>
    <row r="374">
      <c r="A374" s="51"/>
      <c r="H374" s="221"/>
    </row>
    <row r="375">
      <c r="A375" s="51"/>
      <c r="H375" s="221"/>
    </row>
    <row r="376">
      <c r="A376" s="51"/>
      <c r="H376" s="221"/>
    </row>
    <row r="377">
      <c r="A377" s="51"/>
      <c r="H377" s="221"/>
    </row>
    <row r="378">
      <c r="A378" s="51"/>
      <c r="H378" s="221"/>
    </row>
    <row r="379">
      <c r="A379" s="51"/>
      <c r="H379" s="221"/>
    </row>
    <row r="380">
      <c r="A380" s="51"/>
      <c r="H380" s="221"/>
    </row>
    <row r="381">
      <c r="A381" s="51"/>
      <c r="H381" s="221"/>
    </row>
    <row r="382">
      <c r="A382" s="51"/>
      <c r="H382" s="221"/>
    </row>
    <row r="383">
      <c r="A383" s="51"/>
      <c r="H383" s="221"/>
    </row>
    <row r="384">
      <c r="A384" s="51"/>
      <c r="H384" s="221"/>
    </row>
    <row r="385">
      <c r="A385" s="51"/>
      <c r="H385" s="221"/>
    </row>
    <row r="386">
      <c r="A386" s="51"/>
      <c r="H386" s="221"/>
    </row>
    <row r="387">
      <c r="A387" s="51"/>
      <c r="H387" s="221"/>
    </row>
    <row r="388">
      <c r="A388" s="51"/>
      <c r="H388" s="221"/>
    </row>
    <row r="389">
      <c r="A389" s="51"/>
      <c r="H389" s="221"/>
    </row>
    <row r="390">
      <c r="A390" s="51"/>
      <c r="H390" s="221"/>
    </row>
    <row r="391">
      <c r="A391" s="51"/>
      <c r="H391" s="221"/>
    </row>
    <row r="392">
      <c r="A392" s="51"/>
      <c r="H392" s="221"/>
    </row>
    <row r="393">
      <c r="A393" s="51"/>
      <c r="H393" s="221"/>
    </row>
    <row r="394">
      <c r="A394" s="51"/>
      <c r="H394" s="221"/>
    </row>
    <row r="395">
      <c r="A395" s="51"/>
      <c r="H395" s="221"/>
    </row>
    <row r="396">
      <c r="A396" s="51"/>
      <c r="H396" s="221"/>
    </row>
    <row r="397">
      <c r="A397" s="51"/>
      <c r="H397" s="221"/>
    </row>
    <row r="398">
      <c r="A398" s="51"/>
      <c r="H398" s="221"/>
    </row>
    <row r="399">
      <c r="A399" s="51"/>
      <c r="H399" s="221"/>
    </row>
    <row r="400">
      <c r="A400" s="51"/>
      <c r="H400" s="221"/>
    </row>
    <row r="401">
      <c r="A401" s="51"/>
      <c r="H401" s="221"/>
    </row>
    <row r="402">
      <c r="A402" s="51"/>
      <c r="H402" s="221"/>
    </row>
    <row r="403">
      <c r="A403" s="51"/>
      <c r="H403" s="221"/>
    </row>
    <row r="404">
      <c r="A404" s="51"/>
      <c r="H404" s="221"/>
    </row>
    <row r="405">
      <c r="A405" s="51"/>
      <c r="H405" s="221"/>
    </row>
    <row r="406">
      <c r="A406" s="51"/>
      <c r="H406" s="221"/>
    </row>
    <row r="407">
      <c r="A407" s="51"/>
      <c r="H407" s="221"/>
    </row>
    <row r="408">
      <c r="A408" s="51"/>
      <c r="H408" s="221"/>
    </row>
    <row r="409">
      <c r="A409" s="51"/>
      <c r="H409" s="221"/>
    </row>
    <row r="410">
      <c r="A410" s="51"/>
      <c r="H410" s="221"/>
    </row>
    <row r="411">
      <c r="A411" s="51"/>
      <c r="H411" s="221"/>
    </row>
    <row r="412">
      <c r="A412" s="51"/>
      <c r="H412" s="221"/>
    </row>
    <row r="413">
      <c r="A413" s="51"/>
      <c r="H413" s="221"/>
    </row>
    <row r="414">
      <c r="A414" s="51"/>
      <c r="H414" s="221"/>
    </row>
    <row r="415">
      <c r="A415" s="51"/>
      <c r="H415" s="221"/>
    </row>
    <row r="416">
      <c r="A416" s="51"/>
      <c r="H416" s="221"/>
    </row>
    <row r="417">
      <c r="A417" s="51"/>
      <c r="H417" s="221"/>
    </row>
    <row r="418">
      <c r="A418" s="51"/>
      <c r="H418" s="221"/>
    </row>
    <row r="419">
      <c r="A419" s="51"/>
      <c r="H419" s="221"/>
    </row>
    <row r="420">
      <c r="A420" s="51"/>
      <c r="H420" s="221"/>
    </row>
    <row r="421">
      <c r="A421" s="51"/>
      <c r="H421" s="221"/>
    </row>
    <row r="422">
      <c r="A422" s="51"/>
      <c r="H422" s="221"/>
    </row>
    <row r="423">
      <c r="A423" s="51"/>
      <c r="H423" s="221"/>
    </row>
    <row r="424">
      <c r="A424" s="51"/>
      <c r="H424" s="221"/>
    </row>
    <row r="425">
      <c r="A425" s="51"/>
      <c r="H425" s="221"/>
    </row>
    <row r="426">
      <c r="A426" s="51"/>
      <c r="H426" s="221"/>
    </row>
    <row r="427">
      <c r="A427" s="51"/>
      <c r="H427" s="221"/>
    </row>
    <row r="428">
      <c r="A428" s="51"/>
      <c r="H428" s="221"/>
    </row>
    <row r="429">
      <c r="A429" s="51"/>
      <c r="H429" s="221"/>
    </row>
    <row r="430">
      <c r="A430" s="51"/>
      <c r="H430" s="221"/>
    </row>
    <row r="431">
      <c r="A431" s="51"/>
      <c r="H431" s="221"/>
    </row>
    <row r="432">
      <c r="A432" s="51"/>
      <c r="H432" s="221"/>
    </row>
    <row r="433">
      <c r="A433" s="51"/>
      <c r="H433" s="221"/>
    </row>
    <row r="434">
      <c r="A434" s="51"/>
      <c r="H434" s="221"/>
    </row>
    <row r="435">
      <c r="A435" s="51"/>
      <c r="H435" s="221"/>
    </row>
    <row r="436">
      <c r="A436" s="51"/>
      <c r="H436" s="221"/>
    </row>
    <row r="437">
      <c r="A437" s="51"/>
      <c r="H437" s="221"/>
    </row>
    <row r="438">
      <c r="A438" s="51"/>
      <c r="H438" s="221"/>
    </row>
    <row r="439">
      <c r="A439" s="51"/>
      <c r="H439" s="221"/>
    </row>
    <row r="440">
      <c r="A440" s="51"/>
      <c r="H440" s="221"/>
    </row>
    <row r="441">
      <c r="A441" s="51"/>
      <c r="H441" s="221"/>
    </row>
    <row r="442">
      <c r="A442" s="51"/>
      <c r="H442" s="221"/>
    </row>
    <row r="443">
      <c r="A443" s="51"/>
      <c r="H443" s="221"/>
    </row>
    <row r="444">
      <c r="A444" s="51"/>
      <c r="H444" s="221"/>
    </row>
    <row r="445">
      <c r="A445" s="51"/>
      <c r="H445" s="221"/>
    </row>
    <row r="446">
      <c r="A446" s="51"/>
      <c r="H446" s="221"/>
    </row>
    <row r="447">
      <c r="A447" s="51"/>
      <c r="H447" s="221"/>
    </row>
    <row r="448">
      <c r="A448" s="51"/>
      <c r="H448" s="221"/>
    </row>
    <row r="449">
      <c r="A449" s="51"/>
      <c r="H449" s="221"/>
    </row>
    <row r="450">
      <c r="A450" s="51"/>
      <c r="H450" s="221"/>
    </row>
    <row r="451">
      <c r="A451" s="51"/>
      <c r="H451" s="221"/>
    </row>
    <row r="452">
      <c r="A452" s="51"/>
      <c r="H452" s="221"/>
    </row>
    <row r="453">
      <c r="A453" s="51"/>
      <c r="H453" s="221"/>
    </row>
    <row r="454">
      <c r="A454" s="51"/>
      <c r="H454" s="221"/>
    </row>
    <row r="455">
      <c r="A455" s="51"/>
      <c r="H455" s="221"/>
    </row>
    <row r="456">
      <c r="A456" s="51"/>
      <c r="H456" s="221"/>
    </row>
    <row r="457">
      <c r="A457" s="51"/>
      <c r="H457" s="221"/>
    </row>
    <row r="458">
      <c r="A458" s="51"/>
      <c r="H458" s="221"/>
    </row>
    <row r="459">
      <c r="A459" s="51"/>
      <c r="H459" s="221"/>
    </row>
    <row r="460">
      <c r="A460" s="51"/>
      <c r="H460" s="221"/>
    </row>
    <row r="461">
      <c r="A461" s="51"/>
      <c r="H461" s="221"/>
    </row>
    <row r="462">
      <c r="A462" s="51"/>
      <c r="H462" s="221"/>
    </row>
    <row r="463">
      <c r="A463" s="51"/>
      <c r="H463" s="221"/>
    </row>
    <row r="464">
      <c r="A464" s="51"/>
      <c r="H464" s="221"/>
    </row>
    <row r="465">
      <c r="A465" s="51"/>
      <c r="H465" s="221"/>
    </row>
    <row r="466">
      <c r="A466" s="51"/>
      <c r="H466" s="221"/>
    </row>
    <row r="467">
      <c r="A467" s="51"/>
      <c r="H467" s="221"/>
    </row>
    <row r="468">
      <c r="A468" s="51"/>
      <c r="H468" s="221"/>
    </row>
    <row r="469">
      <c r="A469" s="51"/>
      <c r="H469" s="221"/>
    </row>
    <row r="470">
      <c r="A470" s="51"/>
      <c r="H470" s="221"/>
    </row>
    <row r="471">
      <c r="A471" s="51"/>
      <c r="H471" s="221"/>
    </row>
    <row r="472">
      <c r="A472" s="51"/>
      <c r="H472" s="221"/>
    </row>
    <row r="473">
      <c r="A473" s="51"/>
      <c r="H473" s="221"/>
    </row>
    <row r="474">
      <c r="A474" s="51"/>
      <c r="H474" s="221"/>
    </row>
    <row r="475">
      <c r="A475" s="51"/>
      <c r="H475" s="221"/>
    </row>
    <row r="476">
      <c r="A476" s="51"/>
      <c r="H476" s="221"/>
    </row>
    <row r="477">
      <c r="A477" s="51"/>
      <c r="H477" s="221"/>
    </row>
    <row r="478">
      <c r="A478" s="51"/>
      <c r="H478" s="221"/>
    </row>
    <row r="479">
      <c r="A479" s="51"/>
      <c r="H479" s="221"/>
    </row>
    <row r="480">
      <c r="A480" s="51"/>
      <c r="H480" s="221"/>
    </row>
    <row r="481">
      <c r="A481" s="51"/>
      <c r="H481" s="221"/>
    </row>
    <row r="482">
      <c r="A482" s="51"/>
      <c r="H482" s="221"/>
    </row>
    <row r="483">
      <c r="A483" s="51"/>
      <c r="H483" s="221"/>
    </row>
    <row r="484">
      <c r="A484" s="51"/>
      <c r="H484" s="221"/>
    </row>
    <row r="485">
      <c r="A485" s="51"/>
      <c r="H485" s="221"/>
    </row>
    <row r="486">
      <c r="A486" s="51"/>
      <c r="H486" s="221"/>
    </row>
    <row r="487">
      <c r="A487" s="51"/>
      <c r="H487" s="221"/>
    </row>
    <row r="488">
      <c r="A488" s="51"/>
      <c r="H488" s="221"/>
    </row>
    <row r="489">
      <c r="A489" s="51"/>
      <c r="H489" s="221"/>
    </row>
    <row r="490">
      <c r="A490" s="51"/>
      <c r="H490" s="221"/>
    </row>
    <row r="491">
      <c r="A491" s="51"/>
      <c r="H491" s="221"/>
    </row>
    <row r="492">
      <c r="A492" s="51"/>
      <c r="H492" s="221"/>
    </row>
    <row r="493">
      <c r="A493" s="51"/>
      <c r="H493" s="221"/>
    </row>
    <row r="494">
      <c r="A494" s="51"/>
      <c r="H494" s="221"/>
    </row>
    <row r="495">
      <c r="A495" s="51"/>
      <c r="H495" s="221"/>
    </row>
    <row r="496">
      <c r="A496" s="51"/>
      <c r="H496" s="221"/>
    </row>
    <row r="497">
      <c r="A497" s="51"/>
      <c r="H497" s="221"/>
    </row>
    <row r="498">
      <c r="A498" s="51"/>
      <c r="H498" s="221"/>
    </row>
    <row r="499">
      <c r="A499" s="51"/>
      <c r="H499" s="221"/>
    </row>
    <row r="500">
      <c r="A500" s="51"/>
      <c r="H500" s="221"/>
    </row>
    <row r="501">
      <c r="A501" s="51"/>
      <c r="H501" s="221"/>
    </row>
    <row r="502">
      <c r="A502" s="51"/>
      <c r="H502" s="221"/>
    </row>
    <row r="503">
      <c r="A503" s="51"/>
      <c r="H503" s="221"/>
    </row>
    <row r="504">
      <c r="A504" s="51"/>
      <c r="H504" s="221"/>
    </row>
    <row r="505">
      <c r="A505" s="51"/>
      <c r="H505" s="221"/>
    </row>
    <row r="506">
      <c r="A506" s="51"/>
      <c r="H506" s="221"/>
    </row>
    <row r="507">
      <c r="A507" s="51"/>
      <c r="H507" s="221"/>
    </row>
    <row r="508">
      <c r="A508" s="51"/>
      <c r="H508" s="221"/>
    </row>
    <row r="509">
      <c r="A509" s="51"/>
      <c r="H509" s="221"/>
    </row>
    <row r="510">
      <c r="A510" s="51"/>
      <c r="H510" s="221"/>
    </row>
    <row r="511">
      <c r="A511" s="51"/>
      <c r="H511" s="221"/>
    </row>
    <row r="512">
      <c r="A512" s="51"/>
      <c r="H512" s="221"/>
    </row>
    <row r="513">
      <c r="A513" s="51"/>
      <c r="H513" s="221"/>
    </row>
    <row r="514">
      <c r="A514" s="51"/>
      <c r="H514" s="221"/>
    </row>
    <row r="515">
      <c r="A515" s="51"/>
      <c r="H515" s="221"/>
    </row>
    <row r="516">
      <c r="A516" s="51"/>
      <c r="H516" s="221"/>
    </row>
    <row r="517">
      <c r="A517" s="51"/>
      <c r="H517" s="221"/>
    </row>
    <row r="518">
      <c r="A518" s="51"/>
      <c r="H518" s="221"/>
    </row>
    <row r="519">
      <c r="A519" s="51"/>
      <c r="H519" s="221"/>
    </row>
    <row r="520">
      <c r="A520" s="51"/>
      <c r="H520" s="221"/>
    </row>
    <row r="521">
      <c r="A521" s="51"/>
      <c r="H521" s="221"/>
    </row>
    <row r="522">
      <c r="A522" s="51"/>
      <c r="H522" s="221"/>
    </row>
    <row r="523">
      <c r="A523" s="51"/>
      <c r="H523" s="221"/>
    </row>
    <row r="524">
      <c r="A524" s="51"/>
      <c r="H524" s="221"/>
    </row>
    <row r="525">
      <c r="A525" s="51"/>
      <c r="H525" s="221"/>
    </row>
    <row r="526">
      <c r="A526" s="51"/>
      <c r="H526" s="221"/>
    </row>
    <row r="527">
      <c r="A527" s="51"/>
      <c r="H527" s="221"/>
    </row>
    <row r="528">
      <c r="A528" s="51"/>
      <c r="H528" s="221"/>
    </row>
    <row r="529">
      <c r="A529" s="51"/>
      <c r="H529" s="221"/>
    </row>
    <row r="530">
      <c r="A530" s="51"/>
      <c r="H530" s="221"/>
    </row>
    <row r="531">
      <c r="A531" s="51"/>
      <c r="H531" s="221"/>
    </row>
    <row r="532">
      <c r="A532" s="51"/>
      <c r="H532" s="221"/>
    </row>
    <row r="533">
      <c r="A533" s="51"/>
      <c r="H533" s="221"/>
    </row>
    <row r="534">
      <c r="A534" s="51"/>
      <c r="H534" s="221"/>
    </row>
    <row r="535">
      <c r="A535" s="51"/>
      <c r="H535" s="221"/>
    </row>
    <row r="536">
      <c r="A536" s="51"/>
      <c r="H536" s="221"/>
    </row>
    <row r="537">
      <c r="A537" s="51"/>
      <c r="H537" s="221"/>
    </row>
    <row r="538">
      <c r="A538" s="51"/>
      <c r="H538" s="221"/>
    </row>
    <row r="539">
      <c r="A539" s="51"/>
      <c r="H539" s="221"/>
    </row>
    <row r="540">
      <c r="A540" s="51"/>
      <c r="H540" s="221"/>
    </row>
    <row r="541">
      <c r="A541" s="51"/>
      <c r="H541" s="221"/>
    </row>
    <row r="542">
      <c r="A542" s="51"/>
      <c r="H542" s="221"/>
    </row>
    <row r="543">
      <c r="A543" s="51"/>
      <c r="H543" s="221"/>
    </row>
    <row r="544">
      <c r="A544" s="51"/>
      <c r="H544" s="221"/>
    </row>
    <row r="545">
      <c r="A545" s="51"/>
      <c r="H545" s="221"/>
    </row>
    <row r="546">
      <c r="A546" s="51"/>
      <c r="H546" s="221"/>
    </row>
    <row r="547">
      <c r="A547" s="51"/>
      <c r="H547" s="221"/>
    </row>
    <row r="548">
      <c r="A548" s="51"/>
      <c r="H548" s="221"/>
    </row>
    <row r="549">
      <c r="A549" s="51"/>
      <c r="H549" s="221"/>
    </row>
    <row r="550">
      <c r="A550" s="51"/>
      <c r="H550" s="221"/>
    </row>
    <row r="551">
      <c r="A551" s="51"/>
      <c r="H551" s="221"/>
    </row>
    <row r="552">
      <c r="A552" s="51"/>
      <c r="H552" s="221"/>
    </row>
    <row r="553">
      <c r="A553" s="51"/>
      <c r="H553" s="221"/>
    </row>
    <row r="554">
      <c r="A554" s="51"/>
      <c r="H554" s="221"/>
    </row>
    <row r="555">
      <c r="A555" s="51"/>
      <c r="H555" s="221"/>
    </row>
    <row r="556">
      <c r="A556" s="51"/>
      <c r="H556" s="221"/>
    </row>
    <row r="557">
      <c r="A557" s="51"/>
      <c r="H557" s="221"/>
    </row>
    <row r="558">
      <c r="A558" s="51"/>
      <c r="H558" s="221"/>
    </row>
    <row r="559">
      <c r="A559" s="51"/>
      <c r="H559" s="221"/>
    </row>
    <row r="560">
      <c r="A560" s="51"/>
      <c r="H560" s="221"/>
    </row>
    <row r="561">
      <c r="A561" s="51"/>
      <c r="H561" s="221"/>
    </row>
    <row r="562">
      <c r="A562" s="51"/>
      <c r="H562" s="221"/>
    </row>
    <row r="563">
      <c r="A563" s="51"/>
      <c r="H563" s="221"/>
    </row>
    <row r="564">
      <c r="A564" s="51"/>
      <c r="H564" s="221"/>
    </row>
    <row r="565">
      <c r="A565" s="51"/>
      <c r="H565" s="221"/>
    </row>
    <row r="566">
      <c r="A566" s="51"/>
      <c r="H566" s="221"/>
    </row>
    <row r="567">
      <c r="A567" s="51"/>
      <c r="H567" s="221"/>
    </row>
    <row r="568">
      <c r="A568" s="51"/>
      <c r="H568" s="221"/>
    </row>
    <row r="569">
      <c r="A569" s="51"/>
      <c r="H569" s="221"/>
    </row>
    <row r="570">
      <c r="A570" s="51"/>
      <c r="H570" s="221"/>
    </row>
    <row r="571">
      <c r="A571" s="51"/>
      <c r="H571" s="221"/>
    </row>
    <row r="572">
      <c r="A572" s="51"/>
      <c r="H572" s="221"/>
    </row>
    <row r="573">
      <c r="A573" s="51"/>
      <c r="H573" s="221"/>
    </row>
    <row r="574">
      <c r="A574" s="51"/>
      <c r="H574" s="221"/>
    </row>
    <row r="575">
      <c r="A575" s="51"/>
      <c r="H575" s="221"/>
    </row>
    <row r="576">
      <c r="A576" s="51"/>
      <c r="H576" s="221"/>
    </row>
    <row r="577">
      <c r="A577" s="51"/>
      <c r="H577" s="221"/>
    </row>
    <row r="578">
      <c r="A578" s="51"/>
      <c r="H578" s="221"/>
    </row>
    <row r="579">
      <c r="A579" s="51"/>
      <c r="H579" s="221"/>
    </row>
    <row r="580">
      <c r="A580" s="51"/>
      <c r="H580" s="221"/>
    </row>
    <row r="581">
      <c r="A581" s="51"/>
      <c r="H581" s="221"/>
    </row>
    <row r="582">
      <c r="A582" s="51"/>
      <c r="H582" s="221"/>
    </row>
    <row r="583">
      <c r="A583" s="51"/>
      <c r="H583" s="221"/>
    </row>
    <row r="584">
      <c r="A584" s="51"/>
      <c r="H584" s="221"/>
    </row>
    <row r="585">
      <c r="A585" s="51"/>
      <c r="H585" s="221"/>
    </row>
    <row r="586">
      <c r="A586" s="51"/>
      <c r="H586" s="221"/>
    </row>
    <row r="587">
      <c r="A587" s="51"/>
      <c r="H587" s="221"/>
    </row>
    <row r="588">
      <c r="A588" s="51"/>
      <c r="H588" s="221"/>
    </row>
    <row r="589">
      <c r="A589" s="51"/>
      <c r="H589" s="221"/>
    </row>
    <row r="590">
      <c r="A590" s="51"/>
      <c r="H590" s="221"/>
    </row>
    <row r="591">
      <c r="A591" s="51"/>
      <c r="H591" s="221"/>
    </row>
    <row r="592">
      <c r="A592" s="51"/>
      <c r="H592" s="221"/>
    </row>
    <row r="593">
      <c r="A593" s="51"/>
      <c r="H593" s="221"/>
    </row>
    <row r="594">
      <c r="A594" s="51"/>
      <c r="H594" s="221"/>
    </row>
    <row r="595">
      <c r="A595" s="51"/>
      <c r="H595" s="221"/>
    </row>
    <row r="596">
      <c r="A596" s="51"/>
      <c r="H596" s="221"/>
    </row>
    <row r="597">
      <c r="A597" s="51"/>
      <c r="H597" s="221"/>
    </row>
    <row r="598">
      <c r="A598" s="51"/>
      <c r="H598" s="221"/>
    </row>
    <row r="599">
      <c r="A599" s="51"/>
      <c r="H599" s="221"/>
    </row>
    <row r="600">
      <c r="A600" s="51"/>
      <c r="H600" s="221"/>
    </row>
    <row r="601">
      <c r="A601" s="51"/>
      <c r="H601" s="221"/>
    </row>
    <row r="602">
      <c r="A602" s="51"/>
      <c r="H602" s="221"/>
    </row>
    <row r="603">
      <c r="A603" s="51"/>
      <c r="H603" s="221"/>
    </row>
    <row r="604">
      <c r="A604" s="51"/>
      <c r="H604" s="221"/>
    </row>
    <row r="605">
      <c r="A605" s="51"/>
      <c r="H605" s="221"/>
    </row>
    <row r="606">
      <c r="A606" s="51"/>
      <c r="H606" s="221"/>
    </row>
    <row r="607">
      <c r="A607" s="51"/>
      <c r="H607" s="221"/>
    </row>
    <row r="608">
      <c r="A608" s="51"/>
      <c r="H608" s="221"/>
    </row>
    <row r="609">
      <c r="A609" s="51"/>
      <c r="H609" s="221"/>
    </row>
    <row r="610">
      <c r="A610" s="51"/>
      <c r="H610" s="221"/>
    </row>
    <row r="611">
      <c r="A611" s="51"/>
      <c r="H611" s="221"/>
    </row>
    <row r="612">
      <c r="A612" s="51"/>
      <c r="H612" s="221"/>
    </row>
    <row r="613">
      <c r="A613" s="51"/>
      <c r="H613" s="221"/>
    </row>
    <row r="614">
      <c r="A614" s="51"/>
      <c r="H614" s="221"/>
    </row>
    <row r="615">
      <c r="A615" s="51"/>
      <c r="H615" s="221"/>
    </row>
    <row r="616">
      <c r="A616" s="51"/>
      <c r="H616" s="221"/>
    </row>
    <row r="617">
      <c r="A617" s="51"/>
      <c r="H617" s="221"/>
    </row>
    <row r="618">
      <c r="A618" s="51"/>
      <c r="H618" s="221"/>
    </row>
    <row r="619">
      <c r="A619" s="51"/>
      <c r="H619" s="221"/>
    </row>
    <row r="620">
      <c r="A620" s="51"/>
      <c r="H620" s="221"/>
    </row>
    <row r="621">
      <c r="A621" s="51"/>
      <c r="H621" s="221"/>
    </row>
    <row r="622">
      <c r="A622" s="51"/>
      <c r="H622" s="221"/>
    </row>
    <row r="623">
      <c r="A623" s="51"/>
      <c r="H623" s="221"/>
    </row>
    <row r="624">
      <c r="A624" s="51"/>
      <c r="H624" s="221"/>
    </row>
    <row r="625">
      <c r="A625" s="51"/>
      <c r="H625" s="221"/>
    </row>
    <row r="626">
      <c r="A626" s="51"/>
      <c r="H626" s="221"/>
    </row>
    <row r="627">
      <c r="A627" s="51"/>
      <c r="H627" s="221"/>
    </row>
    <row r="628">
      <c r="A628" s="51"/>
      <c r="H628" s="221"/>
    </row>
    <row r="629">
      <c r="A629" s="51"/>
      <c r="H629" s="221"/>
    </row>
    <row r="630">
      <c r="A630" s="51"/>
      <c r="H630" s="221"/>
    </row>
    <row r="631">
      <c r="A631" s="51"/>
      <c r="H631" s="221"/>
    </row>
    <row r="632">
      <c r="A632" s="51"/>
      <c r="H632" s="221"/>
    </row>
    <row r="633">
      <c r="A633" s="51"/>
      <c r="H633" s="221"/>
    </row>
    <row r="634">
      <c r="A634" s="51"/>
      <c r="H634" s="221"/>
    </row>
    <row r="635">
      <c r="A635" s="51"/>
      <c r="H635" s="221"/>
    </row>
    <row r="636">
      <c r="A636" s="51"/>
      <c r="H636" s="221"/>
    </row>
    <row r="637">
      <c r="A637" s="51"/>
      <c r="H637" s="221"/>
    </row>
    <row r="638">
      <c r="A638" s="51"/>
      <c r="H638" s="221"/>
    </row>
    <row r="639">
      <c r="A639" s="51"/>
      <c r="H639" s="221"/>
    </row>
    <row r="640">
      <c r="A640" s="51"/>
      <c r="H640" s="221"/>
    </row>
    <row r="641">
      <c r="A641" s="51"/>
      <c r="H641" s="221"/>
    </row>
    <row r="642">
      <c r="A642" s="51"/>
      <c r="H642" s="221"/>
    </row>
    <row r="643">
      <c r="A643" s="51"/>
      <c r="H643" s="221"/>
    </row>
    <row r="644">
      <c r="A644" s="51"/>
      <c r="H644" s="221"/>
    </row>
    <row r="645">
      <c r="A645" s="51"/>
      <c r="H645" s="221"/>
    </row>
    <row r="646">
      <c r="A646" s="51"/>
      <c r="H646" s="221"/>
    </row>
    <row r="647">
      <c r="A647" s="51"/>
      <c r="H647" s="221"/>
    </row>
    <row r="648">
      <c r="A648" s="51"/>
      <c r="H648" s="221"/>
    </row>
    <row r="649">
      <c r="A649" s="51"/>
      <c r="H649" s="221"/>
    </row>
    <row r="650">
      <c r="A650" s="51"/>
      <c r="H650" s="221"/>
    </row>
    <row r="651">
      <c r="A651" s="51"/>
      <c r="H651" s="221"/>
    </row>
    <row r="652">
      <c r="A652" s="51"/>
      <c r="H652" s="221"/>
    </row>
    <row r="653">
      <c r="A653" s="51"/>
      <c r="H653" s="221"/>
    </row>
    <row r="654">
      <c r="A654" s="51"/>
      <c r="H654" s="221"/>
    </row>
    <row r="655">
      <c r="A655" s="51"/>
      <c r="H655" s="221"/>
    </row>
    <row r="656">
      <c r="A656" s="51"/>
      <c r="H656" s="221"/>
    </row>
    <row r="657">
      <c r="A657" s="51"/>
      <c r="H657" s="221"/>
    </row>
    <row r="658">
      <c r="A658" s="51"/>
      <c r="H658" s="221"/>
    </row>
    <row r="659">
      <c r="A659" s="51"/>
      <c r="H659" s="221"/>
    </row>
    <row r="660">
      <c r="A660" s="51"/>
      <c r="H660" s="221"/>
    </row>
    <row r="661">
      <c r="A661" s="51"/>
      <c r="H661" s="221"/>
    </row>
    <row r="662">
      <c r="A662" s="51"/>
      <c r="H662" s="221"/>
    </row>
    <row r="663">
      <c r="A663" s="51"/>
      <c r="H663" s="221"/>
    </row>
    <row r="664">
      <c r="A664" s="51"/>
      <c r="H664" s="221"/>
    </row>
    <row r="665">
      <c r="A665" s="51"/>
      <c r="H665" s="221"/>
    </row>
    <row r="666">
      <c r="A666" s="51"/>
      <c r="H666" s="221"/>
    </row>
    <row r="667">
      <c r="A667" s="51"/>
      <c r="H667" s="221"/>
    </row>
    <row r="668">
      <c r="A668" s="51"/>
      <c r="H668" s="221"/>
    </row>
    <row r="669">
      <c r="A669" s="51"/>
      <c r="H669" s="221"/>
    </row>
    <row r="670">
      <c r="A670" s="51"/>
      <c r="H670" s="221"/>
    </row>
    <row r="671">
      <c r="A671" s="51"/>
      <c r="H671" s="221"/>
    </row>
    <row r="672">
      <c r="A672" s="51"/>
      <c r="H672" s="221"/>
    </row>
    <row r="673">
      <c r="A673" s="51"/>
      <c r="H673" s="221"/>
    </row>
    <row r="674">
      <c r="A674" s="51"/>
      <c r="H674" s="221"/>
    </row>
    <row r="675">
      <c r="A675" s="51"/>
      <c r="H675" s="221"/>
    </row>
    <row r="676">
      <c r="A676" s="51"/>
      <c r="H676" s="221"/>
    </row>
    <row r="677">
      <c r="A677" s="51"/>
      <c r="H677" s="221"/>
    </row>
    <row r="678">
      <c r="A678" s="51"/>
      <c r="H678" s="221"/>
    </row>
    <row r="679">
      <c r="A679" s="51"/>
      <c r="H679" s="221"/>
    </row>
    <row r="680">
      <c r="A680" s="51"/>
      <c r="H680" s="221"/>
    </row>
    <row r="681">
      <c r="A681" s="51"/>
      <c r="H681" s="221"/>
    </row>
    <row r="682">
      <c r="A682" s="51"/>
      <c r="H682" s="221"/>
    </row>
    <row r="683">
      <c r="A683" s="51"/>
      <c r="H683" s="221"/>
    </row>
    <row r="684">
      <c r="A684" s="51"/>
      <c r="H684" s="221"/>
    </row>
    <row r="685">
      <c r="A685" s="51"/>
      <c r="H685" s="221"/>
    </row>
    <row r="686">
      <c r="A686" s="51"/>
      <c r="H686" s="221"/>
    </row>
    <row r="687">
      <c r="A687" s="51"/>
      <c r="H687" s="221"/>
    </row>
    <row r="688">
      <c r="A688" s="51"/>
      <c r="H688" s="221"/>
    </row>
    <row r="689">
      <c r="A689" s="51"/>
      <c r="H689" s="221"/>
    </row>
    <row r="690">
      <c r="A690" s="51"/>
      <c r="H690" s="221"/>
    </row>
    <row r="691">
      <c r="A691" s="51"/>
      <c r="H691" s="221"/>
    </row>
    <row r="692">
      <c r="A692" s="51"/>
      <c r="H692" s="221"/>
    </row>
    <row r="693">
      <c r="A693" s="51"/>
      <c r="H693" s="221"/>
    </row>
    <row r="694">
      <c r="A694" s="51"/>
      <c r="H694" s="221"/>
    </row>
    <row r="695">
      <c r="A695" s="51"/>
      <c r="H695" s="221"/>
    </row>
    <row r="696">
      <c r="A696" s="51"/>
      <c r="H696" s="221"/>
    </row>
    <row r="697">
      <c r="A697" s="51"/>
      <c r="H697" s="221"/>
    </row>
    <row r="698">
      <c r="A698" s="51"/>
      <c r="H698" s="221"/>
    </row>
    <row r="699">
      <c r="A699" s="51"/>
      <c r="H699" s="221"/>
    </row>
    <row r="700">
      <c r="A700" s="51"/>
      <c r="H700" s="221"/>
    </row>
    <row r="701">
      <c r="A701" s="51"/>
      <c r="H701" s="221"/>
    </row>
    <row r="702">
      <c r="A702" s="51"/>
      <c r="H702" s="221"/>
    </row>
    <row r="703">
      <c r="A703" s="51"/>
      <c r="H703" s="221"/>
    </row>
    <row r="704">
      <c r="A704" s="51"/>
      <c r="H704" s="221"/>
    </row>
    <row r="705">
      <c r="A705" s="51"/>
      <c r="H705" s="221"/>
    </row>
    <row r="706">
      <c r="A706" s="51"/>
      <c r="H706" s="221"/>
    </row>
    <row r="707">
      <c r="A707" s="51"/>
      <c r="H707" s="221"/>
    </row>
    <row r="708">
      <c r="A708" s="51"/>
      <c r="H708" s="221"/>
    </row>
    <row r="709">
      <c r="A709" s="51"/>
      <c r="H709" s="221"/>
    </row>
    <row r="710">
      <c r="A710" s="51"/>
      <c r="H710" s="221"/>
    </row>
    <row r="711">
      <c r="A711" s="51"/>
      <c r="H711" s="221"/>
    </row>
    <row r="712">
      <c r="A712" s="51"/>
      <c r="H712" s="221"/>
    </row>
    <row r="713">
      <c r="A713" s="51"/>
      <c r="H713" s="221"/>
    </row>
    <row r="714">
      <c r="A714" s="51"/>
      <c r="H714" s="221"/>
    </row>
    <row r="715">
      <c r="A715" s="51"/>
      <c r="H715" s="221"/>
    </row>
    <row r="716">
      <c r="A716" s="51"/>
      <c r="H716" s="221"/>
    </row>
    <row r="717">
      <c r="A717" s="51"/>
      <c r="H717" s="221"/>
    </row>
    <row r="718">
      <c r="A718" s="51"/>
      <c r="H718" s="221"/>
    </row>
    <row r="719">
      <c r="A719" s="51"/>
      <c r="H719" s="221"/>
    </row>
    <row r="720">
      <c r="A720" s="51"/>
      <c r="H720" s="221"/>
    </row>
    <row r="721">
      <c r="A721" s="51"/>
      <c r="H721" s="221"/>
    </row>
    <row r="722">
      <c r="A722" s="51"/>
      <c r="H722" s="221"/>
    </row>
    <row r="723">
      <c r="A723" s="51"/>
      <c r="H723" s="221"/>
    </row>
    <row r="724">
      <c r="A724" s="51"/>
      <c r="H724" s="221"/>
    </row>
    <row r="725">
      <c r="A725" s="51"/>
      <c r="H725" s="221"/>
    </row>
    <row r="726">
      <c r="A726" s="51"/>
      <c r="H726" s="221"/>
    </row>
    <row r="727">
      <c r="A727" s="51"/>
      <c r="H727" s="221"/>
    </row>
    <row r="728">
      <c r="A728" s="51"/>
      <c r="H728" s="221"/>
    </row>
    <row r="729">
      <c r="A729" s="51"/>
      <c r="H729" s="221"/>
    </row>
    <row r="730">
      <c r="A730" s="51"/>
      <c r="H730" s="221"/>
    </row>
    <row r="731">
      <c r="A731" s="51"/>
      <c r="H731" s="221"/>
    </row>
    <row r="732">
      <c r="A732" s="51"/>
      <c r="H732" s="221"/>
    </row>
    <row r="733">
      <c r="A733" s="51"/>
      <c r="H733" s="221"/>
    </row>
    <row r="734">
      <c r="A734" s="51"/>
      <c r="H734" s="221"/>
    </row>
    <row r="735">
      <c r="A735" s="51"/>
      <c r="H735" s="221"/>
    </row>
    <row r="736">
      <c r="A736" s="51"/>
      <c r="H736" s="221"/>
    </row>
    <row r="737">
      <c r="A737" s="51"/>
      <c r="H737" s="221"/>
    </row>
    <row r="738">
      <c r="A738" s="51"/>
      <c r="H738" s="221"/>
    </row>
    <row r="739">
      <c r="A739" s="51"/>
      <c r="H739" s="221"/>
    </row>
    <row r="740">
      <c r="A740" s="51"/>
      <c r="H740" s="221"/>
    </row>
    <row r="741">
      <c r="A741" s="51"/>
      <c r="H741" s="221"/>
    </row>
    <row r="742">
      <c r="A742" s="51"/>
      <c r="H742" s="221"/>
    </row>
    <row r="743">
      <c r="A743" s="51"/>
      <c r="H743" s="221"/>
    </row>
    <row r="744">
      <c r="A744" s="51"/>
      <c r="H744" s="221"/>
    </row>
    <row r="745">
      <c r="A745" s="51"/>
      <c r="H745" s="221"/>
    </row>
    <row r="746">
      <c r="A746" s="51"/>
      <c r="H746" s="221"/>
    </row>
    <row r="747">
      <c r="A747" s="51"/>
      <c r="H747" s="221"/>
    </row>
    <row r="748">
      <c r="A748" s="51"/>
      <c r="H748" s="221"/>
    </row>
    <row r="749">
      <c r="A749" s="51"/>
      <c r="H749" s="221"/>
    </row>
    <row r="750">
      <c r="A750" s="51"/>
      <c r="H750" s="221"/>
    </row>
    <row r="751">
      <c r="A751" s="51"/>
      <c r="H751" s="221"/>
    </row>
    <row r="752">
      <c r="A752" s="51"/>
      <c r="H752" s="221"/>
    </row>
    <row r="753">
      <c r="A753" s="51"/>
      <c r="H753" s="221"/>
    </row>
    <row r="754">
      <c r="A754" s="51"/>
      <c r="H754" s="221"/>
    </row>
    <row r="755">
      <c r="A755" s="51"/>
      <c r="H755" s="221"/>
    </row>
    <row r="756">
      <c r="A756" s="51"/>
      <c r="H756" s="221"/>
    </row>
    <row r="757">
      <c r="A757" s="51"/>
      <c r="H757" s="221"/>
    </row>
    <row r="758">
      <c r="A758" s="51"/>
      <c r="H758" s="221"/>
    </row>
    <row r="759">
      <c r="A759" s="51"/>
      <c r="H759" s="221"/>
    </row>
    <row r="760">
      <c r="A760" s="51"/>
      <c r="H760" s="221"/>
    </row>
    <row r="761">
      <c r="A761" s="51"/>
      <c r="H761" s="221"/>
    </row>
    <row r="762">
      <c r="A762" s="51"/>
      <c r="H762" s="221"/>
    </row>
    <row r="763">
      <c r="A763" s="51"/>
      <c r="H763" s="221"/>
    </row>
    <row r="764">
      <c r="A764" s="51"/>
      <c r="H764" s="221"/>
    </row>
    <row r="765">
      <c r="A765" s="51"/>
      <c r="H765" s="221"/>
    </row>
    <row r="766">
      <c r="A766" s="51"/>
      <c r="H766" s="221"/>
    </row>
    <row r="767">
      <c r="A767" s="51"/>
      <c r="H767" s="221"/>
    </row>
    <row r="768">
      <c r="A768" s="51"/>
      <c r="H768" s="221"/>
    </row>
    <row r="769">
      <c r="A769" s="51"/>
      <c r="H769" s="221"/>
    </row>
    <row r="770">
      <c r="A770" s="51"/>
      <c r="H770" s="221"/>
    </row>
    <row r="771">
      <c r="A771" s="51"/>
      <c r="H771" s="221"/>
    </row>
    <row r="772">
      <c r="A772" s="51"/>
      <c r="H772" s="221"/>
    </row>
    <row r="773">
      <c r="A773" s="51"/>
      <c r="H773" s="221"/>
    </row>
    <row r="774">
      <c r="A774" s="51"/>
      <c r="H774" s="221"/>
    </row>
    <row r="775">
      <c r="A775" s="51"/>
      <c r="H775" s="221"/>
    </row>
    <row r="776">
      <c r="A776" s="51"/>
      <c r="H776" s="221"/>
    </row>
    <row r="777">
      <c r="A777" s="51"/>
      <c r="H777" s="221"/>
    </row>
    <row r="778">
      <c r="A778" s="51"/>
      <c r="H778" s="221"/>
    </row>
    <row r="779">
      <c r="A779" s="51"/>
      <c r="H779" s="221"/>
    </row>
    <row r="780">
      <c r="A780" s="51"/>
      <c r="H780" s="221"/>
    </row>
    <row r="781">
      <c r="A781" s="51"/>
      <c r="H781" s="221"/>
    </row>
    <row r="782">
      <c r="A782" s="51"/>
      <c r="H782" s="221"/>
    </row>
    <row r="783">
      <c r="A783" s="51"/>
      <c r="H783" s="221"/>
    </row>
    <row r="784">
      <c r="A784" s="51"/>
      <c r="H784" s="221"/>
    </row>
    <row r="785">
      <c r="A785" s="51"/>
      <c r="H785" s="221"/>
    </row>
    <row r="786">
      <c r="A786" s="51"/>
      <c r="H786" s="221"/>
    </row>
    <row r="787">
      <c r="A787" s="51"/>
      <c r="H787" s="221"/>
    </row>
    <row r="788">
      <c r="A788" s="51"/>
      <c r="H788" s="221"/>
    </row>
    <row r="789">
      <c r="A789" s="51"/>
      <c r="H789" s="221"/>
    </row>
    <row r="790">
      <c r="A790" s="51"/>
      <c r="H790" s="221"/>
    </row>
    <row r="791">
      <c r="A791" s="51"/>
      <c r="H791" s="221"/>
    </row>
    <row r="792">
      <c r="A792" s="51"/>
      <c r="H792" s="221"/>
    </row>
    <row r="793">
      <c r="A793" s="51"/>
      <c r="H793" s="221"/>
    </row>
    <row r="794">
      <c r="A794" s="51"/>
      <c r="H794" s="221"/>
    </row>
    <row r="795">
      <c r="A795" s="51"/>
      <c r="H795" s="221"/>
    </row>
    <row r="796">
      <c r="A796" s="51"/>
      <c r="H796" s="221"/>
    </row>
    <row r="797">
      <c r="A797" s="51"/>
      <c r="H797" s="221"/>
    </row>
    <row r="798">
      <c r="A798" s="51"/>
      <c r="H798" s="221"/>
    </row>
    <row r="799">
      <c r="A799" s="51"/>
      <c r="H799" s="221"/>
    </row>
    <row r="800">
      <c r="A800" s="51"/>
      <c r="H800" s="221"/>
    </row>
    <row r="801">
      <c r="A801" s="51"/>
      <c r="H801" s="221"/>
    </row>
    <row r="802">
      <c r="A802" s="51"/>
      <c r="H802" s="221"/>
    </row>
    <row r="803">
      <c r="A803" s="51"/>
      <c r="H803" s="221"/>
    </row>
    <row r="804">
      <c r="A804" s="51"/>
      <c r="H804" s="221"/>
    </row>
    <row r="805">
      <c r="A805" s="51"/>
      <c r="H805" s="221"/>
    </row>
    <row r="806">
      <c r="A806" s="51"/>
      <c r="H806" s="221"/>
    </row>
    <row r="807">
      <c r="A807" s="51"/>
      <c r="H807" s="221"/>
    </row>
    <row r="808">
      <c r="A808" s="51"/>
      <c r="H808" s="221"/>
    </row>
    <row r="809">
      <c r="A809" s="51"/>
      <c r="H809" s="221"/>
    </row>
    <row r="810">
      <c r="A810" s="51"/>
      <c r="H810" s="221"/>
    </row>
    <row r="811">
      <c r="A811" s="51"/>
      <c r="H811" s="221"/>
    </row>
    <row r="812">
      <c r="A812" s="51"/>
      <c r="H812" s="221"/>
    </row>
    <row r="813">
      <c r="A813" s="51"/>
      <c r="H813" s="221"/>
    </row>
    <row r="814">
      <c r="A814" s="51"/>
      <c r="H814" s="221"/>
    </row>
    <row r="815">
      <c r="A815" s="51"/>
      <c r="H815" s="221"/>
    </row>
    <row r="816">
      <c r="A816" s="51"/>
      <c r="H816" s="221"/>
    </row>
    <row r="817">
      <c r="A817" s="51"/>
      <c r="H817" s="221"/>
    </row>
    <row r="818">
      <c r="A818" s="51"/>
      <c r="H818" s="221"/>
    </row>
    <row r="819">
      <c r="A819" s="51"/>
      <c r="H819" s="221"/>
    </row>
    <row r="820">
      <c r="A820" s="51"/>
      <c r="H820" s="221"/>
    </row>
    <row r="821">
      <c r="A821" s="51"/>
      <c r="H821" s="221"/>
    </row>
    <row r="822">
      <c r="A822" s="51"/>
      <c r="H822" s="221"/>
    </row>
    <row r="823">
      <c r="A823" s="51"/>
      <c r="H823" s="221"/>
    </row>
    <row r="824">
      <c r="A824" s="51"/>
      <c r="H824" s="221"/>
    </row>
    <row r="825">
      <c r="A825" s="51"/>
      <c r="H825" s="221"/>
    </row>
    <row r="826">
      <c r="A826" s="51"/>
      <c r="H826" s="221"/>
    </row>
    <row r="827">
      <c r="A827" s="51"/>
      <c r="H827" s="221"/>
    </row>
    <row r="828">
      <c r="A828" s="51"/>
      <c r="H828" s="221"/>
    </row>
    <row r="829">
      <c r="A829" s="51"/>
      <c r="H829" s="221"/>
    </row>
    <row r="830">
      <c r="A830" s="51"/>
      <c r="H830" s="221"/>
    </row>
    <row r="831">
      <c r="A831" s="51"/>
      <c r="H831" s="221"/>
    </row>
    <row r="832">
      <c r="A832" s="51"/>
      <c r="H832" s="221"/>
    </row>
    <row r="833">
      <c r="A833" s="51"/>
      <c r="H833" s="221"/>
    </row>
    <row r="834">
      <c r="A834" s="51"/>
      <c r="H834" s="221"/>
    </row>
    <row r="835">
      <c r="A835" s="51"/>
      <c r="H835" s="221"/>
    </row>
    <row r="836">
      <c r="A836" s="51"/>
      <c r="H836" s="221"/>
    </row>
    <row r="837">
      <c r="A837" s="51"/>
      <c r="H837" s="221"/>
    </row>
    <row r="838">
      <c r="A838" s="51"/>
      <c r="H838" s="221"/>
    </row>
    <row r="839">
      <c r="A839" s="51"/>
      <c r="H839" s="221"/>
    </row>
    <row r="840">
      <c r="A840" s="51"/>
      <c r="H840" s="221"/>
    </row>
    <row r="841">
      <c r="A841" s="51"/>
      <c r="H841" s="221"/>
    </row>
    <row r="842">
      <c r="A842" s="51"/>
      <c r="H842" s="221"/>
    </row>
    <row r="843">
      <c r="A843" s="51"/>
      <c r="H843" s="221"/>
    </row>
    <row r="844">
      <c r="A844" s="51"/>
      <c r="H844" s="221"/>
    </row>
    <row r="845">
      <c r="A845" s="51"/>
      <c r="H845" s="221"/>
    </row>
    <row r="846">
      <c r="A846" s="51"/>
      <c r="H846" s="221"/>
    </row>
    <row r="847">
      <c r="A847" s="51"/>
      <c r="H847" s="221"/>
    </row>
    <row r="848">
      <c r="A848" s="51"/>
      <c r="H848" s="221"/>
    </row>
    <row r="849">
      <c r="A849" s="51"/>
      <c r="H849" s="221"/>
    </row>
    <row r="850">
      <c r="A850" s="51"/>
      <c r="H850" s="221"/>
    </row>
    <row r="851">
      <c r="A851" s="51"/>
      <c r="H851" s="221"/>
    </row>
    <row r="852">
      <c r="A852" s="51"/>
      <c r="H852" s="221"/>
    </row>
    <row r="853">
      <c r="A853" s="51"/>
      <c r="H853" s="221"/>
    </row>
    <row r="854">
      <c r="A854" s="51"/>
      <c r="H854" s="221"/>
    </row>
    <row r="855">
      <c r="A855" s="51"/>
      <c r="H855" s="221"/>
    </row>
    <row r="856">
      <c r="A856" s="51"/>
      <c r="H856" s="221"/>
    </row>
    <row r="857">
      <c r="A857" s="51"/>
      <c r="H857" s="221"/>
    </row>
    <row r="858">
      <c r="A858" s="51"/>
      <c r="H858" s="221"/>
    </row>
    <row r="859">
      <c r="A859" s="51"/>
      <c r="H859" s="221"/>
    </row>
    <row r="860">
      <c r="A860" s="51"/>
      <c r="H860" s="221"/>
    </row>
    <row r="861">
      <c r="A861" s="51"/>
      <c r="H861" s="221"/>
    </row>
    <row r="862">
      <c r="A862" s="51"/>
      <c r="H862" s="221"/>
    </row>
    <row r="863">
      <c r="A863" s="51"/>
      <c r="H863" s="221"/>
    </row>
    <row r="864">
      <c r="A864" s="51"/>
      <c r="H864" s="221"/>
    </row>
    <row r="865">
      <c r="A865" s="51"/>
      <c r="H865" s="221"/>
    </row>
    <row r="866">
      <c r="A866" s="51"/>
      <c r="H866" s="221"/>
    </row>
    <row r="867">
      <c r="A867" s="51"/>
      <c r="H867" s="221"/>
    </row>
    <row r="868">
      <c r="A868" s="51"/>
      <c r="H868" s="221"/>
    </row>
    <row r="869">
      <c r="A869" s="51"/>
      <c r="H869" s="221"/>
    </row>
    <row r="870">
      <c r="A870" s="51"/>
      <c r="H870" s="221"/>
    </row>
    <row r="871">
      <c r="A871" s="51"/>
      <c r="H871" s="221"/>
    </row>
    <row r="872">
      <c r="A872" s="51"/>
      <c r="H872" s="221"/>
    </row>
    <row r="873">
      <c r="A873" s="51"/>
      <c r="H873" s="221"/>
    </row>
    <row r="874">
      <c r="A874" s="51"/>
      <c r="H874" s="221"/>
    </row>
    <row r="875">
      <c r="A875" s="51"/>
      <c r="H875" s="221"/>
    </row>
    <row r="876">
      <c r="A876" s="51"/>
      <c r="H876" s="221"/>
    </row>
    <row r="877">
      <c r="A877" s="51"/>
      <c r="H877" s="221"/>
    </row>
    <row r="878">
      <c r="A878" s="51"/>
      <c r="H878" s="221"/>
    </row>
    <row r="879">
      <c r="A879" s="51"/>
      <c r="H879" s="221"/>
    </row>
    <row r="880">
      <c r="A880" s="51"/>
      <c r="H880" s="221"/>
    </row>
    <row r="881">
      <c r="A881" s="51"/>
      <c r="H881" s="221"/>
    </row>
    <row r="882">
      <c r="A882" s="51"/>
      <c r="H882" s="221"/>
    </row>
    <row r="883">
      <c r="A883" s="51"/>
      <c r="H883" s="221"/>
    </row>
    <row r="884">
      <c r="A884" s="51"/>
      <c r="H884" s="221"/>
    </row>
    <row r="885">
      <c r="A885" s="51"/>
      <c r="H885" s="221"/>
    </row>
    <row r="886">
      <c r="A886" s="51"/>
      <c r="H886" s="221"/>
    </row>
    <row r="887">
      <c r="A887" s="51"/>
      <c r="H887" s="221"/>
    </row>
    <row r="888">
      <c r="A888" s="51"/>
      <c r="H888" s="221"/>
    </row>
    <row r="889">
      <c r="A889" s="51"/>
      <c r="H889" s="221"/>
    </row>
    <row r="890">
      <c r="A890" s="51"/>
      <c r="H890" s="221"/>
    </row>
    <row r="891">
      <c r="A891" s="51"/>
      <c r="H891" s="221"/>
    </row>
    <row r="892">
      <c r="A892" s="51"/>
      <c r="H892" s="221"/>
    </row>
    <row r="893">
      <c r="A893" s="51"/>
      <c r="H893" s="221"/>
    </row>
    <row r="894">
      <c r="A894" s="51"/>
      <c r="H894" s="221"/>
    </row>
    <row r="895">
      <c r="A895" s="51"/>
      <c r="H895" s="221"/>
    </row>
    <row r="896">
      <c r="A896" s="51"/>
      <c r="H896" s="221"/>
    </row>
    <row r="897">
      <c r="A897" s="51"/>
      <c r="H897" s="221"/>
    </row>
    <row r="898">
      <c r="A898" s="51"/>
      <c r="H898" s="221"/>
    </row>
    <row r="899">
      <c r="A899" s="51"/>
      <c r="H899" s="221"/>
    </row>
    <row r="900">
      <c r="A900" s="51"/>
      <c r="H900" s="221"/>
    </row>
    <row r="901">
      <c r="A901" s="51"/>
      <c r="H901" s="221"/>
    </row>
    <row r="902">
      <c r="A902" s="51"/>
      <c r="H902" s="221"/>
    </row>
    <row r="903">
      <c r="A903" s="51"/>
      <c r="H903" s="221"/>
    </row>
    <row r="904">
      <c r="A904" s="51"/>
      <c r="H904" s="221"/>
    </row>
    <row r="905">
      <c r="A905" s="51"/>
      <c r="H905" s="221"/>
    </row>
    <row r="906">
      <c r="A906" s="51"/>
      <c r="H906" s="221"/>
    </row>
    <row r="907">
      <c r="A907" s="51"/>
      <c r="H907" s="221"/>
    </row>
    <row r="908">
      <c r="A908" s="51"/>
      <c r="H908" s="221"/>
    </row>
    <row r="909">
      <c r="A909" s="51"/>
      <c r="H909" s="221"/>
    </row>
    <row r="910">
      <c r="A910" s="51"/>
      <c r="H910" s="221"/>
    </row>
    <row r="911">
      <c r="A911" s="51"/>
      <c r="H911" s="221"/>
    </row>
    <row r="912">
      <c r="A912" s="51"/>
      <c r="H912" s="221"/>
    </row>
    <row r="913">
      <c r="A913" s="51"/>
      <c r="H913" s="221"/>
    </row>
    <row r="914">
      <c r="A914" s="51"/>
      <c r="H914" s="221"/>
    </row>
    <row r="915">
      <c r="A915" s="51"/>
      <c r="H915" s="221"/>
    </row>
    <row r="916">
      <c r="A916" s="51"/>
      <c r="H916" s="221"/>
    </row>
    <row r="917">
      <c r="A917" s="51"/>
      <c r="H917" s="221"/>
    </row>
    <row r="918">
      <c r="A918" s="51"/>
      <c r="H918" s="221"/>
    </row>
    <row r="919">
      <c r="A919" s="51"/>
      <c r="H919" s="221"/>
    </row>
    <row r="920">
      <c r="A920" s="51"/>
      <c r="H920" s="221"/>
    </row>
    <row r="921">
      <c r="A921" s="51"/>
      <c r="H921" s="221"/>
    </row>
    <row r="922">
      <c r="A922" s="51"/>
      <c r="H922" s="221"/>
    </row>
    <row r="923">
      <c r="A923" s="51"/>
      <c r="H923" s="221"/>
    </row>
    <row r="924">
      <c r="A924" s="51"/>
      <c r="H924" s="221"/>
    </row>
    <row r="925">
      <c r="A925" s="51"/>
      <c r="H925" s="221"/>
    </row>
    <row r="926">
      <c r="A926" s="51"/>
      <c r="H926" s="221"/>
    </row>
    <row r="927">
      <c r="A927" s="51"/>
      <c r="H927" s="221"/>
    </row>
    <row r="928">
      <c r="A928" s="51"/>
      <c r="H928" s="221"/>
    </row>
    <row r="929">
      <c r="A929" s="51"/>
      <c r="H929" s="221"/>
    </row>
    <row r="930">
      <c r="A930" s="51"/>
      <c r="H930" s="221"/>
    </row>
    <row r="931">
      <c r="A931" s="51"/>
      <c r="H931" s="221"/>
    </row>
    <row r="932">
      <c r="A932" s="51"/>
      <c r="H932" s="221"/>
    </row>
    <row r="933">
      <c r="A933" s="51"/>
      <c r="H933" s="221"/>
    </row>
    <row r="934">
      <c r="A934" s="51"/>
      <c r="H934" s="221"/>
    </row>
    <row r="935">
      <c r="A935" s="51"/>
      <c r="H935" s="221"/>
    </row>
    <row r="936">
      <c r="A936" s="51"/>
      <c r="H936" s="221"/>
    </row>
    <row r="937">
      <c r="A937" s="51"/>
      <c r="H937" s="221"/>
    </row>
    <row r="938">
      <c r="A938" s="51"/>
      <c r="H938" s="221"/>
    </row>
    <row r="939">
      <c r="A939" s="51"/>
      <c r="H939" s="221"/>
    </row>
    <row r="940">
      <c r="A940" s="51"/>
      <c r="H940" s="221"/>
    </row>
    <row r="941">
      <c r="A941" s="51"/>
      <c r="H941" s="221"/>
    </row>
    <row r="942">
      <c r="A942" s="51"/>
      <c r="H942" s="221"/>
    </row>
    <row r="943">
      <c r="A943" s="51"/>
      <c r="H943" s="221"/>
    </row>
    <row r="944">
      <c r="A944" s="51"/>
      <c r="H944" s="221"/>
    </row>
    <row r="945">
      <c r="A945" s="51"/>
      <c r="H945" s="221"/>
    </row>
    <row r="946">
      <c r="A946" s="51"/>
      <c r="H946" s="221"/>
    </row>
    <row r="947">
      <c r="A947" s="51"/>
      <c r="H947" s="221"/>
    </row>
    <row r="948">
      <c r="A948" s="51"/>
      <c r="H948" s="221"/>
    </row>
    <row r="949">
      <c r="A949" s="51"/>
      <c r="H949" s="221"/>
    </row>
    <row r="950">
      <c r="A950" s="51"/>
      <c r="H950" s="221"/>
    </row>
    <row r="951">
      <c r="A951" s="51"/>
      <c r="H951" s="221"/>
    </row>
    <row r="952">
      <c r="A952" s="51"/>
      <c r="H952" s="221"/>
    </row>
    <row r="953">
      <c r="A953" s="51"/>
      <c r="H953" s="221"/>
    </row>
    <row r="954">
      <c r="A954" s="51"/>
      <c r="H954" s="221"/>
    </row>
    <row r="955">
      <c r="A955" s="51"/>
      <c r="H955" s="221"/>
    </row>
    <row r="956">
      <c r="A956" s="51"/>
      <c r="H956" s="221"/>
    </row>
    <row r="957">
      <c r="A957" s="51"/>
      <c r="H957" s="221"/>
    </row>
    <row r="958">
      <c r="A958" s="51"/>
      <c r="H958" s="221"/>
    </row>
    <row r="959">
      <c r="A959" s="51"/>
      <c r="H959" s="221"/>
    </row>
    <row r="960">
      <c r="A960" s="51"/>
      <c r="H960" s="221"/>
    </row>
    <row r="961">
      <c r="A961" s="51"/>
      <c r="H961" s="221"/>
    </row>
    <row r="962">
      <c r="A962" s="51"/>
      <c r="H962" s="221"/>
    </row>
    <row r="963">
      <c r="A963" s="51"/>
      <c r="H963" s="221"/>
    </row>
    <row r="964">
      <c r="A964" s="51"/>
      <c r="H964" s="221"/>
    </row>
    <row r="965">
      <c r="A965" s="51"/>
      <c r="H965" s="221"/>
    </row>
    <row r="966">
      <c r="A966" s="51"/>
      <c r="H966" s="221"/>
    </row>
    <row r="967">
      <c r="A967" s="51"/>
      <c r="H967" s="221"/>
    </row>
    <row r="968">
      <c r="A968" s="51"/>
      <c r="H968" s="221"/>
    </row>
    <row r="969">
      <c r="A969" s="51"/>
      <c r="H969" s="221"/>
    </row>
    <row r="970">
      <c r="A970" s="51"/>
      <c r="H970" s="221"/>
    </row>
    <row r="971">
      <c r="A971" s="51"/>
      <c r="H971" s="221"/>
    </row>
    <row r="972">
      <c r="A972" s="51"/>
      <c r="H972" s="221"/>
    </row>
    <row r="973">
      <c r="A973" s="51"/>
      <c r="H973" s="221"/>
    </row>
    <row r="974">
      <c r="A974" s="51"/>
      <c r="H974" s="221"/>
    </row>
    <row r="975">
      <c r="A975" s="51"/>
      <c r="H975" s="221"/>
    </row>
    <row r="976">
      <c r="A976" s="51"/>
      <c r="H976" s="221"/>
    </row>
    <row r="977">
      <c r="A977" s="51"/>
      <c r="H977" s="221"/>
    </row>
    <row r="978">
      <c r="A978" s="51"/>
      <c r="H978" s="221"/>
    </row>
    <row r="979">
      <c r="A979" s="51"/>
      <c r="H979" s="221"/>
    </row>
    <row r="980">
      <c r="A980" s="51"/>
      <c r="H980" s="221"/>
    </row>
    <row r="981">
      <c r="A981" s="51"/>
      <c r="H981" s="221"/>
    </row>
    <row r="982">
      <c r="A982" s="51"/>
      <c r="H982" s="221"/>
    </row>
    <row r="983">
      <c r="A983" s="51"/>
      <c r="H983" s="221"/>
    </row>
    <row r="984">
      <c r="A984" s="51"/>
      <c r="H984" s="221"/>
    </row>
    <row r="985">
      <c r="A985" s="51"/>
      <c r="H985" s="221"/>
    </row>
    <row r="986">
      <c r="A986" s="51"/>
      <c r="H986" s="221"/>
    </row>
    <row r="987">
      <c r="A987" s="51"/>
      <c r="H987" s="221"/>
    </row>
    <row r="988">
      <c r="A988" s="51"/>
      <c r="H988" s="221"/>
    </row>
    <row r="989">
      <c r="A989" s="51"/>
      <c r="H989" s="221"/>
    </row>
    <row r="990">
      <c r="A990" s="51"/>
      <c r="H990" s="221"/>
    </row>
    <row r="991">
      <c r="A991" s="51"/>
      <c r="H991" s="221"/>
    </row>
    <row r="992">
      <c r="A992" s="51"/>
      <c r="H992" s="221"/>
    </row>
    <row r="993">
      <c r="A993" s="51"/>
      <c r="H993" s="221"/>
    </row>
    <row r="994">
      <c r="A994" s="51"/>
      <c r="H994" s="221"/>
    </row>
    <row r="995">
      <c r="A995" s="51"/>
      <c r="H995" s="221"/>
    </row>
    <row r="996">
      <c r="A996" s="51"/>
      <c r="H996" s="221"/>
    </row>
    <row r="997">
      <c r="A997" s="51"/>
      <c r="H997" s="221"/>
    </row>
    <row r="998">
      <c r="A998" s="51"/>
      <c r="H998" s="221"/>
    </row>
    <row r="999">
      <c r="A999" s="51"/>
      <c r="H999" s="221"/>
    </row>
    <row r="1000">
      <c r="A1000" s="51"/>
      <c r="H1000" s="221"/>
    </row>
    <row r="1001">
      <c r="A1001" s="51"/>
      <c r="H1001" s="221"/>
    </row>
    <row r="1002">
      <c r="A1002" s="51"/>
      <c r="H1002" s="221"/>
    </row>
    <row r="1003">
      <c r="A1003" s="51"/>
      <c r="H1003" s="221"/>
    </row>
    <row r="1004">
      <c r="A1004" s="51"/>
      <c r="H1004" s="221"/>
    </row>
    <row r="1005">
      <c r="A1005" s="51"/>
      <c r="H1005" s="221"/>
    </row>
    <row r="1006">
      <c r="A1006" s="51"/>
      <c r="H1006" s="221"/>
    </row>
    <row r="1007">
      <c r="A1007" s="51"/>
      <c r="H1007" s="221"/>
    </row>
    <row r="1008">
      <c r="A1008" s="51"/>
      <c r="H1008" s="221"/>
    </row>
    <row r="1009">
      <c r="A1009" s="51"/>
      <c r="H1009" s="221"/>
    </row>
    <row r="1010">
      <c r="A1010" s="51"/>
      <c r="H1010" s="221"/>
    </row>
    <row r="1011">
      <c r="A1011" s="51"/>
      <c r="H1011" s="221"/>
    </row>
    <row r="1012">
      <c r="A1012" s="51"/>
      <c r="H1012" s="221"/>
    </row>
    <row r="1013">
      <c r="A1013" s="51"/>
      <c r="H1013" s="221"/>
    </row>
    <row r="1014">
      <c r="A1014" s="51"/>
      <c r="H1014" s="221"/>
    </row>
    <row r="1015">
      <c r="A1015" s="51"/>
      <c r="H1015" s="221"/>
    </row>
    <row r="1016">
      <c r="A1016" s="51"/>
      <c r="H1016" s="221"/>
    </row>
    <row r="1017">
      <c r="A1017" s="51"/>
      <c r="H1017" s="221"/>
    </row>
    <row r="1018">
      <c r="A1018" s="51"/>
      <c r="H1018" s="221"/>
    </row>
    <row r="1019">
      <c r="A1019" s="51"/>
      <c r="H1019" s="221"/>
    </row>
    <row r="1020">
      <c r="A1020" s="51"/>
      <c r="H1020" s="221"/>
    </row>
    <row r="1021">
      <c r="A1021" s="51"/>
      <c r="H1021" s="221"/>
    </row>
    <row r="1022">
      <c r="A1022" s="51"/>
      <c r="H1022" s="221"/>
    </row>
    <row r="1023">
      <c r="A1023" s="51"/>
      <c r="H1023" s="221"/>
    </row>
    <row r="1024">
      <c r="A1024" s="51"/>
      <c r="H1024" s="221"/>
    </row>
    <row r="1025">
      <c r="A1025" s="51"/>
      <c r="H1025" s="221"/>
    </row>
    <row r="1026">
      <c r="A1026" s="51"/>
      <c r="H1026" s="221"/>
    </row>
    <row r="1027">
      <c r="A1027" s="51"/>
      <c r="H1027" s="221"/>
    </row>
    <row r="1028">
      <c r="A1028" s="51"/>
      <c r="H1028" s="221"/>
    </row>
    <row r="1029">
      <c r="A1029" s="51"/>
      <c r="H1029" s="221"/>
    </row>
    <row r="1030">
      <c r="A1030" s="51"/>
      <c r="H1030" s="221"/>
    </row>
    <row r="1031">
      <c r="A1031" s="51"/>
      <c r="H1031" s="221"/>
    </row>
    <row r="1032">
      <c r="A1032" s="51"/>
      <c r="H1032" s="221"/>
    </row>
    <row r="1033">
      <c r="A1033" s="51"/>
      <c r="H1033" s="221"/>
    </row>
    <row r="1034">
      <c r="A1034" s="51"/>
      <c r="H1034" s="221"/>
    </row>
    <row r="1035">
      <c r="A1035" s="51"/>
      <c r="H1035" s="221"/>
    </row>
    <row r="1036">
      <c r="A1036" s="51"/>
      <c r="H1036" s="221"/>
    </row>
    <row r="1037">
      <c r="A1037" s="51"/>
      <c r="H1037" s="221"/>
    </row>
    <row r="1038">
      <c r="A1038" s="51"/>
      <c r="H1038" s="221"/>
    </row>
    <row r="1039">
      <c r="A1039" s="51"/>
      <c r="H1039" s="221"/>
    </row>
    <row r="1040">
      <c r="A1040" s="51"/>
      <c r="H1040" s="221"/>
    </row>
    <row r="1041">
      <c r="A1041" s="51"/>
      <c r="H1041" s="221"/>
    </row>
    <row r="1042">
      <c r="A1042" s="51"/>
      <c r="H1042" s="221"/>
    </row>
    <row r="1043">
      <c r="A1043" s="51"/>
      <c r="H1043" s="221"/>
    </row>
    <row r="1044">
      <c r="A1044" s="51"/>
      <c r="H1044" s="221"/>
    </row>
    <row r="1045">
      <c r="A1045" s="51"/>
      <c r="H1045" s="221"/>
    </row>
    <row r="1046">
      <c r="A1046" s="51"/>
      <c r="H1046" s="221"/>
    </row>
    <row r="1047">
      <c r="A1047" s="51"/>
      <c r="H1047" s="221"/>
    </row>
    <row r="1048">
      <c r="A1048" s="51"/>
      <c r="H1048" s="221"/>
    </row>
    <row r="1049">
      <c r="A1049" s="51"/>
      <c r="H1049" s="221"/>
    </row>
    <row r="1050">
      <c r="A1050" s="51"/>
      <c r="H1050" s="221"/>
    </row>
    <row r="1051">
      <c r="A1051" s="51"/>
      <c r="H1051" s="221"/>
    </row>
    <row r="1052">
      <c r="A1052" s="51"/>
      <c r="H1052" s="221"/>
    </row>
    <row r="1053">
      <c r="A1053" s="51"/>
      <c r="H1053" s="221"/>
    </row>
    <row r="1054">
      <c r="A1054" s="51"/>
      <c r="H1054" s="221"/>
    </row>
    <row r="1055">
      <c r="A1055" s="51"/>
      <c r="H1055" s="221"/>
    </row>
    <row r="1056">
      <c r="A1056" s="51"/>
      <c r="H1056" s="221"/>
    </row>
    <row r="1057">
      <c r="A1057" s="51"/>
      <c r="H1057" s="221"/>
    </row>
    <row r="1058">
      <c r="A1058" s="51"/>
      <c r="H1058" s="221"/>
    </row>
    <row r="1059">
      <c r="A1059" s="51"/>
      <c r="H1059" s="221"/>
    </row>
    <row r="1060">
      <c r="A1060" s="51"/>
      <c r="H1060" s="221"/>
    </row>
    <row r="1061">
      <c r="A1061" s="51"/>
      <c r="H1061" s="221"/>
    </row>
    <row r="1062">
      <c r="A1062" s="51"/>
      <c r="H1062" s="221"/>
    </row>
    <row r="1063">
      <c r="A1063" s="51"/>
      <c r="H1063" s="221"/>
    </row>
    <row r="1064">
      <c r="A1064" s="51"/>
      <c r="H1064" s="221"/>
    </row>
    <row r="1065">
      <c r="A1065" s="51"/>
      <c r="H1065" s="221"/>
    </row>
    <row r="1066">
      <c r="A1066" s="51"/>
      <c r="H1066" s="221"/>
    </row>
    <row r="1067">
      <c r="A1067" s="51"/>
      <c r="H1067" s="221"/>
    </row>
    <row r="1068">
      <c r="A1068" s="51"/>
      <c r="H1068" s="221"/>
    </row>
    <row r="1069">
      <c r="A1069" s="51"/>
      <c r="H1069" s="221"/>
    </row>
    <row r="1070">
      <c r="A1070" s="51"/>
      <c r="H1070" s="221"/>
    </row>
    <row r="1071">
      <c r="A1071" s="51"/>
      <c r="H1071" s="221"/>
    </row>
    <row r="1072">
      <c r="A1072" s="51"/>
      <c r="H1072" s="221"/>
    </row>
    <row r="1073">
      <c r="A1073" s="51"/>
      <c r="H1073" s="221"/>
    </row>
    <row r="1074">
      <c r="A1074" s="51"/>
      <c r="H1074" s="221"/>
    </row>
    <row r="1075">
      <c r="A1075" s="51"/>
      <c r="H1075" s="221"/>
    </row>
    <row r="1076">
      <c r="A1076" s="51"/>
      <c r="H1076" s="221"/>
    </row>
    <row r="1077">
      <c r="A1077" s="51"/>
      <c r="H1077" s="221"/>
    </row>
    <row r="1078">
      <c r="A1078" s="51"/>
      <c r="H1078" s="221"/>
    </row>
    <row r="1079">
      <c r="A1079" s="51"/>
      <c r="H1079" s="221"/>
    </row>
    <row r="1080">
      <c r="A1080" s="51"/>
      <c r="H1080" s="221"/>
    </row>
    <row r="1081">
      <c r="A1081" s="51"/>
      <c r="H1081" s="221"/>
    </row>
    <row r="1082">
      <c r="A1082" s="51"/>
      <c r="H1082" s="221"/>
    </row>
    <row r="1083">
      <c r="A1083" s="51"/>
      <c r="H1083" s="221"/>
    </row>
    <row r="1084">
      <c r="A1084" s="51"/>
      <c r="H1084" s="221"/>
    </row>
    <row r="1085">
      <c r="A1085" s="51"/>
      <c r="H1085" s="221"/>
    </row>
    <row r="1086">
      <c r="A1086" s="51"/>
      <c r="H1086" s="221"/>
    </row>
    <row r="1087">
      <c r="A1087" s="51"/>
      <c r="H1087" s="221"/>
    </row>
    <row r="1088">
      <c r="A1088" s="51"/>
      <c r="H1088" s="221"/>
    </row>
    <row r="1089">
      <c r="A1089" s="51"/>
      <c r="H1089" s="221"/>
    </row>
    <row r="1090">
      <c r="A1090" s="51"/>
      <c r="H1090" s="221"/>
    </row>
    <row r="1091">
      <c r="A1091" s="51"/>
      <c r="H1091" s="221"/>
    </row>
    <row r="1092">
      <c r="A1092" s="51"/>
      <c r="H1092" s="221"/>
    </row>
    <row r="1093">
      <c r="A1093" s="51"/>
      <c r="H1093" s="221"/>
    </row>
    <row r="1094">
      <c r="A1094" s="51"/>
      <c r="H1094" s="221"/>
    </row>
    <row r="1095">
      <c r="A1095" s="51"/>
      <c r="H1095" s="221"/>
    </row>
    <row r="1096">
      <c r="A1096" s="51"/>
      <c r="H1096" s="221"/>
    </row>
    <row r="1097">
      <c r="A1097" s="51"/>
      <c r="H1097" s="221"/>
    </row>
    <row r="1098">
      <c r="A1098" s="51"/>
      <c r="H1098" s="221"/>
    </row>
    <row r="1099">
      <c r="A1099" s="51"/>
      <c r="H1099" s="221"/>
    </row>
    <row r="1100">
      <c r="A1100" s="51"/>
      <c r="H1100" s="221"/>
    </row>
    <row r="1101">
      <c r="A1101" s="51"/>
      <c r="H1101" s="221"/>
    </row>
    <row r="1102">
      <c r="A1102" s="51"/>
      <c r="H1102" s="221"/>
    </row>
    <row r="1103">
      <c r="A1103" s="51"/>
      <c r="H1103" s="221"/>
    </row>
    <row r="1104">
      <c r="A1104" s="51"/>
      <c r="H1104" s="221"/>
    </row>
    <row r="1105">
      <c r="A1105" s="51"/>
      <c r="H1105" s="221"/>
    </row>
    <row r="1106">
      <c r="A1106" s="51"/>
      <c r="H1106" s="221"/>
    </row>
    <row r="1107">
      <c r="A1107" s="51"/>
      <c r="H1107" s="221"/>
    </row>
    <row r="1108">
      <c r="A1108" s="51"/>
      <c r="H1108" s="221"/>
    </row>
    <row r="1109">
      <c r="A1109" s="51"/>
      <c r="H1109" s="221"/>
    </row>
    <row r="1110">
      <c r="A1110" s="51"/>
      <c r="H1110" s="221"/>
    </row>
    <row r="1111">
      <c r="A1111" s="51"/>
      <c r="H1111" s="221"/>
    </row>
    <row r="1112">
      <c r="A1112" s="51"/>
      <c r="H1112" s="221"/>
    </row>
    <row r="1113">
      <c r="A1113" s="51"/>
      <c r="H1113" s="221"/>
    </row>
    <row r="1114">
      <c r="A1114" s="51"/>
      <c r="H1114" s="221"/>
    </row>
    <row r="1115">
      <c r="A1115" s="51"/>
      <c r="H1115" s="221"/>
    </row>
    <row r="1116">
      <c r="A1116" s="51"/>
      <c r="H1116" s="221"/>
    </row>
    <row r="1117">
      <c r="A1117" s="51"/>
      <c r="H1117" s="221"/>
    </row>
    <row r="1118">
      <c r="A1118" s="51"/>
      <c r="H1118" s="221"/>
    </row>
    <row r="1119">
      <c r="A1119" s="51"/>
      <c r="H1119" s="221"/>
    </row>
    <row r="1120">
      <c r="A1120" s="51"/>
      <c r="H1120" s="221"/>
    </row>
    <row r="1121">
      <c r="A1121" s="51"/>
      <c r="H1121" s="221"/>
    </row>
    <row r="1122">
      <c r="A1122" s="51"/>
      <c r="H1122" s="221"/>
    </row>
    <row r="1123">
      <c r="A1123" s="51"/>
      <c r="H1123" s="221"/>
    </row>
    <row r="1124">
      <c r="A1124" s="51"/>
      <c r="H1124" s="221"/>
    </row>
    <row r="1125">
      <c r="A1125" s="51"/>
      <c r="H1125" s="221"/>
    </row>
    <row r="1126">
      <c r="A1126" s="51"/>
      <c r="H1126" s="221"/>
    </row>
    <row r="1127">
      <c r="A1127" s="51"/>
      <c r="H1127" s="221"/>
    </row>
    <row r="1128">
      <c r="A1128" s="51"/>
      <c r="H1128" s="221"/>
    </row>
    <row r="1129">
      <c r="A1129" s="51"/>
      <c r="H1129" s="221"/>
    </row>
    <row r="1130">
      <c r="A1130" s="51"/>
      <c r="H1130" s="221"/>
    </row>
    <row r="1131">
      <c r="A1131" s="51"/>
      <c r="H1131" s="221"/>
    </row>
    <row r="1132">
      <c r="A1132" s="51"/>
      <c r="H1132" s="221"/>
    </row>
    <row r="1133">
      <c r="A1133" s="51"/>
      <c r="H1133" s="221"/>
    </row>
    <row r="1134">
      <c r="A1134" s="51"/>
      <c r="H1134" s="221"/>
    </row>
    <row r="1135">
      <c r="A1135" s="51"/>
      <c r="H1135" s="221"/>
    </row>
    <row r="1136">
      <c r="A1136" s="51"/>
      <c r="H1136" s="221"/>
    </row>
    <row r="1137">
      <c r="A1137" s="51"/>
      <c r="H1137" s="221"/>
    </row>
    <row r="1138">
      <c r="A1138" s="51"/>
      <c r="H1138" s="221"/>
    </row>
    <row r="1139">
      <c r="A1139" s="51"/>
      <c r="H1139" s="221"/>
    </row>
    <row r="1140">
      <c r="A1140" s="51"/>
      <c r="H1140" s="221"/>
    </row>
    <row r="1141">
      <c r="A1141" s="51"/>
      <c r="H1141" s="221"/>
    </row>
    <row r="1142">
      <c r="A1142" s="51"/>
      <c r="H1142" s="221"/>
    </row>
    <row r="1143">
      <c r="A1143" s="51"/>
      <c r="H1143" s="221"/>
    </row>
    <row r="1144">
      <c r="A1144" s="51"/>
      <c r="H1144" s="221"/>
    </row>
    <row r="1145">
      <c r="A1145" s="51"/>
      <c r="H1145" s="221"/>
    </row>
    <row r="1146">
      <c r="A1146" s="51"/>
      <c r="H1146" s="221"/>
    </row>
    <row r="1147">
      <c r="A1147" s="51"/>
      <c r="H1147" s="221"/>
    </row>
    <row r="1148">
      <c r="A1148" s="51"/>
      <c r="H1148" s="221"/>
    </row>
    <row r="1149">
      <c r="A1149" s="51"/>
      <c r="H1149" s="221"/>
    </row>
    <row r="1150">
      <c r="A1150" s="51"/>
      <c r="H1150" s="221"/>
    </row>
    <row r="1151">
      <c r="A1151" s="51"/>
      <c r="H1151" s="221"/>
    </row>
    <row r="1152">
      <c r="A1152" s="51"/>
      <c r="H1152" s="221"/>
    </row>
    <row r="1153">
      <c r="A1153" s="51"/>
      <c r="H1153" s="221"/>
    </row>
    <row r="1154">
      <c r="A1154" s="51"/>
      <c r="H1154" s="221"/>
    </row>
    <row r="1155">
      <c r="A1155" s="51"/>
      <c r="H1155" s="221"/>
    </row>
    <row r="1156">
      <c r="A1156" s="51"/>
      <c r="H1156" s="221"/>
    </row>
    <row r="1157">
      <c r="A1157" s="51"/>
      <c r="H1157" s="221"/>
    </row>
    <row r="1158">
      <c r="A1158" s="51"/>
      <c r="H1158" s="221"/>
    </row>
    <row r="1159">
      <c r="A1159" s="51"/>
      <c r="H1159" s="221"/>
    </row>
    <row r="1160">
      <c r="A1160" s="51"/>
      <c r="H1160" s="221"/>
    </row>
    <row r="1161">
      <c r="A1161" s="51"/>
      <c r="H1161" s="221"/>
    </row>
    <row r="1162">
      <c r="A1162" s="51"/>
      <c r="H1162" s="221"/>
    </row>
    <row r="1163">
      <c r="A1163" s="51"/>
      <c r="H1163" s="221"/>
    </row>
    <row r="1164">
      <c r="A1164" s="51"/>
      <c r="H1164" s="221"/>
    </row>
    <row r="1165">
      <c r="A1165" s="51"/>
      <c r="H1165" s="221"/>
    </row>
    <row r="1166">
      <c r="A1166" s="51"/>
      <c r="H1166" s="221"/>
    </row>
    <row r="1167">
      <c r="A1167" s="51"/>
      <c r="H1167" s="221"/>
    </row>
    <row r="1168">
      <c r="A1168" s="51"/>
      <c r="H1168" s="221"/>
    </row>
    <row r="1169">
      <c r="A1169" s="51"/>
      <c r="H1169" s="221"/>
    </row>
    <row r="1170">
      <c r="A1170" s="51"/>
      <c r="H1170" s="221"/>
    </row>
    <row r="1171">
      <c r="A1171" s="51"/>
      <c r="H1171" s="221"/>
    </row>
    <row r="1172">
      <c r="A1172" s="51"/>
      <c r="H1172" s="221"/>
    </row>
    <row r="1173">
      <c r="A1173" s="51"/>
      <c r="H1173" s="221"/>
    </row>
    <row r="1174">
      <c r="A1174" s="51"/>
      <c r="H1174" s="221"/>
    </row>
    <row r="1175">
      <c r="A1175" s="51"/>
      <c r="H1175" s="221"/>
    </row>
    <row r="1176">
      <c r="A1176" s="51"/>
      <c r="H1176" s="221"/>
    </row>
    <row r="1177">
      <c r="A1177" s="51"/>
      <c r="H1177" s="221"/>
    </row>
    <row r="1178">
      <c r="A1178" s="51"/>
      <c r="H1178" s="221"/>
    </row>
    <row r="1179">
      <c r="A1179" s="51"/>
      <c r="H1179" s="221"/>
    </row>
    <row r="1180">
      <c r="A1180" s="51"/>
      <c r="H1180" s="221"/>
    </row>
    <row r="1181">
      <c r="A1181" s="51"/>
      <c r="H1181" s="221"/>
    </row>
    <row r="1182">
      <c r="A1182" s="51"/>
      <c r="H1182" s="221"/>
    </row>
    <row r="1183">
      <c r="A1183" s="51"/>
      <c r="H1183" s="221"/>
    </row>
    <row r="1184">
      <c r="A1184" s="51"/>
      <c r="H1184" s="221"/>
    </row>
    <row r="1185">
      <c r="A1185" s="51"/>
      <c r="H1185" s="221"/>
    </row>
    <row r="1186">
      <c r="A1186" s="51"/>
      <c r="H1186" s="221"/>
    </row>
    <row r="1187">
      <c r="A1187" s="51"/>
      <c r="H1187" s="221"/>
    </row>
    <row r="1188">
      <c r="A1188" s="51"/>
      <c r="H1188" s="221"/>
    </row>
    <row r="1189">
      <c r="A1189" s="51"/>
      <c r="H1189" s="221"/>
    </row>
    <row r="1190">
      <c r="A1190" s="51"/>
      <c r="H1190" s="221"/>
    </row>
    <row r="1191">
      <c r="A1191" s="51"/>
      <c r="H1191" s="221"/>
    </row>
    <row r="1192">
      <c r="A1192" s="51"/>
      <c r="H1192" s="221"/>
    </row>
    <row r="1193">
      <c r="A1193" s="51"/>
      <c r="H1193" s="221"/>
    </row>
    <row r="1194">
      <c r="A1194" s="51"/>
      <c r="H1194" s="221"/>
    </row>
    <row r="1195">
      <c r="A1195" s="51"/>
      <c r="H1195" s="221"/>
    </row>
    <row r="1196">
      <c r="A1196" s="51"/>
      <c r="H1196" s="221"/>
    </row>
    <row r="1197">
      <c r="A1197" s="51"/>
      <c r="H1197" s="221"/>
    </row>
    <row r="1198">
      <c r="A1198" s="51"/>
      <c r="H1198" s="221"/>
    </row>
    <row r="1199">
      <c r="A1199" s="51"/>
      <c r="H1199" s="221"/>
    </row>
    <row r="1200">
      <c r="A1200" s="51"/>
      <c r="H1200" s="221"/>
    </row>
    <row r="1201">
      <c r="A1201" s="51"/>
      <c r="H1201" s="221"/>
    </row>
    <row r="1202">
      <c r="A1202" s="51"/>
      <c r="H1202" s="221"/>
    </row>
    <row r="1203">
      <c r="A1203" s="51"/>
      <c r="H1203" s="221"/>
    </row>
    <row r="1204">
      <c r="A1204" s="51"/>
      <c r="H1204" s="221"/>
    </row>
    <row r="1205">
      <c r="A1205" s="51"/>
      <c r="H1205" s="221"/>
    </row>
    <row r="1206">
      <c r="A1206" s="51"/>
      <c r="H1206" s="221"/>
    </row>
    <row r="1207">
      <c r="A1207" s="51"/>
      <c r="H1207" s="221"/>
    </row>
    <row r="1208">
      <c r="A1208" s="51"/>
      <c r="H1208" s="221"/>
    </row>
    <row r="1209">
      <c r="A1209" s="51"/>
      <c r="H1209" s="221"/>
    </row>
    <row r="1210">
      <c r="A1210" s="51"/>
      <c r="H1210" s="221"/>
    </row>
    <row r="1211">
      <c r="A1211" s="51"/>
      <c r="H1211" s="221"/>
    </row>
    <row r="1212">
      <c r="A1212" s="51"/>
      <c r="H1212" s="221"/>
    </row>
    <row r="1213">
      <c r="A1213" s="51"/>
      <c r="H1213" s="221"/>
    </row>
    <row r="1214">
      <c r="A1214" s="51"/>
      <c r="H1214" s="221"/>
    </row>
    <row r="1215">
      <c r="A1215" s="51"/>
      <c r="H1215" s="221"/>
    </row>
    <row r="1216">
      <c r="A1216" s="51"/>
      <c r="H1216" s="221"/>
    </row>
    <row r="1217">
      <c r="A1217" s="51"/>
      <c r="H1217" s="221"/>
    </row>
    <row r="1218">
      <c r="A1218" s="51"/>
      <c r="H1218" s="221"/>
    </row>
    <row r="1219">
      <c r="A1219" s="51"/>
      <c r="H1219" s="221"/>
    </row>
    <row r="1220">
      <c r="A1220" s="51"/>
      <c r="H1220" s="221"/>
    </row>
    <row r="1221">
      <c r="A1221" s="51"/>
      <c r="H1221" s="221"/>
    </row>
    <row r="1222">
      <c r="A1222" s="51"/>
      <c r="H1222" s="221"/>
    </row>
    <row r="1223">
      <c r="A1223" s="51"/>
      <c r="H1223" s="221"/>
    </row>
    <row r="1224">
      <c r="A1224" s="51"/>
      <c r="H1224" s="221"/>
    </row>
    <row r="1225">
      <c r="A1225" s="51"/>
      <c r="H1225" s="221"/>
    </row>
    <row r="1226">
      <c r="A1226" s="51"/>
      <c r="H1226" s="221"/>
    </row>
    <row r="1227">
      <c r="A1227" s="51"/>
      <c r="H1227" s="221"/>
    </row>
    <row r="1228">
      <c r="A1228" s="51"/>
      <c r="H1228" s="221"/>
    </row>
    <row r="1229">
      <c r="A1229" s="51"/>
      <c r="H1229" s="221"/>
    </row>
    <row r="1230">
      <c r="A1230" s="51"/>
      <c r="H1230" s="221"/>
    </row>
    <row r="1231">
      <c r="A1231" s="51"/>
      <c r="H1231" s="221"/>
    </row>
    <row r="1232">
      <c r="A1232" s="51"/>
      <c r="H1232" s="221"/>
    </row>
    <row r="1233">
      <c r="A1233" s="51"/>
      <c r="H1233" s="221"/>
    </row>
    <row r="1234">
      <c r="A1234" s="51"/>
      <c r="H1234" s="221"/>
    </row>
    <row r="1235">
      <c r="A1235" s="51"/>
      <c r="H1235" s="221"/>
    </row>
    <row r="1236">
      <c r="A1236" s="51"/>
      <c r="H1236" s="221"/>
    </row>
    <row r="1237">
      <c r="A1237" s="51"/>
      <c r="H1237" s="221"/>
    </row>
    <row r="1238">
      <c r="A1238" s="51"/>
      <c r="H1238" s="221"/>
    </row>
    <row r="1239">
      <c r="A1239" s="51"/>
      <c r="H1239" s="221"/>
    </row>
    <row r="1240">
      <c r="A1240" s="51"/>
      <c r="H1240" s="221"/>
    </row>
    <row r="1241">
      <c r="A1241" s="51"/>
      <c r="H1241" s="221"/>
    </row>
    <row r="1242">
      <c r="A1242" s="51"/>
      <c r="H1242" s="221"/>
    </row>
    <row r="1243">
      <c r="A1243" s="51"/>
      <c r="H1243" s="221"/>
    </row>
    <row r="1244">
      <c r="A1244" s="51"/>
      <c r="H1244" s="221"/>
    </row>
    <row r="1245">
      <c r="A1245" s="51"/>
      <c r="H1245" s="221"/>
    </row>
    <row r="1246">
      <c r="A1246" s="51"/>
      <c r="H1246" s="221"/>
    </row>
    <row r="1247">
      <c r="A1247" s="51"/>
      <c r="H1247" s="221"/>
    </row>
    <row r="1248">
      <c r="A1248" s="51"/>
      <c r="H1248" s="221"/>
    </row>
    <row r="1249">
      <c r="A1249" s="51"/>
      <c r="H1249" s="221"/>
    </row>
    <row r="1250">
      <c r="A1250" s="51"/>
      <c r="H1250" s="221"/>
    </row>
    <row r="1251">
      <c r="A1251" s="51"/>
      <c r="H1251" s="221"/>
    </row>
    <row r="1252">
      <c r="A1252" s="51"/>
      <c r="H1252" s="221"/>
    </row>
    <row r="1253">
      <c r="A1253" s="51"/>
      <c r="H1253" s="221"/>
    </row>
    <row r="1254">
      <c r="A1254" s="51"/>
      <c r="H1254" s="221"/>
    </row>
    <row r="1255">
      <c r="A1255" s="51"/>
      <c r="H1255" s="221"/>
    </row>
    <row r="1256">
      <c r="A1256" s="51"/>
      <c r="H1256" s="221"/>
    </row>
    <row r="1257">
      <c r="A1257" s="51"/>
      <c r="H1257" s="221"/>
    </row>
    <row r="1258">
      <c r="A1258" s="51"/>
      <c r="H1258" s="221"/>
    </row>
    <row r="1259">
      <c r="A1259" s="51"/>
      <c r="H1259" s="221"/>
    </row>
    <row r="1260">
      <c r="A1260" s="51"/>
      <c r="H1260" s="221"/>
    </row>
    <row r="1261">
      <c r="A1261" s="51"/>
      <c r="H1261" s="221"/>
    </row>
    <row r="1262">
      <c r="A1262" s="51"/>
      <c r="H1262" s="221"/>
    </row>
    <row r="1263">
      <c r="A1263" s="51"/>
      <c r="H1263" s="221"/>
    </row>
    <row r="1264">
      <c r="A1264" s="51"/>
      <c r="H1264" s="221"/>
    </row>
    <row r="1265">
      <c r="A1265" s="51"/>
      <c r="H1265" s="221"/>
    </row>
    <row r="1266">
      <c r="A1266" s="51"/>
      <c r="H1266" s="221"/>
    </row>
    <row r="1267">
      <c r="A1267" s="51"/>
      <c r="H1267" s="221"/>
    </row>
    <row r="1268">
      <c r="A1268" s="51"/>
      <c r="H1268" s="221"/>
    </row>
    <row r="1269">
      <c r="A1269" s="51"/>
      <c r="H1269" s="221"/>
    </row>
    <row r="1270">
      <c r="A1270" s="51"/>
      <c r="H1270" s="221"/>
    </row>
    <row r="1271">
      <c r="A1271" s="51"/>
      <c r="H1271" s="221"/>
    </row>
    <row r="1272">
      <c r="A1272" s="51"/>
      <c r="H1272" s="221"/>
    </row>
    <row r="1273">
      <c r="A1273" s="51"/>
      <c r="H1273" s="221"/>
    </row>
    <row r="1274">
      <c r="A1274" s="51"/>
      <c r="H1274" s="221"/>
    </row>
    <row r="1275">
      <c r="A1275" s="51"/>
      <c r="H1275" s="221"/>
    </row>
    <row r="1276">
      <c r="A1276" s="51"/>
      <c r="H1276" s="221"/>
    </row>
    <row r="1277">
      <c r="A1277" s="51"/>
      <c r="H1277" s="221"/>
    </row>
    <row r="1278">
      <c r="A1278" s="51"/>
      <c r="H1278" s="221"/>
    </row>
    <row r="1279">
      <c r="A1279" s="51"/>
      <c r="H1279" s="221"/>
    </row>
    <row r="1280">
      <c r="A1280" s="51"/>
      <c r="H1280" s="221"/>
    </row>
    <row r="1281">
      <c r="A1281" s="51"/>
      <c r="H1281" s="221"/>
    </row>
    <row r="1282">
      <c r="A1282" s="51"/>
      <c r="H1282" s="221"/>
    </row>
    <row r="1283">
      <c r="A1283" s="51"/>
      <c r="H1283" s="221"/>
    </row>
    <row r="1284">
      <c r="A1284" s="51"/>
      <c r="H1284" s="221"/>
    </row>
    <row r="1285">
      <c r="A1285" s="51"/>
      <c r="H1285" s="221"/>
    </row>
    <row r="1286">
      <c r="A1286" s="51"/>
      <c r="H1286" s="221"/>
    </row>
    <row r="1287">
      <c r="A1287" s="51"/>
      <c r="H1287" s="221"/>
    </row>
    <row r="1288">
      <c r="A1288" s="51"/>
      <c r="H1288" s="221"/>
    </row>
    <row r="1289">
      <c r="A1289" s="51"/>
      <c r="H1289" s="221"/>
    </row>
    <row r="1290">
      <c r="A1290" s="51"/>
      <c r="H1290" s="221"/>
    </row>
    <row r="1291">
      <c r="A1291" s="51"/>
      <c r="H1291" s="221"/>
    </row>
    <row r="1292">
      <c r="A1292" s="51"/>
      <c r="H1292" s="221"/>
    </row>
    <row r="1293">
      <c r="A1293" s="51"/>
      <c r="H1293" s="221"/>
    </row>
    <row r="1294">
      <c r="A1294" s="51"/>
      <c r="H1294" s="221"/>
    </row>
    <row r="1295">
      <c r="A1295" s="51"/>
      <c r="H1295" s="221"/>
    </row>
    <row r="1296">
      <c r="A1296" s="51"/>
      <c r="H1296" s="221"/>
    </row>
    <row r="1297">
      <c r="A1297" s="51"/>
      <c r="H1297" s="221"/>
    </row>
    <row r="1298">
      <c r="A1298" s="51"/>
      <c r="H1298" s="221"/>
    </row>
    <row r="1299">
      <c r="A1299" s="51"/>
      <c r="H1299" s="221"/>
    </row>
    <row r="1300">
      <c r="A1300" s="51"/>
      <c r="H1300" s="221"/>
    </row>
    <row r="1301">
      <c r="A1301" s="51"/>
      <c r="H1301" s="221"/>
    </row>
    <row r="1302">
      <c r="A1302" s="51"/>
      <c r="H1302" s="221"/>
    </row>
    <row r="1303">
      <c r="A1303" s="51"/>
      <c r="H1303" s="221"/>
    </row>
    <row r="1304">
      <c r="A1304" s="51"/>
      <c r="H1304" s="221"/>
    </row>
    <row r="1305">
      <c r="A1305" s="51"/>
      <c r="H1305" s="221"/>
    </row>
    <row r="1306">
      <c r="A1306" s="51"/>
      <c r="H1306" s="221"/>
    </row>
    <row r="1307">
      <c r="A1307" s="51"/>
      <c r="H1307" s="221"/>
    </row>
    <row r="1308">
      <c r="A1308" s="51"/>
      <c r="H1308" s="221"/>
    </row>
    <row r="1309">
      <c r="A1309" s="51"/>
      <c r="H1309" s="221"/>
    </row>
    <row r="1310">
      <c r="A1310" s="51"/>
      <c r="H1310" s="221"/>
    </row>
    <row r="1311">
      <c r="A1311" s="51"/>
      <c r="H1311" s="221"/>
    </row>
    <row r="1312">
      <c r="A1312" s="51"/>
      <c r="H1312" s="221"/>
    </row>
    <row r="1313">
      <c r="A1313" s="51"/>
      <c r="H1313" s="221"/>
    </row>
    <row r="1314">
      <c r="A1314" s="51"/>
      <c r="H1314" s="221"/>
    </row>
    <row r="1315">
      <c r="A1315" s="51"/>
      <c r="H1315" s="221"/>
    </row>
    <row r="1316">
      <c r="A1316" s="51"/>
      <c r="H1316" s="221"/>
    </row>
    <row r="1317">
      <c r="A1317" s="51"/>
      <c r="H1317" s="221"/>
    </row>
    <row r="1318">
      <c r="A1318" s="51"/>
      <c r="H1318" s="221"/>
    </row>
    <row r="1319">
      <c r="A1319" s="51"/>
      <c r="H1319" s="221"/>
    </row>
    <row r="1320">
      <c r="A1320" s="51"/>
      <c r="H1320" s="221"/>
    </row>
    <row r="1321">
      <c r="A1321" s="51"/>
      <c r="H1321" s="221"/>
    </row>
    <row r="1322">
      <c r="A1322" s="51"/>
      <c r="H1322" s="221"/>
    </row>
    <row r="1323">
      <c r="A1323" s="51"/>
      <c r="H1323" s="221"/>
    </row>
    <row r="1324">
      <c r="A1324" s="51"/>
      <c r="H1324" s="221"/>
    </row>
    <row r="1325">
      <c r="A1325" s="51"/>
      <c r="H1325" s="221"/>
    </row>
    <row r="1326">
      <c r="A1326" s="51"/>
      <c r="H1326" s="221"/>
    </row>
    <row r="1327">
      <c r="A1327" s="51"/>
      <c r="H1327" s="221"/>
    </row>
    <row r="1328">
      <c r="A1328" s="51"/>
      <c r="H1328" s="221"/>
    </row>
    <row r="1329">
      <c r="A1329" s="51"/>
      <c r="H1329" s="221"/>
    </row>
    <row r="1330">
      <c r="A1330" s="51"/>
      <c r="H1330" s="221"/>
    </row>
    <row r="1331">
      <c r="A1331" s="51"/>
      <c r="H1331" s="221"/>
    </row>
    <row r="1332">
      <c r="A1332" s="51"/>
      <c r="H1332" s="221"/>
    </row>
    <row r="1333">
      <c r="A1333" s="51"/>
      <c r="H1333" s="221"/>
    </row>
    <row r="1334">
      <c r="A1334" s="51"/>
      <c r="H1334" s="221"/>
    </row>
    <row r="1335">
      <c r="A1335" s="51"/>
      <c r="H1335" s="221"/>
    </row>
    <row r="1336">
      <c r="A1336" s="51"/>
      <c r="H1336" s="221"/>
    </row>
    <row r="1337">
      <c r="A1337" s="51"/>
      <c r="H1337" s="221"/>
    </row>
    <row r="1338">
      <c r="A1338" s="51"/>
      <c r="H1338" s="221"/>
    </row>
    <row r="1339">
      <c r="A1339" s="51"/>
      <c r="H1339" s="221"/>
    </row>
    <row r="1340">
      <c r="A1340" s="51"/>
      <c r="H1340" s="221"/>
    </row>
    <row r="1341">
      <c r="A1341" s="51"/>
      <c r="H1341" s="221"/>
    </row>
    <row r="1342">
      <c r="A1342" s="51"/>
      <c r="H1342" s="221"/>
    </row>
    <row r="1343">
      <c r="A1343" s="51"/>
      <c r="H1343" s="221"/>
    </row>
    <row r="1344">
      <c r="A1344" s="51"/>
      <c r="H1344" s="221"/>
    </row>
    <row r="1345">
      <c r="A1345" s="51"/>
      <c r="H1345" s="221"/>
    </row>
    <row r="1346">
      <c r="A1346" s="51"/>
      <c r="H1346" s="221"/>
    </row>
    <row r="1347">
      <c r="A1347" s="51"/>
      <c r="H1347" s="221"/>
    </row>
    <row r="1348">
      <c r="A1348" s="51"/>
      <c r="H1348" s="221"/>
    </row>
    <row r="1349">
      <c r="A1349" s="51"/>
      <c r="H1349" s="221"/>
    </row>
    <row r="1350">
      <c r="A1350" s="51"/>
      <c r="H1350" s="221"/>
    </row>
    <row r="1351">
      <c r="A1351" s="51"/>
      <c r="H1351" s="221"/>
    </row>
    <row r="1352">
      <c r="A1352" s="51"/>
      <c r="H1352" s="221"/>
    </row>
    <row r="1353">
      <c r="A1353" s="51"/>
      <c r="H1353" s="221"/>
    </row>
    <row r="1354">
      <c r="A1354" s="51"/>
      <c r="H1354" s="221"/>
    </row>
    <row r="1355">
      <c r="A1355" s="51"/>
      <c r="H1355" s="221"/>
    </row>
    <row r="1356">
      <c r="A1356" s="51"/>
      <c r="H1356" s="221"/>
    </row>
    <row r="1357">
      <c r="A1357" s="51"/>
      <c r="H1357" s="221"/>
    </row>
    <row r="1358">
      <c r="A1358" s="51"/>
      <c r="H1358" s="221"/>
    </row>
    <row r="1359">
      <c r="A1359" s="51"/>
      <c r="H1359" s="221"/>
    </row>
    <row r="1360">
      <c r="A1360" s="51"/>
      <c r="H1360" s="221"/>
    </row>
    <row r="1361">
      <c r="A1361" s="51"/>
      <c r="H1361" s="221"/>
    </row>
    <row r="1362">
      <c r="A1362" s="51"/>
      <c r="H1362" s="221"/>
    </row>
    <row r="1363">
      <c r="A1363" s="51"/>
      <c r="H1363" s="221"/>
    </row>
    <row r="1364">
      <c r="A1364" s="51"/>
      <c r="H1364" s="221"/>
    </row>
    <row r="1365">
      <c r="A1365" s="51"/>
      <c r="H1365" s="221"/>
    </row>
    <row r="1366">
      <c r="A1366" s="51"/>
      <c r="H1366" s="221"/>
    </row>
    <row r="1367">
      <c r="A1367" s="51"/>
      <c r="H1367" s="221"/>
    </row>
    <row r="1368">
      <c r="A1368" s="51"/>
      <c r="H1368" s="221"/>
    </row>
    <row r="1369">
      <c r="A1369" s="51"/>
      <c r="H1369" s="221"/>
    </row>
    <row r="1370">
      <c r="A1370" s="51"/>
      <c r="H1370" s="221"/>
    </row>
    <row r="1371">
      <c r="A1371" s="51"/>
      <c r="H1371" s="221"/>
    </row>
    <row r="1372">
      <c r="A1372" s="51"/>
      <c r="H1372" s="221"/>
    </row>
    <row r="1373">
      <c r="A1373" s="51"/>
      <c r="H1373" s="221"/>
    </row>
    <row r="1374">
      <c r="A1374" s="51"/>
      <c r="H1374" s="221"/>
    </row>
    <row r="1375">
      <c r="A1375" s="51"/>
      <c r="H1375" s="221"/>
    </row>
    <row r="1376">
      <c r="A1376" s="51"/>
      <c r="H1376" s="221"/>
    </row>
    <row r="1377">
      <c r="A1377" s="51"/>
      <c r="H1377" s="221"/>
    </row>
    <row r="1378">
      <c r="A1378" s="51"/>
      <c r="H1378" s="221"/>
    </row>
    <row r="1379">
      <c r="A1379" s="51"/>
      <c r="H1379" s="221"/>
    </row>
    <row r="1380">
      <c r="A1380" s="51"/>
      <c r="H1380" s="221"/>
    </row>
    <row r="1381">
      <c r="A1381" s="51"/>
      <c r="H1381" s="221"/>
    </row>
    <row r="1382">
      <c r="A1382" s="51"/>
      <c r="H1382" s="221"/>
    </row>
    <row r="1383">
      <c r="A1383" s="51"/>
      <c r="H1383" s="221"/>
    </row>
    <row r="1384">
      <c r="A1384" s="51"/>
      <c r="H1384" s="221"/>
    </row>
    <row r="1385">
      <c r="A1385" s="51"/>
      <c r="H1385" s="221"/>
    </row>
    <row r="1386">
      <c r="A1386" s="51"/>
      <c r="H1386" s="221"/>
    </row>
    <row r="1387">
      <c r="A1387" s="51"/>
      <c r="H1387" s="221"/>
    </row>
    <row r="1388">
      <c r="A1388" s="51"/>
      <c r="H1388" s="221"/>
    </row>
    <row r="1389">
      <c r="A1389" s="51"/>
      <c r="H1389" s="221"/>
    </row>
    <row r="1390">
      <c r="A1390" s="51"/>
      <c r="H1390" s="221"/>
    </row>
    <row r="1391">
      <c r="A1391" s="51"/>
      <c r="H1391" s="221"/>
    </row>
    <row r="1392">
      <c r="A1392" s="51"/>
      <c r="H1392" s="221"/>
    </row>
    <row r="1393">
      <c r="A1393" s="51"/>
      <c r="H1393" s="221"/>
    </row>
    <row r="1394">
      <c r="A1394" s="51"/>
      <c r="H1394" s="221"/>
    </row>
    <row r="1395">
      <c r="A1395" s="51"/>
      <c r="H1395" s="221"/>
    </row>
    <row r="1396">
      <c r="A1396" s="51"/>
      <c r="H1396" s="221"/>
    </row>
    <row r="1397">
      <c r="A1397" s="51"/>
      <c r="H1397" s="221"/>
    </row>
    <row r="1398">
      <c r="A1398" s="51"/>
      <c r="H1398" s="221"/>
    </row>
    <row r="1399">
      <c r="A1399" s="51"/>
      <c r="H1399" s="221"/>
    </row>
    <row r="1400">
      <c r="A1400" s="51"/>
      <c r="H1400" s="221"/>
    </row>
    <row r="1401">
      <c r="A1401" s="51"/>
      <c r="H1401" s="221"/>
    </row>
    <row r="1402">
      <c r="A1402" s="51"/>
      <c r="H1402" s="221"/>
    </row>
    <row r="1403">
      <c r="A1403" s="51"/>
      <c r="H1403" s="221"/>
    </row>
    <row r="1404">
      <c r="A1404" s="51"/>
      <c r="H1404" s="221"/>
    </row>
    <row r="1405">
      <c r="A1405" s="51"/>
      <c r="H1405" s="221"/>
    </row>
    <row r="1406">
      <c r="A1406" s="51"/>
      <c r="H1406" s="221"/>
    </row>
    <row r="1407">
      <c r="A1407" s="51"/>
      <c r="H1407" s="221"/>
    </row>
    <row r="1408">
      <c r="A1408" s="51"/>
      <c r="H1408" s="221"/>
    </row>
    <row r="1409">
      <c r="A1409" s="51"/>
      <c r="H1409" s="221"/>
    </row>
    <row r="1410">
      <c r="A1410" s="51"/>
      <c r="H1410" s="221"/>
    </row>
    <row r="1411">
      <c r="A1411" s="51"/>
      <c r="H1411" s="221"/>
    </row>
    <row r="1412">
      <c r="A1412" s="51"/>
      <c r="H1412" s="221"/>
    </row>
    <row r="1413">
      <c r="A1413" s="51"/>
      <c r="H1413" s="221"/>
    </row>
    <row r="1414">
      <c r="A1414" s="51"/>
      <c r="H1414" s="221"/>
    </row>
    <row r="1415">
      <c r="A1415" s="51"/>
      <c r="H1415" s="221"/>
    </row>
    <row r="1416">
      <c r="A1416" s="51"/>
      <c r="H1416" s="221"/>
    </row>
    <row r="1417">
      <c r="A1417" s="51"/>
      <c r="H1417" s="221"/>
    </row>
    <row r="1418">
      <c r="A1418" s="51"/>
      <c r="H1418" s="221"/>
    </row>
    <row r="1419">
      <c r="A1419" s="51"/>
      <c r="H1419" s="221"/>
    </row>
    <row r="1420">
      <c r="A1420" s="51"/>
      <c r="H1420" s="221"/>
    </row>
    <row r="1421">
      <c r="A1421" s="51"/>
      <c r="H1421" s="221"/>
    </row>
    <row r="1422">
      <c r="A1422" s="51"/>
      <c r="H1422" s="221"/>
    </row>
    <row r="1423">
      <c r="A1423" s="51"/>
      <c r="H1423" s="221"/>
    </row>
    <row r="1424">
      <c r="A1424" s="51"/>
      <c r="H1424" s="221"/>
    </row>
    <row r="1425">
      <c r="A1425" s="51"/>
      <c r="H1425" s="221"/>
    </row>
    <row r="1426">
      <c r="A1426" s="51"/>
      <c r="H1426" s="221"/>
    </row>
    <row r="1427">
      <c r="A1427" s="51"/>
      <c r="H1427" s="221"/>
    </row>
    <row r="1428">
      <c r="A1428" s="51"/>
      <c r="H1428" s="221"/>
    </row>
    <row r="1429">
      <c r="A1429" s="51"/>
      <c r="H1429" s="221"/>
    </row>
    <row r="1430">
      <c r="A1430" s="51"/>
      <c r="H1430" s="221"/>
    </row>
    <row r="1431">
      <c r="A1431" s="51"/>
      <c r="H1431" s="221"/>
    </row>
    <row r="1432">
      <c r="A1432" s="51"/>
      <c r="H1432" s="221"/>
    </row>
    <row r="1433">
      <c r="A1433" s="51"/>
      <c r="H1433" s="221"/>
    </row>
    <row r="1434">
      <c r="A1434" s="51"/>
      <c r="H1434" s="221"/>
    </row>
    <row r="1435">
      <c r="A1435" s="51"/>
      <c r="H1435" s="221"/>
    </row>
    <row r="1436">
      <c r="A1436" s="51"/>
      <c r="H1436" s="221"/>
    </row>
    <row r="1437">
      <c r="A1437" s="51"/>
      <c r="H1437" s="221"/>
    </row>
    <row r="1438">
      <c r="A1438" s="51"/>
      <c r="H1438" s="221"/>
    </row>
    <row r="1439">
      <c r="A1439" s="51"/>
      <c r="H1439" s="221"/>
    </row>
    <row r="1440">
      <c r="A1440" s="51"/>
      <c r="H1440" s="221"/>
    </row>
    <row r="1441">
      <c r="A1441" s="51"/>
      <c r="H1441" s="221"/>
    </row>
    <row r="1442">
      <c r="A1442" s="51"/>
      <c r="H1442" s="221"/>
    </row>
    <row r="1443">
      <c r="A1443" s="51"/>
      <c r="H1443" s="221"/>
    </row>
    <row r="1444">
      <c r="A1444" s="51"/>
      <c r="H1444" s="221"/>
    </row>
    <row r="1445">
      <c r="A1445" s="51"/>
      <c r="H1445" s="221"/>
    </row>
    <row r="1446">
      <c r="A1446" s="51"/>
      <c r="H1446" s="221"/>
    </row>
    <row r="1447">
      <c r="A1447" s="51"/>
      <c r="H1447" s="221"/>
    </row>
    <row r="1448">
      <c r="A1448" s="51"/>
      <c r="H1448" s="221"/>
    </row>
    <row r="1449">
      <c r="A1449" s="51"/>
      <c r="H1449" s="221"/>
    </row>
    <row r="1450">
      <c r="A1450" s="51"/>
      <c r="H1450" s="221"/>
    </row>
    <row r="1451">
      <c r="A1451" s="51"/>
      <c r="H1451" s="221"/>
    </row>
    <row r="1452">
      <c r="A1452" s="51"/>
      <c r="H1452" s="221"/>
    </row>
    <row r="1453">
      <c r="A1453" s="51"/>
      <c r="H1453" s="221"/>
    </row>
    <row r="1454">
      <c r="A1454" s="51"/>
      <c r="H1454" s="221"/>
    </row>
    <row r="1455">
      <c r="A1455" s="51"/>
      <c r="H1455" s="221"/>
    </row>
    <row r="1456">
      <c r="A1456" s="51"/>
      <c r="H1456" s="221"/>
    </row>
    <row r="1457">
      <c r="A1457" s="51"/>
      <c r="H1457" s="221"/>
    </row>
    <row r="1458">
      <c r="A1458" s="51"/>
      <c r="H1458" s="221"/>
    </row>
    <row r="1459">
      <c r="A1459" s="51"/>
      <c r="H1459" s="221"/>
    </row>
    <row r="1460">
      <c r="A1460" s="51"/>
      <c r="H1460" s="221"/>
    </row>
    <row r="1461">
      <c r="A1461" s="51"/>
      <c r="H1461" s="221"/>
    </row>
    <row r="1462">
      <c r="A1462" s="51"/>
      <c r="H1462" s="221"/>
    </row>
    <row r="1463">
      <c r="A1463" s="51"/>
      <c r="H1463" s="221"/>
    </row>
    <row r="1464">
      <c r="A1464" s="51"/>
      <c r="H1464" s="221"/>
    </row>
    <row r="1465">
      <c r="A1465" s="51"/>
      <c r="H1465" s="221"/>
    </row>
    <row r="1466">
      <c r="A1466" s="51"/>
      <c r="H1466" s="221"/>
    </row>
    <row r="1467">
      <c r="A1467" s="51"/>
      <c r="H1467" s="221"/>
    </row>
    <row r="1468">
      <c r="A1468" s="51"/>
      <c r="H1468" s="221"/>
    </row>
    <row r="1469">
      <c r="A1469" s="51"/>
      <c r="H1469" s="221"/>
    </row>
    <row r="1470">
      <c r="A1470" s="51"/>
      <c r="H1470" s="221"/>
    </row>
    <row r="1471">
      <c r="A1471" s="51"/>
      <c r="H1471" s="221"/>
    </row>
    <row r="1472">
      <c r="A1472" s="51"/>
      <c r="H1472" s="221"/>
    </row>
    <row r="1473">
      <c r="A1473" s="51"/>
      <c r="H1473" s="221"/>
    </row>
    <row r="1474">
      <c r="A1474" s="51"/>
      <c r="H1474" s="221"/>
    </row>
    <row r="1475">
      <c r="A1475" s="51"/>
      <c r="H1475" s="221"/>
    </row>
    <row r="1476">
      <c r="A1476" s="51"/>
      <c r="H1476" s="221"/>
    </row>
    <row r="1477">
      <c r="A1477" s="51"/>
      <c r="H1477" s="221"/>
    </row>
    <row r="1478">
      <c r="A1478" s="51"/>
      <c r="H1478" s="221"/>
    </row>
    <row r="1479">
      <c r="A1479" s="51"/>
      <c r="H1479" s="221"/>
    </row>
    <row r="1480">
      <c r="A1480" s="51"/>
      <c r="H1480" s="221"/>
    </row>
    <row r="1481">
      <c r="A1481" s="51"/>
      <c r="H1481" s="221"/>
    </row>
    <row r="1482">
      <c r="A1482" s="51"/>
      <c r="H1482" s="221"/>
    </row>
    <row r="1483">
      <c r="A1483" s="51"/>
      <c r="H1483" s="221"/>
    </row>
    <row r="1484">
      <c r="A1484" s="51"/>
      <c r="H1484" s="221"/>
    </row>
    <row r="1485">
      <c r="A1485" s="51"/>
      <c r="H1485" s="221"/>
    </row>
    <row r="1486">
      <c r="A1486" s="51"/>
      <c r="H1486" s="221"/>
    </row>
    <row r="1487">
      <c r="A1487" s="51"/>
      <c r="H1487" s="221"/>
    </row>
    <row r="1488">
      <c r="A1488" s="51"/>
      <c r="H1488" s="221"/>
    </row>
    <row r="1489">
      <c r="A1489" s="51"/>
      <c r="H1489" s="221"/>
    </row>
    <row r="1490">
      <c r="A1490" s="51"/>
      <c r="H1490" s="221"/>
    </row>
    <row r="1491">
      <c r="A1491" s="51"/>
      <c r="H1491" s="221"/>
    </row>
    <row r="1492">
      <c r="A1492" s="51"/>
      <c r="H1492" s="221"/>
    </row>
    <row r="1493">
      <c r="A1493" s="51"/>
      <c r="H1493" s="221"/>
    </row>
    <row r="1494">
      <c r="A1494" s="51"/>
      <c r="H1494" s="221"/>
    </row>
    <row r="1495">
      <c r="A1495" s="51"/>
      <c r="H1495" s="221"/>
    </row>
    <row r="1496">
      <c r="A1496" s="51"/>
      <c r="H1496" s="221"/>
    </row>
    <row r="1497">
      <c r="A1497" s="51"/>
      <c r="H1497" s="221"/>
    </row>
    <row r="1498">
      <c r="A1498" s="51"/>
      <c r="H1498" s="221"/>
    </row>
    <row r="1499">
      <c r="A1499" s="51"/>
      <c r="H1499" s="221"/>
    </row>
    <row r="1500">
      <c r="A1500" s="51"/>
      <c r="H1500" s="221"/>
    </row>
    <row r="1501">
      <c r="A1501" s="51"/>
      <c r="H1501" s="221"/>
    </row>
    <row r="1502">
      <c r="A1502" s="51"/>
      <c r="H1502" s="221"/>
    </row>
    <row r="1503">
      <c r="A1503" s="51"/>
      <c r="H1503" s="221"/>
    </row>
    <row r="1504">
      <c r="A1504" s="51"/>
      <c r="H1504" s="221"/>
    </row>
    <row r="1505">
      <c r="A1505" s="51"/>
      <c r="H1505" s="221"/>
    </row>
    <row r="1506">
      <c r="A1506" s="51"/>
      <c r="H1506" s="221"/>
    </row>
    <row r="1507">
      <c r="A1507" s="51"/>
      <c r="H1507" s="221"/>
    </row>
    <row r="1508">
      <c r="A1508" s="51"/>
      <c r="H1508" s="221"/>
    </row>
    <row r="1509">
      <c r="A1509" s="51"/>
      <c r="H1509" s="221"/>
    </row>
    <row r="1510">
      <c r="A1510" s="51"/>
      <c r="H1510" s="221"/>
    </row>
    <row r="1511">
      <c r="A1511" s="51"/>
      <c r="H1511" s="221"/>
    </row>
    <row r="1512">
      <c r="A1512" s="51"/>
      <c r="H1512" s="221"/>
    </row>
    <row r="1513">
      <c r="A1513" s="51"/>
      <c r="H1513" s="221"/>
    </row>
    <row r="1514">
      <c r="A1514" s="51"/>
      <c r="H1514" s="221"/>
    </row>
    <row r="1515">
      <c r="A1515" s="51"/>
      <c r="H1515" s="221"/>
    </row>
    <row r="1516">
      <c r="A1516" s="51"/>
      <c r="H1516" s="221"/>
    </row>
    <row r="1517">
      <c r="A1517" s="51"/>
      <c r="H1517" s="221"/>
    </row>
    <row r="1518">
      <c r="A1518" s="51"/>
      <c r="H1518" s="221"/>
    </row>
    <row r="1519">
      <c r="A1519" s="51"/>
      <c r="H1519" s="221"/>
    </row>
    <row r="1520">
      <c r="A1520" s="51"/>
      <c r="H1520" s="221"/>
    </row>
    <row r="1521">
      <c r="A1521" s="51"/>
      <c r="H1521" s="221"/>
    </row>
    <row r="1522">
      <c r="A1522" s="51"/>
      <c r="H1522" s="221"/>
    </row>
    <row r="1523">
      <c r="A1523" s="51"/>
      <c r="H1523" s="221"/>
    </row>
    <row r="1524">
      <c r="A1524" s="51"/>
      <c r="H1524" s="221"/>
    </row>
    <row r="1525">
      <c r="A1525" s="51"/>
      <c r="H1525" s="221"/>
    </row>
    <row r="1526">
      <c r="A1526" s="51"/>
      <c r="H1526" s="221"/>
    </row>
    <row r="1527">
      <c r="A1527" s="51"/>
      <c r="H1527" s="221"/>
    </row>
    <row r="1528">
      <c r="A1528" s="51"/>
      <c r="H1528" s="221"/>
    </row>
    <row r="1529">
      <c r="A1529" s="51"/>
      <c r="H1529" s="221"/>
    </row>
    <row r="1530">
      <c r="A1530" s="51"/>
      <c r="H1530" s="221"/>
    </row>
    <row r="1531">
      <c r="A1531" s="51"/>
      <c r="H1531" s="221"/>
    </row>
    <row r="1532">
      <c r="A1532" s="51"/>
      <c r="H1532" s="221"/>
    </row>
    <row r="1533">
      <c r="A1533" s="51"/>
      <c r="H1533" s="221"/>
    </row>
    <row r="1534">
      <c r="A1534" s="51"/>
      <c r="H1534" s="221"/>
    </row>
    <row r="1535">
      <c r="A1535" s="51"/>
      <c r="H1535" s="221"/>
    </row>
    <row r="1536">
      <c r="A1536" s="51"/>
      <c r="H1536" s="221"/>
    </row>
    <row r="1537">
      <c r="A1537" s="51"/>
      <c r="H1537" s="221"/>
    </row>
    <row r="1538">
      <c r="A1538" s="51"/>
      <c r="H1538" s="221"/>
    </row>
    <row r="1539">
      <c r="A1539" s="51"/>
      <c r="H1539" s="221"/>
    </row>
    <row r="1540">
      <c r="A1540" s="51"/>
      <c r="H1540" s="221"/>
    </row>
    <row r="1541">
      <c r="A1541" s="51"/>
      <c r="H1541" s="221"/>
    </row>
    <row r="1542">
      <c r="A1542" s="51"/>
      <c r="H1542" s="221"/>
    </row>
    <row r="1543">
      <c r="A1543" s="51"/>
      <c r="H1543" s="221"/>
    </row>
    <row r="1544">
      <c r="A1544" s="51"/>
      <c r="H1544" s="221"/>
    </row>
    <row r="1545">
      <c r="A1545" s="51"/>
      <c r="H1545" s="221"/>
    </row>
    <row r="1546">
      <c r="A1546" s="51"/>
      <c r="H1546" s="221"/>
    </row>
    <row r="1547">
      <c r="A1547" s="51"/>
      <c r="H1547" s="221"/>
    </row>
    <row r="1548">
      <c r="A1548" s="51"/>
      <c r="H1548" s="221"/>
    </row>
    <row r="1549">
      <c r="A1549" s="51"/>
      <c r="H1549" s="221"/>
    </row>
    <row r="1550">
      <c r="A1550" s="51"/>
      <c r="H1550" s="221"/>
    </row>
    <row r="1551">
      <c r="A1551" s="51"/>
      <c r="H1551" s="221"/>
    </row>
    <row r="1552">
      <c r="A1552" s="51"/>
      <c r="H1552" s="221"/>
    </row>
    <row r="1553">
      <c r="A1553" s="51"/>
      <c r="H1553" s="221"/>
    </row>
    <row r="1554">
      <c r="A1554" s="51"/>
      <c r="H1554" s="221"/>
    </row>
    <row r="1555">
      <c r="A1555" s="51"/>
      <c r="H1555" s="221"/>
    </row>
    <row r="1556">
      <c r="A1556" s="51"/>
      <c r="H1556" s="221"/>
    </row>
    <row r="1557">
      <c r="A1557" s="51"/>
      <c r="H1557" s="221"/>
    </row>
    <row r="1558">
      <c r="A1558" s="51"/>
      <c r="H1558" s="221"/>
    </row>
    <row r="1559">
      <c r="A1559" s="51"/>
      <c r="H1559" s="221"/>
    </row>
    <row r="1560">
      <c r="A1560" s="51"/>
      <c r="H1560" s="221"/>
    </row>
    <row r="1561">
      <c r="A1561" s="51"/>
      <c r="H1561" s="221"/>
    </row>
    <row r="1562">
      <c r="A1562" s="51"/>
      <c r="H1562" s="221"/>
    </row>
    <row r="1563">
      <c r="A1563" s="51"/>
      <c r="H1563" s="221"/>
    </row>
    <row r="1564">
      <c r="A1564" s="51"/>
      <c r="H1564" s="221"/>
    </row>
    <row r="1565">
      <c r="A1565" s="51"/>
      <c r="H1565" s="221"/>
    </row>
    <row r="1566">
      <c r="A1566" s="51"/>
      <c r="H1566" s="221"/>
    </row>
    <row r="1567">
      <c r="A1567" s="51"/>
      <c r="H1567" s="221"/>
    </row>
    <row r="1568">
      <c r="A1568" s="51"/>
      <c r="H1568" s="221"/>
    </row>
    <row r="1569">
      <c r="A1569" s="51"/>
      <c r="H1569" s="221"/>
    </row>
    <row r="1570">
      <c r="A1570" s="51"/>
      <c r="H1570" s="221"/>
    </row>
    <row r="1571">
      <c r="A1571" s="51"/>
      <c r="H1571" s="221"/>
    </row>
    <row r="1572">
      <c r="A1572" s="51"/>
      <c r="H1572" s="221"/>
    </row>
    <row r="1573">
      <c r="A1573" s="51"/>
      <c r="H1573" s="221"/>
    </row>
    <row r="1574">
      <c r="A1574" s="51"/>
      <c r="H1574" s="221"/>
    </row>
    <row r="1575">
      <c r="A1575" s="51"/>
      <c r="H1575" s="221"/>
    </row>
    <row r="1576">
      <c r="A1576" s="51"/>
      <c r="H1576" s="221"/>
    </row>
    <row r="1577">
      <c r="A1577" s="51"/>
      <c r="H1577" s="221"/>
    </row>
    <row r="1578">
      <c r="A1578" s="51"/>
      <c r="H1578" s="221"/>
    </row>
    <row r="1579">
      <c r="A1579" s="51"/>
      <c r="H1579" s="221"/>
    </row>
    <row r="1580">
      <c r="A1580" s="51"/>
      <c r="H1580" s="221"/>
    </row>
    <row r="1581">
      <c r="A1581" s="51"/>
      <c r="H1581" s="221"/>
    </row>
    <row r="1582">
      <c r="A1582" s="51"/>
      <c r="H1582" s="221"/>
    </row>
    <row r="1583">
      <c r="A1583" s="51"/>
      <c r="H1583" s="221"/>
    </row>
    <row r="1584">
      <c r="A1584" s="51"/>
      <c r="H1584" s="221"/>
    </row>
    <row r="1585">
      <c r="A1585" s="51"/>
      <c r="H1585" s="221"/>
    </row>
    <row r="1586">
      <c r="A1586" s="51"/>
      <c r="H1586" s="221"/>
    </row>
    <row r="1587">
      <c r="A1587" s="51"/>
      <c r="H1587" s="221"/>
    </row>
    <row r="1588">
      <c r="A1588" s="51"/>
      <c r="H1588" s="221"/>
    </row>
    <row r="1589">
      <c r="A1589" s="51"/>
      <c r="H1589" s="221"/>
    </row>
    <row r="1590">
      <c r="A1590" s="51"/>
      <c r="H1590" s="221"/>
    </row>
    <row r="1591">
      <c r="A1591" s="51"/>
      <c r="H1591" s="221"/>
    </row>
    <row r="1592">
      <c r="A1592" s="51"/>
      <c r="H1592" s="221"/>
    </row>
    <row r="1593">
      <c r="A1593" s="51"/>
      <c r="H1593" s="221"/>
    </row>
    <row r="1594">
      <c r="A1594" s="51"/>
      <c r="H1594" s="221"/>
    </row>
    <row r="1595">
      <c r="A1595" s="51"/>
      <c r="H1595" s="221"/>
    </row>
    <row r="1596">
      <c r="A1596" s="51"/>
      <c r="H1596" s="221"/>
    </row>
    <row r="1597">
      <c r="A1597" s="51"/>
      <c r="H1597" s="221"/>
    </row>
    <row r="1598">
      <c r="A1598" s="51"/>
      <c r="H1598" s="221"/>
    </row>
    <row r="1599">
      <c r="A1599" s="51"/>
      <c r="H1599" s="221"/>
    </row>
    <row r="1600">
      <c r="A1600" s="51"/>
      <c r="H1600" s="221"/>
    </row>
    <row r="1601">
      <c r="A1601" s="51"/>
      <c r="H1601" s="221"/>
    </row>
    <row r="1602">
      <c r="A1602" s="51"/>
      <c r="H1602" s="221"/>
    </row>
    <row r="1603">
      <c r="A1603" s="51"/>
      <c r="H1603" s="221"/>
    </row>
    <row r="1604">
      <c r="A1604" s="51"/>
      <c r="H1604" s="221"/>
    </row>
    <row r="1605">
      <c r="A1605" s="51"/>
      <c r="H1605" s="221"/>
    </row>
    <row r="1606">
      <c r="A1606" s="51"/>
      <c r="H1606" s="221"/>
    </row>
    <row r="1607">
      <c r="A1607" s="51"/>
      <c r="H1607" s="221"/>
    </row>
    <row r="1608">
      <c r="A1608" s="51"/>
      <c r="H1608" s="221"/>
    </row>
    <row r="1609">
      <c r="A1609" s="51"/>
      <c r="H1609" s="221"/>
    </row>
    <row r="1610">
      <c r="A1610" s="51"/>
      <c r="H1610" s="221"/>
    </row>
    <row r="1611">
      <c r="A1611" s="51"/>
      <c r="H1611" s="221"/>
    </row>
    <row r="1612">
      <c r="A1612" s="51"/>
      <c r="H1612" s="221"/>
    </row>
    <row r="1613">
      <c r="A1613" s="51"/>
      <c r="H1613" s="221"/>
    </row>
    <row r="1614">
      <c r="A1614" s="51"/>
      <c r="H1614" s="221"/>
    </row>
    <row r="1615">
      <c r="A1615" s="51"/>
      <c r="H1615" s="221"/>
    </row>
    <row r="1616">
      <c r="A1616" s="51"/>
      <c r="H1616" s="221"/>
    </row>
    <row r="1617">
      <c r="A1617" s="51"/>
      <c r="H1617" s="221"/>
    </row>
    <row r="1618">
      <c r="A1618" s="51"/>
      <c r="H1618" s="221"/>
    </row>
    <row r="1619">
      <c r="A1619" s="51"/>
      <c r="H1619" s="221"/>
    </row>
    <row r="1620">
      <c r="A1620" s="51"/>
      <c r="H1620" s="221"/>
    </row>
    <row r="1621">
      <c r="A1621" s="51"/>
      <c r="H1621" s="221"/>
    </row>
    <row r="1622">
      <c r="A1622" s="51"/>
      <c r="H1622" s="221"/>
    </row>
    <row r="1623">
      <c r="A1623" s="51"/>
      <c r="H1623" s="221"/>
    </row>
    <row r="1624">
      <c r="A1624" s="51"/>
      <c r="H1624" s="221"/>
    </row>
    <row r="1625">
      <c r="A1625" s="51"/>
      <c r="H1625" s="221"/>
    </row>
    <row r="1626">
      <c r="A1626" s="51"/>
      <c r="H1626" s="221"/>
    </row>
    <row r="1627">
      <c r="A1627" s="51"/>
      <c r="H1627" s="221"/>
    </row>
    <row r="1628">
      <c r="A1628" s="51"/>
      <c r="H1628" s="221"/>
    </row>
    <row r="1629">
      <c r="A1629" s="51"/>
      <c r="H1629" s="221"/>
    </row>
    <row r="1630">
      <c r="A1630" s="51"/>
      <c r="H1630" s="221"/>
    </row>
    <row r="1631">
      <c r="A1631" s="51"/>
      <c r="H1631" s="221"/>
    </row>
    <row r="1632">
      <c r="A1632" s="51"/>
      <c r="H1632" s="221"/>
    </row>
    <row r="1633">
      <c r="A1633" s="51"/>
      <c r="H1633" s="221"/>
    </row>
    <row r="1634">
      <c r="A1634" s="51"/>
      <c r="H1634" s="221"/>
    </row>
    <row r="1635">
      <c r="A1635" s="51"/>
      <c r="H1635" s="221"/>
    </row>
    <row r="1636">
      <c r="A1636" s="51"/>
      <c r="H1636" s="221"/>
    </row>
    <row r="1637">
      <c r="A1637" s="51"/>
      <c r="H1637" s="221"/>
    </row>
    <row r="1638">
      <c r="A1638" s="51"/>
      <c r="H1638" s="221"/>
    </row>
    <row r="1639">
      <c r="A1639" s="51"/>
      <c r="H1639" s="221"/>
    </row>
    <row r="1640">
      <c r="A1640" s="51"/>
      <c r="H1640" s="221"/>
    </row>
    <row r="1641">
      <c r="A1641" s="51"/>
      <c r="H1641" s="221"/>
    </row>
    <row r="1642">
      <c r="A1642" s="51"/>
      <c r="H1642" s="221"/>
    </row>
    <row r="1643">
      <c r="A1643" s="51"/>
      <c r="H1643" s="221"/>
    </row>
    <row r="1644">
      <c r="A1644" s="51"/>
      <c r="H1644" s="221"/>
    </row>
    <row r="1645">
      <c r="A1645" s="51"/>
      <c r="H1645" s="221"/>
    </row>
    <row r="1646">
      <c r="A1646" s="51"/>
      <c r="H1646" s="221"/>
    </row>
    <row r="1647">
      <c r="A1647" s="51"/>
      <c r="H1647" s="221"/>
    </row>
    <row r="1648">
      <c r="A1648" s="51"/>
      <c r="H1648" s="221"/>
    </row>
    <row r="1649">
      <c r="A1649" s="51"/>
      <c r="H1649" s="221"/>
    </row>
    <row r="1650">
      <c r="A1650" s="51"/>
      <c r="H1650" s="221"/>
    </row>
    <row r="1651">
      <c r="A1651" s="51"/>
      <c r="H1651" s="221"/>
    </row>
    <row r="1652">
      <c r="A1652" s="51"/>
      <c r="H1652" s="221"/>
    </row>
    <row r="1653">
      <c r="A1653" s="51"/>
      <c r="H1653" s="221"/>
    </row>
    <row r="1654">
      <c r="A1654" s="51"/>
      <c r="H1654" s="221"/>
    </row>
    <row r="1655">
      <c r="A1655" s="51"/>
      <c r="H1655" s="221"/>
    </row>
    <row r="1656">
      <c r="A1656" s="51"/>
      <c r="H1656" s="221"/>
    </row>
    <row r="1657">
      <c r="A1657" s="51"/>
      <c r="H1657" s="221"/>
    </row>
    <row r="1658">
      <c r="A1658" s="51"/>
      <c r="H1658" s="221"/>
    </row>
    <row r="1659">
      <c r="A1659" s="51"/>
      <c r="H1659" s="221"/>
    </row>
    <row r="1660">
      <c r="A1660" s="51"/>
      <c r="H1660" s="221"/>
    </row>
    <row r="1661">
      <c r="A1661" s="51"/>
      <c r="H1661" s="221"/>
    </row>
    <row r="1662">
      <c r="A1662" s="51"/>
      <c r="H1662" s="221"/>
    </row>
    <row r="1663">
      <c r="A1663" s="51"/>
      <c r="H1663" s="221"/>
    </row>
    <row r="1664">
      <c r="A1664" s="51"/>
      <c r="H1664" s="221"/>
    </row>
    <row r="1665">
      <c r="A1665" s="51"/>
      <c r="H1665" s="221"/>
    </row>
    <row r="1666">
      <c r="A1666" s="51"/>
      <c r="H1666" s="221"/>
    </row>
    <row r="1667">
      <c r="A1667" s="51"/>
      <c r="H1667" s="221"/>
    </row>
    <row r="1668">
      <c r="A1668" s="51"/>
      <c r="H1668" s="221"/>
    </row>
    <row r="1669">
      <c r="A1669" s="51"/>
      <c r="H1669" s="221"/>
    </row>
    <row r="1670">
      <c r="A1670" s="51"/>
      <c r="H1670" s="221"/>
    </row>
    <row r="1671">
      <c r="A1671" s="51"/>
      <c r="H1671" s="221"/>
    </row>
    <row r="1672">
      <c r="A1672" s="51"/>
      <c r="H1672" s="221"/>
    </row>
    <row r="1673">
      <c r="A1673" s="51"/>
      <c r="H1673" s="221"/>
    </row>
    <row r="1674">
      <c r="A1674" s="51"/>
      <c r="H1674" s="221"/>
    </row>
    <row r="1675">
      <c r="A1675" s="51"/>
      <c r="H1675" s="221"/>
    </row>
    <row r="1676">
      <c r="A1676" s="51"/>
      <c r="H1676" s="221"/>
    </row>
    <row r="1677">
      <c r="A1677" s="51"/>
      <c r="H1677" s="221"/>
    </row>
    <row r="1678">
      <c r="A1678" s="51"/>
      <c r="H1678" s="221"/>
    </row>
    <row r="1679">
      <c r="A1679" s="51"/>
      <c r="H1679" s="221"/>
    </row>
    <row r="1680">
      <c r="A1680" s="51"/>
      <c r="H1680" s="221"/>
    </row>
    <row r="1681">
      <c r="A1681" s="51"/>
      <c r="H1681" s="221"/>
    </row>
    <row r="1682">
      <c r="A1682" s="51"/>
      <c r="H1682" s="221"/>
    </row>
    <row r="1683">
      <c r="A1683" s="51"/>
      <c r="H1683" s="221"/>
    </row>
    <row r="1684">
      <c r="A1684" s="51"/>
      <c r="H1684" s="221"/>
    </row>
    <row r="1685">
      <c r="A1685" s="51"/>
      <c r="H1685" s="221"/>
    </row>
    <row r="1686">
      <c r="A1686" s="51"/>
      <c r="H1686" s="221"/>
    </row>
    <row r="1687">
      <c r="A1687" s="51"/>
      <c r="H1687" s="221"/>
    </row>
    <row r="1688">
      <c r="A1688" s="51"/>
      <c r="H1688" s="221"/>
    </row>
    <row r="1689">
      <c r="A1689" s="51"/>
      <c r="H1689" s="221"/>
    </row>
    <row r="1690">
      <c r="A1690" s="51"/>
      <c r="H1690" s="221"/>
    </row>
    <row r="1691">
      <c r="A1691" s="51"/>
      <c r="H1691" s="221"/>
    </row>
    <row r="1692">
      <c r="A1692" s="51"/>
      <c r="H1692" s="221"/>
    </row>
    <row r="1693">
      <c r="A1693" s="51"/>
      <c r="H1693" s="221"/>
    </row>
    <row r="1694">
      <c r="A1694" s="51"/>
      <c r="H1694" s="221"/>
    </row>
    <row r="1695">
      <c r="A1695" s="51"/>
      <c r="H1695" s="221"/>
    </row>
    <row r="1696">
      <c r="A1696" s="51"/>
      <c r="H1696" s="221"/>
    </row>
    <row r="1697">
      <c r="A1697" s="51"/>
      <c r="H1697" s="221"/>
    </row>
    <row r="1698">
      <c r="A1698" s="51"/>
      <c r="H1698" s="221"/>
    </row>
    <row r="1699">
      <c r="A1699" s="51"/>
      <c r="H1699" s="221"/>
    </row>
    <row r="1700">
      <c r="A1700" s="51"/>
      <c r="H1700" s="221"/>
    </row>
    <row r="1701">
      <c r="A1701" s="51"/>
      <c r="H1701" s="221"/>
    </row>
    <row r="1702">
      <c r="A1702" s="51"/>
      <c r="H1702" s="221"/>
    </row>
    <row r="1703">
      <c r="A1703" s="51"/>
      <c r="H1703" s="221"/>
    </row>
    <row r="1704">
      <c r="A1704" s="51"/>
      <c r="H1704" s="221"/>
    </row>
    <row r="1705">
      <c r="A1705" s="51"/>
      <c r="H1705" s="221"/>
    </row>
    <row r="1706">
      <c r="A1706" s="51"/>
      <c r="H1706" s="221"/>
    </row>
    <row r="1707">
      <c r="A1707" s="51"/>
      <c r="H1707" s="221"/>
    </row>
    <row r="1708">
      <c r="A1708" s="51"/>
      <c r="H1708" s="221"/>
    </row>
    <row r="1709">
      <c r="A1709" s="51"/>
      <c r="H1709" s="221"/>
    </row>
    <row r="1710">
      <c r="A1710" s="51"/>
      <c r="H1710" s="221"/>
    </row>
    <row r="1711">
      <c r="A1711" s="51"/>
      <c r="H1711" s="221"/>
    </row>
    <row r="1712">
      <c r="A1712" s="51"/>
      <c r="H1712" s="221"/>
    </row>
    <row r="1713">
      <c r="A1713" s="51"/>
      <c r="H1713" s="221"/>
    </row>
    <row r="1714">
      <c r="A1714" s="51"/>
      <c r="H1714" s="221"/>
    </row>
    <row r="1715">
      <c r="A1715" s="51"/>
      <c r="H1715" s="221"/>
    </row>
    <row r="1716">
      <c r="A1716" s="51"/>
      <c r="H1716" s="221"/>
    </row>
    <row r="1717">
      <c r="A1717" s="51"/>
      <c r="H1717" s="221"/>
    </row>
    <row r="1718">
      <c r="A1718" s="51"/>
      <c r="H1718" s="221"/>
    </row>
    <row r="1719">
      <c r="A1719" s="51"/>
      <c r="H1719" s="221"/>
    </row>
    <row r="1720">
      <c r="A1720" s="51"/>
      <c r="H1720" s="221"/>
    </row>
    <row r="1721">
      <c r="A1721" s="51"/>
      <c r="H1721" s="221"/>
    </row>
    <row r="1722">
      <c r="A1722" s="51"/>
      <c r="H1722" s="221"/>
    </row>
    <row r="1723">
      <c r="A1723" s="51"/>
      <c r="H1723" s="221"/>
    </row>
    <row r="1724">
      <c r="A1724" s="51"/>
      <c r="H1724" s="221"/>
    </row>
    <row r="1725">
      <c r="A1725" s="51"/>
      <c r="H1725" s="221"/>
    </row>
    <row r="1726">
      <c r="A1726" s="51"/>
      <c r="H1726" s="221"/>
    </row>
    <row r="1727">
      <c r="A1727" s="51"/>
      <c r="H1727" s="221"/>
    </row>
    <row r="1728">
      <c r="A1728" s="51"/>
      <c r="H1728" s="221"/>
    </row>
    <row r="1729">
      <c r="A1729" s="51"/>
      <c r="H1729" s="221"/>
    </row>
    <row r="1730">
      <c r="A1730" s="51"/>
      <c r="H1730" s="221"/>
    </row>
    <row r="1731">
      <c r="A1731" s="51"/>
      <c r="H1731" s="221"/>
    </row>
    <row r="1732">
      <c r="A1732" s="51"/>
      <c r="H1732" s="221"/>
    </row>
    <row r="1733">
      <c r="A1733" s="51"/>
      <c r="H1733" s="221"/>
    </row>
    <row r="1734">
      <c r="A1734" s="51"/>
      <c r="H1734" s="221"/>
    </row>
    <row r="1735">
      <c r="A1735" s="51"/>
      <c r="H1735" s="221"/>
    </row>
    <row r="1736">
      <c r="A1736" s="51"/>
      <c r="H1736" s="221"/>
    </row>
    <row r="1737">
      <c r="A1737" s="51"/>
      <c r="H1737" s="221"/>
    </row>
    <row r="1738">
      <c r="A1738" s="51"/>
      <c r="H1738" s="221"/>
    </row>
    <row r="1739">
      <c r="A1739" s="51"/>
      <c r="H1739" s="221"/>
    </row>
    <row r="1740">
      <c r="A1740" s="51"/>
      <c r="H1740" s="221"/>
    </row>
    <row r="1741">
      <c r="A1741" s="51"/>
      <c r="H1741" s="221"/>
    </row>
    <row r="1742">
      <c r="A1742" s="51"/>
      <c r="H1742" s="221"/>
    </row>
    <row r="1743">
      <c r="A1743" s="51"/>
      <c r="H1743" s="221"/>
    </row>
    <row r="1744">
      <c r="A1744" s="51"/>
      <c r="H1744" s="221"/>
    </row>
    <row r="1745">
      <c r="A1745" s="51"/>
      <c r="H1745" s="221"/>
    </row>
    <row r="1746">
      <c r="A1746" s="51"/>
      <c r="H1746" s="221"/>
    </row>
    <row r="1747">
      <c r="A1747" s="51"/>
      <c r="H1747" s="221"/>
    </row>
    <row r="1748">
      <c r="A1748" s="51"/>
      <c r="H1748" s="221"/>
    </row>
    <row r="1749">
      <c r="A1749" s="51"/>
      <c r="H1749" s="221"/>
    </row>
    <row r="1750">
      <c r="A1750" s="51"/>
      <c r="H1750" s="221"/>
    </row>
    <row r="1751">
      <c r="A1751" s="51"/>
      <c r="H1751" s="221"/>
    </row>
    <row r="1752">
      <c r="A1752" s="51"/>
      <c r="H1752" s="221"/>
    </row>
    <row r="1753">
      <c r="A1753" s="51"/>
      <c r="H1753" s="221"/>
    </row>
    <row r="1754">
      <c r="A1754" s="51"/>
      <c r="H1754" s="221"/>
    </row>
    <row r="1755">
      <c r="A1755" s="51"/>
      <c r="H1755" s="221"/>
    </row>
    <row r="1756">
      <c r="A1756" s="51"/>
      <c r="H1756" s="221"/>
    </row>
    <row r="1757">
      <c r="A1757" s="51"/>
      <c r="H1757" s="221"/>
    </row>
    <row r="1758">
      <c r="A1758" s="51"/>
      <c r="H1758" s="221"/>
    </row>
    <row r="1759">
      <c r="A1759" s="51"/>
      <c r="H1759" s="221"/>
    </row>
    <row r="1760">
      <c r="A1760" s="51"/>
      <c r="H1760" s="221"/>
    </row>
    <row r="1761">
      <c r="A1761" s="51"/>
      <c r="H1761" s="221"/>
    </row>
    <row r="1762">
      <c r="A1762" s="51"/>
      <c r="H1762" s="221"/>
    </row>
    <row r="1763">
      <c r="A1763" s="51"/>
      <c r="H1763" s="221"/>
    </row>
    <row r="1764">
      <c r="A1764" s="51"/>
      <c r="H1764" s="221"/>
    </row>
    <row r="1765">
      <c r="A1765" s="51"/>
      <c r="H1765" s="221"/>
    </row>
    <row r="1766">
      <c r="A1766" s="51"/>
      <c r="H1766" s="221"/>
    </row>
    <row r="1767">
      <c r="A1767" s="51"/>
      <c r="H1767" s="221"/>
    </row>
    <row r="1768">
      <c r="A1768" s="51"/>
      <c r="H1768" s="221"/>
    </row>
    <row r="1769">
      <c r="A1769" s="51"/>
      <c r="H1769" s="221"/>
    </row>
    <row r="1770">
      <c r="A1770" s="51"/>
      <c r="H1770" s="221"/>
    </row>
    <row r="1771">
      <c r="A1771" s="51"/>
      <c r="H1771" s="221"/>
    </row>
    <row r="1772">
      <c r="A1772" s="51"/>
      <c r="H1772" s="221"/>
    </row>
    <row r="1773">
      <c r="A1773" s="51"/>
      <c r="H1773" s="221"/>
    </row>
    <row r="1774">
      <c r="A1774" s="51"/>
      <c r="H1774" s="221"/>
    </row>
    <row r="1775">
      <c r="A1775" s="51"/>
      <c r="H1775" s="221"/>
    </row>
    <row r="1776">
      <c r="A1776" s="51"/>
      <c r="H1776" s="221"/>
    </row>
    <row r="1777">
      <c r="A1777" s="51"/>
      <c r="H1777" s="221"/>
    </row>
    <row r="1778">
      <c r="A1778" s="51"/>
      <c r="H1778" s="221"/>
    </row>
    <row r="1779">
      <c r="A1779" s="51"/>
      <c r="H1779" s="221"/>
    </row>
    <row r="1780">
      <c r="A1780" s="51"/>
      <c r="H1780" s="221"/>
    </row>
    <row r="1781">
      <c r="A1781" s="51"/>
      <c r="H1781" s="221"/>
    </row>
    <row r="1782">
      <c r="A1782" s="51"/>
      <c r="H1782" s="221"/>
    </row>
    <row r="1783">
      <c r="A1783" s="51"/>
      <c r="H1783" s="221"/>
    </row>
    <row r="1784">
      <c r="A1784" s="51"/>
      <c r="H1784" s="221"/>
    </row>
    <row r="1785">
      <c r="A1785" s="51"/>
      <c r="H1785" s="221"/>
    </row>
    <row r="1786">
      <c r="A1786" s="51"/>
      <c r="H1786" s="221"/>
    </row>
    <row r="1787">
      <c r="A1787" s="51"/>
      <c r="H1787" s="221"/>
    </row>
    <row r="1788">
      <c r="A1788" s="51"/>
      <c r="H1788" s="221"/>
    </row>
    <row r="1789">
      <c r="A1789" s="51"/>
      <c r="H1789" s="221"/>
    </row>
    <row r="1790">
      <c r="A1790" s="51"/>
      <c r="H1790" s="221"/>
    </row>
    <row r="1791">
      <c r="A1791" s="51"/>
      <c r="H1791" s="221"/>
    </row>
    <row r="1792">
      <c r="A1792" s="51"/>
      <c r="H1792" s="221"/>
    </row>
    <row r="1793">
      <c r="A1793" s="51"/>
      <c r="H1793" s="221"/>
    </row>
    <row r="1794">
      <c r="A1794" s="51"/>
      <c r="H1794" s="221"/>
    </row>
    <row r="1795">
      <c r="A1795" s="51"/>
      <c r="H1795" s="221"/>
    </row>
    <row r="1796">
      <c r="A1796" s="51"/>
      <c r="H1796" s="221"/>
    </row>
    <row r="1797">
      <c r="A1797" s="51"/>
      <c r="H1797" s="221"/>
    </row>
    <row r="1798">
      <c r="A1798" s="51"/>
      <c r="H1798" s="221"/>
    </row>
    <row r="1799">
      <c r="A1799" s="51"/>
      <c r="H1799" s="221"/>
    </row>
    <row r="1800">
      <c r="A1800" s="51"/>
      <c r="H1800" s="221"/>
    </row>
    <row r="1801">
      <c r="A1801" s="51"/>
      <c r="H1801" s="221"/>
    </row>
    <row r="1802">
      <c r="A1802" s="51"/>
      <c r="H1802" s="221"/>
    </row>
    <row r="1803">
      <c r="A1803" s="51"/>
      <c r="H1803" s="221"/>
    </row>
    <row r="1804">
      <c r="A1804" s="51"/>
      <c r="H1804" s="221"/>
    </row>
    <row r="1805">
      <c r="A1805" s="51"/>
      <c r="H1805" s="221"/>
    </row>
    <row r="1806">
      <c r="A1806" s="51"/>
      <c r="H1806" s="221"/>
    </row>
    <row r="1807">
      <c r="A1807" s="51"/>
      <c r="H1807" s="221"/>
    </row>
    <row r="1808">
      <c r="A1808" s="51"/>
      <c r="H1808" s="221"/>
    </row>
    <row r="1809">
      <c r="A1809" s="51"/>
      <c r="H1809" s="221"/>
    </row>
    <row r="1810">
      <c r="A1810" s="51"/>
      <c r="H1810" s="221"/>
    </row>
    <row r="1811">
      <c r="A1811" s="51"/>
      <c r="H1811" s="221"/>
    </row>
    <row r="1812">
      <c r="A1812" s="51"/>
      <c r="H1812" s="221"/>
    </row>
    <row r="1813">
      <c r="A1813" s="51"/>
      <c r="H1813" s="221"/>
    </row>
    <row r="1814">
      <c r="A1814" s="51"/>
      <c r="H1814" s="221"/>
    </row>
    <row r="1815">
      <c r="A1815" s="51"/>
      <c r="H1815" s="221"/>
    </row>
    <row r="1816">
      <c r="A1816" s="51"/>
      <c r="H1816" s="221"/>
    </row>
    <row r="1817">
      <c r="A1817" s="51"/>
      <c r="H1817" s="221"/>
    </row>
    <row r="1818">
      <c r="A1818" s="51"/>
      <c r="H1818" s="221"/>
    </row>
    <row r="1819">
      <c r="A1819" s="51"/>
      <c r="H1819" s="221"/>
    </row>
    <row r="1820">
      <c r="A1820" s="51"/>
      <c r="H1820" s="221"/>
    </row>
    <row r="1821">
      <c r="A1821" s="51"/>
      <c r="H1821" s="221"/>
    </row>
    <row r="1822">
      <c r="A1822" s="51"/>
      <c r="H1822" s="221"/>
    </row>
    <row r="1823">
      <c r="A1823" s="51"/>
      <c r="H1823" s="221"/>
    </row>
    <row r="1824">
      <c r="A1824" s="51"/>
      <c r="H1824" s="221"/>
    </row>
    <row r="1825">
      <c r="A1825" s="51"/>
      <c r="H1825" s="221"/>
    </row>
    <row r="1826">
      <c r="A1826" s="51"/>
      <c r="H1826" s="221"/>
    </row>
    <row r="1827">
      <c r="A1827" s="51"/>
      <c r="H1827" s="221"/>
    </row>
    <row r="1828">
      <c r="A1828" s="51"/>
      <c r="H1828" s="221"/>
    </row>
    <row r="1829">
      <c r="A1829" s="51"/>
      <c r="H1829" s="221"/>
    </row>
    <row r="1830">
      <c r="A1830" s="51"/>
      <c r="H1830" s="221"/>
    </row>
    <row r="1831">
      <c r="A1831" s="51"/>
      <c r="H1831" s="221"/>
    </row>
    <row r="1832">
      <c r="A1832" s="51"/>
      <c r="H1832" s="221"/>
    </row>
    <row r="1833">
      <c r="A1833" s="51"/>
      <c r="H1833" s="221"/>
    </row>
    <row r="1834">
      <c r="A1834" s="51"/>
      <c r="H1834" s="221"/>
    </row>
    <row r="1835">
      <c r="A1835" s="51"/>
      <c r="H1835" s="221"/>
    </row>
    <row r="1836">
      <c r="A1836" s="51"/>
      <c r="H1836" s="221"/>
    </row>
    <row r="1837">
      <c r="A1837" s="51"/>
      <c r="H1837" s="221"/>
    </row>
    <row r="1838">
      <c r="A1838" s="51"/>
      <c r="H1838" s="221"/>
    </row>
    <row r="1839">
      <c r="A1839" s="51"/>
      <c r="H1839" s="221"/>
    </row>
    <row r="1840">
      <c r="A1840" s="51"/>
      <c r="H1840" s="221"/>
    </row>
    <row r="1841">
      <c r="A1841" s="51"/>
      <c r="H1841" s="221"/>
    </row>
    <row r="1842">
      <c r="A1842" s="51"/>
      <c r="H1842" s="221"/>
    </row>
    <row r="1843">
      <c r="A1843" s="51"/>
      <c r="H1843" s="221"/>
    </row>
    <row r="1844">
      <c r="A1844" s="51"/>
      <c r="H1844" s="221"/>
    </row>
    <row r="1845">
      <c r="A1845" s="51"/>
      <c r="H1845" s="221"/>
    </row>
    <row r="1846">
      <c r="A1846" s="51"/>
      <c r="H1846" s="221"/>
    </row>
    <row r="1847">
      <c r="A1847" s="51"/>
      <c r="H1847" s="221"/>
    </row>
    <row r="1848">
      <c r="A1848" s="51"/>
      <c r="H1848" s="221"/>
    </row>
    <row r="1849">
      <c r="A1849" s="51"/>
      <c r="H1849" s="221"/>
    </row>
    <row r="1850">
      <c r="A1850" s="51"/>
      <c r="H1850" s="221"/>
    </row>
    <row r="1851">
      <c r="A1851" s="51"/>
      <c r="H1851" s="221"/>
    </row>
    <row r="1852">
      <c r="A1852" s="51"/>
      <c r="H1852" s="221"/>
    </row>
    <row r="1853">
      <c r="A1853" s="51"/>
      <c r="H1853" s="221"/>
    </row>
    <row r="1854">
      <c r="A1854" s="51"/>
      <c r="H1854" s="221"/>
    </row>
    <row r="1855">
      <c r="A1855" s="51"/>
      <c r="H1855" s="221"/>
    </row>
    <row r="1856">
      <c r="A1856" s="51"/>
      <c r="H1856" s="221"/>
    </row>
    <row r="1857">
      <c r="A1857" s="51"/>
      <c r="H1857" s="221"/>
    </row>
    <row r="1858">
      <c r="A1858" s="51"/>
      <c r="H1858" s="221"/>
    </row>
    <row r="1859">
      <c r="A1859" s="51"/>
      <c r="H1859" s="221"/>
    </row>
    <row r="1860">
      <c r="A1860" s="51"/>
      <c r="H1860" s="221"/>
    </row>
    <row r="1861">
      <c r="A1861" s="51"/>
      <c r="H1861" s="221"/>
    </row>
    <row r="1862">
      <c r="A1862" s="51"/>
      <c r="H1862" s="221"/>
    </row>
    <row r="1863">
      <c r="A1863" s="51"/>
      <c r="H1863" s="221"/>
    </row>
    <row r="1864">
      <c r="A1864" s="51"/>
      <c r="H1864" s="221"/>
    </row>
    <row r="1865">
      <c r="A1865" s="51"/>
      <c r="H1865" s="221"/>
    </row>
    <row r="1866">
      <c r="A1866" s="51"/>
      <c r="H1866" s="221"/>
    </row>
    <row r="1867">
      <c r="A1867" s="51"/>
      <c r="H1867" s="221"/>
    </row>
    <row r="1868">
      <c r="A1868" s="51"/>
      <c r="H1868" s="221"/>
    </row>
    <row r="1869">
      <c r="A1869" s="51"/>
      <c r="H1869" s="221"/>
    </row>
    <row r="1870">
      <c r="A1870" s="51"/>
      <c r="H1870" s="221"/>
    </row>
    <row r="1871">
      <c r="A1871" s="51"/>
      <c r="H1871" s="221"/>
    </row>
    <row r="1872">
      <c r="A1872" s="51"/>
      <c r="H1872" s="221"/>
    </row>
    <row r="1873">
      <c r="A1873" s="51"/>
      <c r="H1873" s="221"/>
    </row>
    <row r="1874">
      <c r="A1874" s="51"/>
      <c r="H1874" s="221"/>
    </row>
    <row r="1875">
      <c r="A1875" s="51"/>
      <c r="H1875" s="221"/>
    </row>
    <row r="1876">
      <c r="A1876" s="51"/>
      <c r="H1876" s="221"/>
    </row>
    <row r="1877">
      <c r="A1877" s="51"/>
      <c r="H1877" s="221"/>
    </row>
    <row r="1878">
      <c r="A1878" s="51"/>
      <c r="H1878" s="221"/>
    </row>
    <row r="1879">
      <c r="A1879" s="51"/>
      <c r="H1879" s="221"/>
    </row>
    <row r="1880">
      <c r="A1880" s="51"/>
      <c r="H1880" s="221"/>
    </row>
    <row r="1881">
      <c r="A1881" s="51"/>
      <c r="H1881" s="221"/>
    </row>
    <row r="1882">
      <c r="A1882" s="51"/>
      <c r="H1882" s="221"/>
    </row>
    <row r="1883">
      <c r="A1883" s="51"/>
      <c r="H1883" s="221"/>
    </row>
    <row r="1884">
      <c r="A1884" s="51"/>
      <c r="H1884" s="221"/>
    </row>
    <row r="1885">
      <c r="A1885" s="51"/>
      <c r="H1885" s="221"/>
    </row>
    <row r="1886">
      <c r="A1886" s="51"/>
      <c r="H1886" s="221"/>
    </row>
    <row r="1887">
      <c r="A1887" s="51"/>
      <c r="H1887" s="221"/>
    </row>
    <row r="1888">
      <c r="A1888" s="51"/>
      <c r="H1888" s="221"/>
    </row>
    <row r="1889">
      <c r="A1889" s="51"/>
      <c r="H1889" s="221"/>
    </row>
    <row r="1890">
      <c r="A1890" s="51"/>
      <c r="H1890" s="221"/>
    </row>
    <row r="1891">
      <c r="A1891" s="51"/>
      <c r="H1891" s="221"/>
    </row>
    <row r="1892">
      <c r="A1892" s="51"/>
      <c r="H1892" s="221"/>
    </row>
    <row r="1893">
      <c r="A1893" s="51"/>
      <c r="H1893" s="221"/>
    </row>
    <row r="1894">
      <c r="A1894" s="51"/>
      <c r="H1894" s="221"/>
    </row>
    <row r="1895">
      <c r="A1895" s="51"/>
      <c r="H1895" s="221"/>
    </row>
    <row r="1896">
      <c r="A1896" s="51"/>
      <c r="H1896" s="221"/>
    </row>
    <row r="1897">
      <c r="A1897" s="51"/>
      <c r="H1897" s="221"/>
    </row>
    <row r="1898">
      <c r="A1898" s="51"/>
      <c r="H1898" s="221"/>
    </row>
    <row r="1899">
      <c r="A1899" s="51"/>
      <c r="H1899" s="221"/>
    </row>
    <row r="1900">
      <c r="A1900" s="51"/>
      <c r="H1900" s="221"/>
    </row>
    <row r="1901">
      <c r="A1901" s="51"/>
      <c r="H1901" s="221"/>
    </row>
    <row r="1902">
      <c r="A1902" s="51"/>
      <c r="H1902" s="221"/>
    </row>
    <row r="1903">
      <c r="A1903" s="51"/>
      <c r="H1903" s="221"/>
    </row>
    <row r="1904">
      <c r="A1904" s="51"/>
      <c r="H1904" s="221"/>
    </row>
    <row r="1905">
      <c r="A1905" s="51"/>
      <c r="H1905" s="221"/>
    </row>
    <row r="1906">
      <c r="A1906" s="51"/>
      <c r="H1906" s="221"/>
    </row>
    <row r="1907">
      <c r="A1907" s="51"/>
      <c r="H1907" s="221"/>
    </row>
    <row r="1908">
      <c r="A1908" s="51"/>
      <c r="H1908" s="221"/>
    </row>
    <row r="1909">
      <c r="A1909" s="51"/>
      <c r="H1909" s="221"/>
    </row>
    <row r="1910">
      <c r="A1910" s="51"/>
      <c r="H1910" s="221"/>
    </row>
    <row r="1911">
      <c r="A1911" s="51"/>
      <c r="H1911" s="221"/>
    </row>
    <row r="1912">
      <c r="A1912" s="51"/>
      <c r="H1912" s="221"/>
    </row>
    <row r="1913">
      <c r="A1913" s="51"/>
      <c r="H1913" s="221"/>
    </row>
    <row r="1914">
      <c r="A1914" s="51"/>
      <c r="H1914" s="221"/>
    </row>
    <row r="1915">
      <c r="A1915" s="51"/>
      <c r="H1915" s="221"/>
    </row>
    <row r="1916">
      <c r="A1916" s="51"/>
      <c r="H1916" s="221"/>
    </row>
    <row r="1917">
      <c r="A1917" s="51"/>
      <c r="H1917" s="221"/>
    </row>
    <row r="1918">
      <c r="A1918" s="51"/>
      <c r="H1918" s="221"/>
    </row>
    <row r="1919">
      <c r="A1919" s="51"/>
      <c r="H1919" s="221"/>
    </row>
    <row r="1920">
      <c r="A1920" s="51"/>
      <c r="H1920" s="221"/>
    </row>
    <row r="1921">
      <c r="A1921" s="51"/>
      <c r="H1921" s="221"/>
    </row>
    <row r="1922">
      <c r="A1922" s="51"/>
      <c r="H1922" s="221"/>
    </row>
    <row r="1923">
      <c r="A1923" s="51"/>
      <c r="H1923" s="221"/>
    </row>
    <row r="1924">
      <c r="A1924" s="51"/>
      <c r="H1924" s="221"/>
    </row>
    <row r="1925">
      <c r="A1925" s="51"/>
      <c r="H1925" s="221"/>
    </row>
    <row r="1926">
      <c r="A1926" s="51"/>
      <c r="H1926" s="221"/>
    </row>
    <row r="1927">
      <c r="A1927" s="51"/>
      <c r="H1927" s="221"/>
    </row>
    <row r="1928">
      <c r="A1928" s="51"/>
      <c r="H1928" s="221"/>
    </row>
    <row r="1929">
      <c r="A1929" s="51"/>
      <c r="H1929" s="221"/>
    </row>
    <row r="1930">
      <c r="A1930" s="51"/>
      <c r="H1930" s="221"/>
    </row>
    <row r="1931">
      <c r="A1931" s="51"/>
      <c r="H1931" s="221"/>
    </row>
    <row r="1932">
      <c r="A1932" s="51"/>
      <c r="H1932" s="221"/>
    </row>
    <row r="1933">
      <c r="A1933" s="51"/>
      <c r="H1933" s="221"/>
    </row>
    <row r="1934">
      <c r="A1934" s="51"/>
      <c r="H1934" s="221"/>
    </row>
    <row r="1935">
      <c r="A1935" s="51"/>
      <c r="H1935" s="221"/>
    </row>
    <row r="1936">
      <c r="A1936" s="51"/>
      <c r="H1936" s="221"/>
    </row>
    <row r="1937">
      <c r="A1937" s="51"/>
      <c r="H1937" s="221"/>
    </row>
    <row r="1938">
      <c r="A1938" s="51"/>
      <c r="H1938" s="221"/>
    </row>
    <row r="1939">
      <c r="A1939" s="51"/>
      <c r="H1939" s="221"/>
    </row>
    <row r="1940">
      <c r="A1940" s="51"/>
      <c r="H1940" s="221"/>
    </row>
    <row r="1941">
      <c r="A1941" s="51"/>
      <c r="H1941" s="221"/>
    </row>
    <row r="1942">
      <c r="A1942" s="51"/>
      <c r="H1942" s="221"/>
    </row>
    <row r="1943">
      <c r="A1943" s="51"/>
      <c r="H1943" s="221"/>
    </row>
    <row r="1944">
      <c r="A1944" s="51"/>
      <c r="H1944" s="221"/>
    </row>
    <row r="1945">
      <c r="A1945" s="51"/>
      <c r="H1945" s="221"/>
    </row>
    <row r="1946">
      <c r="A1946" s="51"/>
      <c r="H1946" s="221"/>
    </row>
    <row r="1947">
      <c r="A1947" s="51"/>
      <c r="H1947" s="221"/>
    </row>
    <row r="1948">
      <c r="A1948" s="51"/>
      <c r="H1948" s="221"/>
    </row>
    <row r="1949">
      <c r="A1949" s="51"/>
      <c r="H1949" s="221"/>
    </row>
    <row r="1950">
      <c r="A1950" s="51"/>
      <c r="H1950" s="221"/>
    </row>
    <row r="1951">
      <c r="A1951" s="51"/>
      <c r="H1951" s="221"/>
    </row>
    <row r="1952">
      <c r="A1952" s="51"/>
      <c r="H1952" s="221"/>
    </row>
    <row r="1953">
      <c r="A1953" s="51"/>
      <c r="H1953" s="221"/>
    </row>
    <row r="1954">
      <c r="A1954" s="51"/>
      <c r="H1954" s="221"/>
    </row>
    <row r="1955">
      <c r="A1955" s="51"/>
      <c r="H1955" s="221"/>
    </row>
    <row r="1956">
      <c r="A1956" s="51"/>
      <c r="H1956" s="221"/>
    </row>
    <row r="1957">
      <c r="A1957" s="51"/>
      <c r="H1957" s="221"/>
    </row>
    <row r="1958">
      <c r="A1958" s="51"/>
      <c r="H1958" s="221"/>
    </row>
    <row r="1959">
      <c r="A1959" s="51"/>
      <c r="H1959" s="221"/>
    </row>
    <row r="1960">
      <c r="A1960" s="51"/>
      <c r="H1960" s="221"/>
    </row>
    <row r="1961">
      <c r="A1961" s="51"/>
      <c r="H1961" s="221"/>
    </row>
    <row r="1962">
      <c r="A1962" s="51"/>
      <c r="H1962" s="221"/>
    </row>
    <row r="1963">
      <c r="A1963" s="51"/>
      <c r="H1963" s="221"/>
    </row>
    <row r="1964">
      <c r="A1964" s="51"/>
      <c r="H1964" s="221"/>
    </row>
    <row r="1965">
      <c r="A1965" s="51"/>
      <c r="H1965" s="221"/>
    </row>
    <row r="1966">
      <c r="A1966" s="51"/>
      <c r="H1966" s="221"/>
    </row>
    <row r="1967">
      <c r="A1967" s="51"/>
      <c r="H1967" s="221"/>
    </row>
    <row r="1968">
      <c r="A1968" s="51"/>
      <c r="H1968" s="221"/>
    </row>
    <row r="1969">
      <c r="A1969" s="51"/>
      <c r="H1969" s="221"/>
    </row>
    <row r="1970">
      <c r="A1970" s="51"/>
      <c r="H1970" s="221"/>
    </row>
    <row r="1971">
      <c r="A1971" s="51"/>
      <c r="H1971" s="221"/>
    </row>
    <row r="1972">
      <c r="A1972" s="51"/>
      <c r="H1972" s="221"/>
    </row>
    <row r="1973">
      <c r="A1973" s="51"/>
      <c r="H1973" s="221"/>
    </row>
    <row r="1974">
      <c r="A1974" s="51"/>
      <c r="H1974" s="221"/>
    </row>
    <row r="1975">
      <c r="A1975" s="51"/>
      <c r="H1975" s="221"/>
    </row>
    <row r="1976">
      <c r="A1976" s="51"/>
      <c r="H1976" s="221"/>
    </row>
    <row r="1977">
      <c r="A1977" s="51"/>
      <c r="H1977" s="221"/>
    </row>
    <row r="1978">
      <c r="A1978" s="51"/>
      <c r="H1978" s="221"/>
    </row>
    <row r="1979">
      <c r="A1979" s="51"/>
      <c r="H1979" s="221"/>
    </row>
    <row r="1980">
      <c r="A1980" s="51"/>
      <c r="H1980" s="221"/>
    </row>
    <row r="1981">
      <c r="A1981" s="51"/>
      <c r="H1981" s="221"/>
    </row>
    <row r="1982">
      <c r="A1982" s="51"/>
      <c r="H1982" s="221"/>
    </row>
    <row r="1983">
      <c r="A1983" s="51"/>
      <c r="H1983" s="221"/>
    </row>
    <row r="1984">
      <c r="A1984" s="51"/>
      <c r="H1984" s="221"/>
    </row>
    <row r="1985">
      <c r="A1985" s="51"/>
      <c r="H1985" s="221"/>
    </row>
    <row r="1986">
      <c r="A1986" s="51"/>
      <c r="H1986" s="221"/>
    </row>
    <row r="1987">
      <c r="A1987" s="51"/>
      <c r="H1987" s="221"/>
    </row>
    <row r="1988">
      <c r="A1988" s="51"/>
      <c r="H1988" s="221"/>
    </row>
    <row r="1989">
      <c r="A1989" s="51"/>
      <c r="H1989" s="221"/>
    </row>
    <row r="1990">
      <c r="A1990" s="51"/>
      <c r="H1990" s="221"/>
    </row>
    <row r="1991">
      <c r="A1991" s="51"/>
      <c r="H1991" s="221"/>
    </row>
    <row r="1992">
      <c r="A1992" s="51"/>
      <c r="H1992" s="221"/>
    </row>
    <row r="1993">
      <c r="A1993" s="51"/>
      <c r="H1993" s="221"/>
    </row>
    <row r="1994">
      <c r="A1994" s="51"/>
      <c r="H1994" s="221"/>
    </row>
    <row r="1995">
      <c r="A1995" s="51"/>
      <c r="H1995" s="221"/>
    </row>
    <row r="1996">
      <c r="A1996" s="51"/>
      <c r="H1996" s="221"/>
    </row>
    <row r="1997">
      <c r="A1997" s="51"/>
      <c r="H1997" s="221"/>
    </row>
    <row r="1998">
      <c r="A1998" s="51"/>
      <c r="H1998" s="221"/>
    </row>
    <row r="1999">
      <c r="A1999" s="51"/>
      <c r="H1999" s="221"/>
    </row>
    <row r="2000">
      <c r="A2000" s="51"/>
      <c r="H2000" s="221"/>
    </row>
    <row r="2001">
      <c r="A2001" s="51"/>
      <c r="H2001" s="221"/>
    </row>
    <row r="2002">
      <c r="A2002" s="51"/>
      <c r="H2002" s="221"/>
    </row>
    <row r="2003">
      <c r="A2003" s="51"/>
      <c r="H2003" s="221"/>
    </row>
    <row r="2004">
      <c r="A2004" s="51"/>
      <c r="H2004" s="221"/>
    </row>
    <row r="2005">
      <c r="A2005" s="51"/>
      <c r="H2005" s="221"/>
    </row>
    <row r="2006">
      <c r="A2006" s="51"/>
      <c r="H2006" s="221"/>
    </row>
    <row r="2007">
      <c r="A2007" s="51"/>
      <c r="H2007" s="221"/>
    </row>
    <row r="2008">
      <c r="A2008" s="51"/>
      <c r="H2008" s="221"/>
    </row>
    <row r="2009">
      <c r="A2009" s="51"/>
      <c r="H2009" s="221"/>
    </row>
    <row r="2010">
      <c r="A2010" s="51"/>
      <c r="H2010" s="221"/>
    </row>
    <row r="2011">
      <c r="A2011" s="51"/>
      <c r="H2011" s="221"/>
    </row>
    <row r="2012">
      <c r="A2012" s="51"/>
      <c r="H2012" s="221"/>
    </row>
    <row r="2013">
      <c r="A2013" s="51"/>
      <c r="H2013" s="221"/>
    </row>
    <row r="2014">
      <c r="A2014" s="51"/>
      <c r="H2014" s="221"/>
    </row>
    <row r="2015">
      <c r="A2015" s="51"/>
      <c r="H2015" s="221"/>
    </row>
    <row r="2016">
      <c r="A2016" s="51"/>
      <c r="H2016" s="221"/>
    </row>
    <row r="2017">
      <c r="A2017" s="51"/>
      <c r="H2017" s="221"/>
    </row>
    <row r="2018">
      <c r="A2018" s="51"/>
      <c r="H2018" s="221"/>
    </row>
    <row r="2019">
      <c r="A2019" s="51"/>
      <c r="H2019" s="221"/>
    </row>
    <row r="2020">
      <c r="A2020" s="51"/>
      <c r="H2020" s="221"/>
    </row>
    <row r="2021">
      <c r="A2021" s="51"/>
      <c r="H2021" s="221"/>
    </row>
    <row r="2022">
      <c r="A2022" s="51"/>
      <c r="H2022" s="221"/>
    </row>
    <row r="2023">
      <c r="A2023" s="51"/>
      <c r="H2023" s="221"/>
    </row>
    <row r="2024">
      <c r="A2024" s="51"/>
      <c r="H2024" s="221"/>
    </row>
    <row r="2025">
      <c r="A2025" s="51"/>
      <c r="H2025" s="221"/>
    </row>
    <row r="2026">
      <c r="A2026" s="51"/>
      <c r="H2026" s="221"/>
    </row>
    <row r="2027">
      <c r="A2027" s="51"/>
      <c r="H2027" s="221"/>
    </row>
    <row r="2028">
      <c r="A2028" s="51"/>
      <c r="H2028" s="221"/>
    </row>
    <row r="2029">
      <c r="A2029" s="51"/>
      <c r="H2029" s="221"/>
    </row>
    <row r="2030">
      <c r="A2030" s="51"/>
      <c r="H2030" s="221"/>
    </row>
    <row r="2031">
      <c r="A2031" s="51"/>
      <c r="H2031" s="221"/>
    </row>
    <row r="2032">
      <c r="A2032" s="51"/>
      <c r="H2032" s="221"/>
    </row>
    <row r="2033">
      <c r="A2033" s="51"/>
      <c r="H2033" s="221"/>
    </row>
    <row r="2034">
      <c r="A2034" s="51"/>
      <c r="H2034" s="221"/>
    </row>
    <row r="2035">
      <c r="A2035" s="51"/>
      <c r="H2035" s="221"/>
    </row>
    <row r="2036">
      <c r="A2036" s="51"/>
      <c r="H2036" s="221"/>
    </row>
    <row r="2037">
      <c r="A2037" s="51"/>
      <c r="H2037" s="221"/>
    </row>
    <row r="2038">
      <c r="A2038" s="51"/>
      <c r="H2038" s="221"/>
    </row>
    <row r="2039">
      <c r="A2039" s="51"/>
      <c r="H2039" s="221"/>
    </row>
    <row r="2040">
      <c r="A2040" s="51"/>
      <c r="H2040" s="221"/>
    </row>
    <row r="2041">
      <c r="A2041" s="51"/>
      <c r="H2041" s="221"/>
    </row>
    <row r="2042">
      <c r="A2042" s="51"/>
      <c r="H2042" s="221"/>
    </row>
    <row r="2043">
      <c r="A2043" s="51"/>
      <c r="H2043" s="221"/>
    </row>
    <row r="2044">
      <c r="A2044" s="51"/>
      <c r="H2044" s="221"/>
    </row>
    <row r="2045">
      <c r="A2045" s="51"/>
      <c r="H2045" s="221"/>
    </row>
    <row r="2046">
      <c r="A2046" s="51"/>
      <c r="H2046" s="221"/>
    </row>
    <row r="2047">
      <c r="A2047" s="51"/>
      <c r="H2047" s="221"/>
    </row>
    <row r="2048">
      <c r="A2048" s="51"/>
      <c r="H2048" s="221"/>
    </row>
    <row r="2049">
      <c r="A2049" s="51"/>
      <c r="H2049" s="221"/>
    </row>
    <row r="2050">
      <c r="A2050" s="51"/>
      <c r="H2050" s="221"/>
    </row>
    <row r="2051">
      <c r="A2051" s="51"/>
      <c r="H2051" s="221"/>
    </row>
    <row r="2052">
      <c r="A2052" s="51"/>
      <c r="H2052" s="221"/>
    </row>
    <row r="2053">
      <c r="A2053" s="51"/>
      <c r="H2053" s="221"/>
    </row>
    <row r="2054">
      <c r="A2054" s="51"/>
      <c r="H2054" s="221"/>
    </row>
    <row r="2055">
      <c r="A2055" s="51"/>
      <c r="H2055" s="221"/>
    </row>
    <row r="2056">
      <c r="A2056" s="51"/>
      <c r="H2056" s="221"/>
    </row>
    <row r="2057">
      <c r="A2057" s="51"/>
      <c r="H2057" s="221"/>
    </row>
    <row r="2058">
      <c r="A2058" s="51"/>
      <c r="H2058" s="221"/>
    </row>
    <row r="2059">
      <c r="A2059" s="51"/>
      <c r="H2059" s="221"/>
    </row>
    <row r="2060">
      <c r="A2060" s="51"/>
      <c r="H2060" s="221"/>
    </row>
    <row r="2061">
      <c r="A2061" s="51"/>
      <c r="H2061" s="221"/>
    </row>
    <row r="2062">
      <c r="A2062" s="51"/>
      <c r="H2062" s="221"/>
    </row>
    <row r="2063">
      <c r="A2063" s="51"/>
      <c r="H2063" s="221"/>
    </row>
    <row r="2064">
      <c r="A2064" s="51"/>
      <c r="H2064" s="221"/>
    </row>
    <row r="2065">
      <c r="A2065" s="51"/>
      <c r="H2065" s="221"/>
    </row>
    <row r="2066">
      <c r="A2066" s="51"/>
      <c r="H2066" s="221"/>
    </row>
    <row r="2067">
      <c r="A2067" s="51"/>
      <c r="H2067" s="221"/>
    </row>
    <row r="2068">
      <c r="A2068" s="51"/>
      <c r="H2068" s="221"/>
    </row>
    <row r="2069">
      <c r="A2069" s="51"/>
      <c r="H2069" s="221"/>
    </row>
    <row r="2070">
      <c r="A2070" s="51"/>
      <c r="H2070" s="221"/>
    </row>
    <row r="2071">
      <c r="A2071" s="51"/>
      <c r="H2071" s="221"/>
    </row>
    <row r="2072">
      <c r="A2072" s="51"/>
      <c r="H2072" s="221"/>
    </row>
    <row r="2073">
      <c r="A2073" s="51"/>
      <c r="H2073" s="221"/>
    </row>
    <row r="2074">
      <c r="A2074" s="51"/>
      <c r="H2074" s="221"/>
    </row>
    <row r="2075">
      <c r="A2075" s="51"/>
      <c r="H2075" s="221"/>
    </row>
    <row r="2076">
      <c r="A2076" s="51"/>
      <c r="H2076" s="221"/>
    </row>
    <row r="2077">
      <c r="A2077" s="51"/>
      <c r="H2077" s="221"/>
    </row>
    <row r="2078">
      <c r="A2078" s="51"/>
      <c r="H2078" s="221"/>
    </row>
    <row r="2079">
      <c r="A2079" s="51"/>
      <c r="H2079" s="221"/>
    </row>
    <row r="2080">
      <c r="A2080" s="51"/>
      <c r="H2080" s="221"/>
    </row>
    <row r="2081">
      <c r="A2081" s="51"/>
      <c r="H2081" s="221"/>
    </row>
    <row r="2082">
      <c r="A2082" s="51"/>
      <c r="H2082" s="221"/>
    </row>
    <row r="2083">
      <c r="A2083" s="51"/>
      <c r="H2083" s="221"/>
    </row>
    <row r="2084">
      <c r="A2084" s="51"/>
      <c r="H2084" s="221"/>
    </row>
    <row r="2085">
      <c r="A2085" s="51"/>
      <c r="H2085" s="221"/>
    </row>
    <row r="2086">
      <c r="A2086" s="51"/>
      <c r="H2086" s="221"/>
    </row>
    <row r="2087">
      <c r="A2087" s="51"/>
      <c r="H2087" s="221"/>
    </row>
    <row r="2088">
      <c r="A2088" s="51"/>
      <c r="H2088" s="221"/>
    </row>
    <row r="2089">
      <c r="A2089" s="51"/>
      <c r="H2089" s="221"/>
    </row>
    <row r="2090">
      <c r="A2090" s="51"/>
      <c r="H2090" s="221"/>
    </row>
    <row r="2091">
      <c r="A2091" s="51"/>
      <c r="H2091" s="221"/>
    </row>
    <row r="2092">
      <c r="A2092" s="51"/>
      <c r="H2092" s="221"/>
    </row>
    <row r="2093">
      <c r="A2093" s="51"/>
      <c r="H2093" s="221"/>
    </row>
    <row r="2094">
      <c r="A2094" s="51"/>
      <c r="H2094" s="221"/>
    </row>
    <row r="2095">
      <c r="A2095" s="51"/>
      <c r="H2095" s="221"/>
    </row>
    <row r="2096">
      <c r="A2096" s="51"/>
      <c r="H2096" s="221"/>
    </row>
    <row r="2097">
      <c r="A2097" s="51"/>
      <c r="H2097" s="221"/>
    </row>
    <row r="2098">
      <c r="A2098" s="51"/>
      <c r="H2098" s="221"/>
    </row>
    <row r="2099">
      <c r="A2099" s="51"/>
      <c r="H2099" s="221"/>
    </row>
    <row r="2100">
      <c r="A2100" s="51"/>
      <c r="H2100" s="221"/>
    </row>
    <row r="2101">
      <c r="A2101" s="51"/>
      <c r="H2101" s="221"/>
    </row>
    <row r="2102">
      <c r="A2102" s="51"/>
      <c r="H2102" s="221"/>
    </row>
    <row r="2103">
      <c r="A2103" s="51"/>
      <c r="H2103" s="221"/>
    </row>
    <row r="2104">
      <c r="A2104" s="51"/>
      <c r="H2104" s="221"/>
    </row>
    <row r="2105">
      <c r="A2105" s="51"/>
      <c r="H2105" s="221"/>
    </row>
    <row r="2106">
      <c r="A2106" s="51"/>
      <c r="H2106" s="221"/>
    </row>
    <row r="2107">
      <c r="A2107" s="51"/>
      <c r="H2107" s="221"/>
    </row>
    <row r="2108">
      <c r="A2108" s="51"/>
      <c r="H2108" s="221"/>
    </row>
    <row r="2109">
      <c r="A2109" s="51"/>
      <c r="H2109" s="221"/>
    </row>
    <row r="2110">
      <c r="A2110" s="51"/>
      <c r="H2110" s="221"/>
    </row>
    <row r="2111">
      <c r="A2111" s="51"/>
      <c r="H2111" s="221"/>
    </row>
    <row r="2112">
      <c r="A2112" s="51"/>
      <c r="H2112" s="221"/>
    </row>
    <row r="2113">
      <c r="A2113" s="51"/>
      <c r="H2113" s="221"/>
    </row>
    <row r="2114">
      <c r="A2114" s="51"/>
      <c r="H2114" s="221"/>
    </row>
    <row r="2115">
      <c r="A2115" s="51"/>
      <c r="H2115" s="221"/>
    </row>
    <row r="2116">
      <c r="A2116" s="51"/>
      <c r="H2116" s="221"/>
    </row>
    <row r="2117">
      <c r="A2117" s="51"/>
      <c r="H2117" s="221"/>
    </row>
    <row r="2118">
      <c r="A2118" s="51"/>
      <c r="H2118" s="221"/>
    </row>
    <row r="2119">
      <c r="A2119" s="51"/>
      <c r="H2119" s="221"/>
    </row>
    <row r="2120">
      <c r="A2120" s="51"/>
      <c r="H2120" s="221"/>
    </row>
    <row r="2121">
      <c r="A2121" s="51"/>
      <c r="H2121" s="221"/>
    </row>
    <row r="2122">
      <c r="A2122" s="51"/>
      <c r="H2122" s="221"/>
    </row>
    <row r="2123">
      <c r="A2123" s="51"/>
      <c r="H2123" s="221"/>
    </row>
    <row r="2124">
      <c r="A2124" s="51"/>
      <c r="H2124" s="221"/>
    </row>
    <row r="2125">
      <c r="A2125" s="51"/>
      <c r="H2125" s="221"/>
    </row>
    <row r="2126">
      <c r="A2126" s="51"/>
      <c r="H2126" s="221"/>
    </row>
    <row r="2127">
      <c r="A2127" s="51"/>
      <c r="H2127" s="221"/>
    </row>
    <row r="2128">
      <c r="A2128" s="51"/>
      <c r="H2128" s="221"/>
    </row>
    <row r="2129">
      <c r="A2129" s="51"/>
      <c r="H2129" s="221"/>
    </row>
    <row r="2130">
      <c r="A2130" s="51"/>
      <c r="H2130" s="221"/>
    </row>
    <row r="2131">
      <c r="A2131" s="51"/>
      <c r="H2131" s="221"/>
    </row>
    <row r="2132">
      <c r="A2132" s="51"/>
      <c r="H2132" s="221"/>
    </row>
    <row r="2133">
      <c r="A2133" s="51"/>
      <c r="H2133" s="221"/>
    </row>
    <row r="2134">
      <c r="A2134" s="51"/>
      <c r="H2134" s="221"/>
    </row>
    <row r="2135">
      <c r="A2135" s="51"/>
      <c r="H2135" s="221"/>
    </row>
    <row r="2136">
      <c r="A2136" s="51"/>
      <c r="H2136" s="221"/>
    </row>
    <row r="2137">
      <c r="A2137" s="51"/>
      <c r="H2137" s="221"/>
    </row>
    <row r="2138">
      <c r="A2138" s="51"/>
      <c r="H2138" s="221"/>
    </row>
    <row r="2139">
      <c r="A2139" s="51"/>
      <c r="H2139" s="221"/>
    </row>
    <row r="2140">
      <c r="A2140" s="51"/>
      <c r="H2140" s="221"/>
    </row>
    <row r="2141">
      <c r="A2141" s="51"/>
      <c r="H2141" s="221"/>
    </row>
    <row r="2142">
      <c r="A2142" s="51"/>
      <c r="H2142" s="221"/>
    </row>
    <row r="2143">
      <c r="A2143" s="51"/>
      <c r="H2143" s="221"/>
    </row>
    <row r="2144">
      <c r="A2144" s="51"/>
      <c r="H2144" s="221"/>
    </row>
    <row r="2145">
      <c r="A2145" s="51"/>
      <c r="H2145" s="221"/>
    </row>
    <row r="2146">
      <c r="A2146" s="51"/>
      <c r="H2146" s="221"/>
    </row>
    <row r="2147">
      <c r="A2147" s="51"/>
      <c r="H2147" s="221"/>
    </row>
    <row r="2148">
      <c r="A2148" s="51"/>
      <c r="H2148" s="221"/>
    </row>
    <row r="2149">
      <c r="A2149" s="51"/>
      <c r="H2149" s="221"/>
    </row>
    <row r="2150">
      <c r="A2150" s="51"/>
      <c r="H2150" s="221"/>
    </row>
    <row r="2151">
      <c r="A2151" s="51"/>
      <c r="H2151" s="221"/>
    </row>
    <row r="2152">
      <c r="A2152" s="51"/>
      <c r="H2152" s="221"/>
    </row>
    <row r="2153">
      <c r="A2153" s="51"/>
      <c r="H2153" s="221"/>
    </row>
    <row r="2154">
      <c r="A2154" s="51"/>
      <c r="H2154" s="221"/>
    </row>
    <row r="2155">
      <c r="A2155" s="51"/>
      <c r="H2155" s="221"/>
    </row>
    <row r="2156">
      <c r="A2156" s="51"/>
      <c r="H2156" s="221"/>
    </row>
    <row r="2157">
      <c r="A2157" s="51"/>
      <c r="H2157" s="221"/>
    </row>
    <row r="2158">
      <c r="A2158" s="51"/>
      <c r="H2158" s="221"/>
    </row>
    <row r="2159">
      <c r="A2159" s="51"/>
      <c r="H2159" s="221"/>
    </row>
    <row r="2160">
      <c r="A2160" s="51"/>
      <c r="H2160" s="221"/>
    </row>
    <row r="2161">
      <c r="A2161" s="51"/>
      <c r="H2161" s="221"/>
    </row>
    <row r="2162">
      <c r="A2162" s="51"/>
      <c r="H2162" s="221"/>
    </row>
    <row r="2163">
      <c r="A2163" s="51"/>
      <c r="H2163" s="221"/>
    </row>
    <row r="2164">
      <c r="A2164" s="51"/>
      <c r="H2164" s="221"/>
    </row>
    <row r="2165">
      <c r="A2165" s="51"/>
      <c r="H2165" s="221"/>
    </row>
    <row r="2166">
      <c r="A2166" s="51"/>
      <c r="H2166" s="221"/>
    </row>
    <row r="2167">
      <c r="A2167" s="51"/>
      <c r="H2167" s="221"/>
    </row>
    <row r="2168">
      <c r="A2168" s="51"/>
      <c r="H2168" s="221"/>
    </row>
    <row r="2169">
      <c r="A2169" s="51"/>
      <c r="H2169" s="221"/>
    </row>
    <row r="2170">
      <c r="A2170" s="51"/>
      <c r="H2170" s="221"/>
    </row>
    <row r="2171">
      <c r="A2171" s="51"/>
      <c r="H2171" s="221"/>
    </row>
    <row r="2172">
      <c r="A2172" s="51"/>
      <c r="H2172" s="221"/>
    </row>
    <row r="2173">
      <c r="A2173" s="51"/>
      <c r="H2173" s="221"/>
    </row>
    <row r="2174">
      <c r="A2174" s="51"/>
      <c r="H2174" s="221"/>
    </row>
    <row r="2175">
      <c r="A2175" s="51"/>
      <c r="H2175" s="221"/>
    </row>
    <row r="2176">
      <c r="A2176" s="51"/>
      <c r="H2176" s="221"/>
    </row>
    <row r="2177">
      <c r="A2177" s="51"/>
      <c r="H2177" s="221"/>
    </row>
    <row r="2178">
      <c r="A2178" s="51"/>
      <c r="H2178" s="221"/>
    </row>
    <row r="2179">
      <c r="A2179" s="51"/>
      <c r="H2179" s="221"/>
    </row>
    <row r="2180">
      <c r="A2180" s="51"/>
      <c r="H2180" s="221"/>
    </row>
    <row r="2181">
      <c r="A2181" s="51"/>
      <c r="H2181" s="221"/>
    </row>
    <row r="2182">
      <c r="A2182" s="51"/>
      <c r="H2182" s="221"/>
    </row>
    <row r="2183">
      <c r="A2183" s="51"/>
      <c r="H2183" s="221"/>
    </row>
    <row r="2184">
      <c r="A2184" s="51"/>
      <c r="H2184" s="221"/>
    </row>
    <row r="2185">
      <c r="A2185" s="51"/>
      <c r="H2185" s="221"/>
    </row>
    <row r="2186">
      <c r="A2186" s="51"/>
      <c r="H2186" s="221"/>
    </row>
    <row r="2187">
      <c r="A2187" s="51"/>
      <c r="H2187" s="221"/>
    </row>
    <row r="2188">
      <c r="A2188" s="51"/>
      <c r="H2188" s="221"/>
    </row>
    <row r="2189">
      <c r="A2189" s="51"/>
      <c r="H2189" s="221"/>
    </row>
    <row r="2190">
      <c r="A2190" s="51"/>
      <c r="H2190" s="221"/>
    </row>
    <row r="2191">
      <c r="A2191" s="51"/>
      <c r="H2191" s="221"/>
    </row>
    <row r="2192">
      <c r="A2192" s="51"/>
      <c r="H2192" s="221"/>
    </row>
    <row r="2193">
      <c r="A2193" s="51"/>
      <c r="H2193" s="221"/>
    </row>
    <row r="2194">
      <c r="A2194" s="51"/>
      <c r="H2194" s="221"/>
    </row>
    <row r="2195">
      <c r="A2195" s="51"/>
      <c r="H2195" s="221"/>
    </row>
    <row r="2196">
      <c r="A2196" s="51"/>
      <c r="H2196" s="221"/>
    </row>
    <row r="2197">
      <c r="A2197" s="51"/>
      <c r="H2197" s="221"/>
    </row>
    <row r="2198">
      <c r="A2198" s="51"/>
      <c r="H2198" s="221"/>
    </row>
    <row r="2199">
      <c r="A2199" s="51"/>
      <c r="H2199" s="221"/>
    </row>
    <row r="2200">
      <c r="A2200" s="51"/>
      <c r="H2200" s="221"/>
    </row>
    <row r="2201">
      <c r="A2201" s="51"/>
      <c r="H2201" s="221"/>
    </row>
    <row r="2202">
      <c r="A2202" s="51"/>
      <c r="H2202" s="221"/>
    </row>
    <row r="2203">
      <c r="A2203" s="51"/>
      <c r="H2203" s="221"/>
    </row>
    <row r="2204">
      <c r="A2204" s="51"/>
      <c r="H2204" s="221"/>
    </row>
    <row r="2205">
      <c r="A2205" s="51"/>
      <c r="H2205" s="221"/>
    </row>
    <row r="2206">
      <c r="A2206" s="51"/>
      <c r="H2206" s="221"/>
    </row>
    <row r="2207">
      <c r="A2207" s="51"/>
      <c r="H2207" s="221"/>
    </row>
    <row r="2208">
      <c r="A2208" s="51"/>
      <c r="H2208" s="221"/>
    </row>
    <row r="2209">
      <c r="A2209" s="51"/>
      <c r="H2209" s="221"/>
    </row>
    <row r="2210">
      <c r="A2210" s="51"/>
      <c r="H2210" s="221"/>
    </row>
    <row r="2211">
      <c r="A2211" s="51"/>
      <c r="H2211" s="221"/>
    </row>
    <row r="2212">
      <c r="A2212" s="51"/>
      <c r="H2212" s="221"/>
    </row>
    <row r="2213">
      <c r="A2213" s="51"/>
      <c r="H2213" s="221"/>
    </row>
    <row r="2214">
      <c r="A2214" s="51"/>
      <c r="H2214" s="221"/>
    </row>
    <row r="2215">
      <c r="A2215" s="51"/>
      <c r="H2215" s="221"/>
    </row>
    <row r="2216">
      <c r="A2216" s="51"/>
      <c r="H2216" s="221"/>
    </row>
    <row r="2217">
      <c r="A2217" s="51"/>
      <c r="H2217" s="221"/>
    </row>
    <row r="2218">
      <c r="A2218" s="51"/>
      <c r="H2218" s="221"/>
    </row>
    <row r="2219">
      <c r="A2219" s="51"/>
      <c r="H2219" s="221"/>
    </row>
    <row r="2220">
      <c r="A2220" s="51"/>
      <c r="H2220" s="221"/>
    </row>
    <row r="2221">
      <c r="A2221" s="51"/>
      <c r="H2221" s="221"/>
    </row>
    <row r="2222">
      <c r="A2222" s="51"/>
      <c r="H2222" s="221"/>
    </row>
    <row r="2223">
      <c r="A2223" s="51"/>
      <c r="H2223" s="221"/>
    </row>
    <row r="2224">
      <c r="A2224" s="51"/>
      <c r="H2224" s="221"/>
    </row>
    <row r="2225">
      <c r="A2225" s="51"/>
      <c r="H2225" s="221"/>
    </row>
    <row r="2226">
      <c r="A2226" s="51"/>
      <c r="H2226" s="221"/>
    </row>
    <row r="2227">
      <c r="A2227" s="51"/>
      <c r="H2227" s="221"/>
    </row>
    <row r="2228">
      <c r="A2228" s="51"/>
      <c r="H2228" s="221"/>
    </row>
    <row r="2229">
      <c r="A2229" s="51"/>
      <c r="H2229" s="221"/>
    </row>
    <row r="2230">
      <c r="A2230" s="51"/>
      <c r="H2230" s="221"/>
    </row>
    <row r="2231">
      <c r="A2231" s="51"/>
      <c r="H2231" s="221"/>
    </row>
    <row r="2232">
      <c r="A2232" s="51"/>
      <c r="H2232" s="221"/>
    </row>
    <row r="2233">
      <c r="A2233" s="51"/>
      <c r="H2233" s="221"/>
    </row>
    <row r="2234">
      <c r="A2234" s="51"/>
      <c r="H2234" s="221"/>
    </row>
    <row r="2235">
      <c r="A2235" s="51"/>
      <c r="H2235" s="221"/>
    </row>
    <row r="2236">
      <c r="A2236" s="51"/>
      <c r="H2236" s="221"/>
    </row>
    <row r="2237">
      <c r="A2237" s="51"/>
      <c r="H2237" s="221"/>
    </row>
    <row r="2238">
      <c r="A2238" s="51"/>
      <c r="H2238" s="221"/>
    </row>
    <row r="2239">
      <c r="A2239" s="51"/>
      <c r="H2239" s="221"/>
    </row>
    <row r="2240">
      <c r="A2240" s="51"/>
      <c r="H2240" s="221"/>
    </row>
    <row r="2241">
      <c r="A2241" s="51"/>
      <c r="H2241" s="221"/>
    </row>
    <row r="2242">
      <c r="A2242" s="51"/>
      <c r="H2242" s="221"/>
    </row>
    <row r="2243">
      <c r="A2243" s="51"/>
      <c r="H2243" s="221"/>
    </row>
    <row r="2244">
      <c r="A2244" s="51"/>
      <c r="H2244" s="221"/>
    </row>
    <row r="2245">
      <c r="A2245" s="51"/>
      <c r="H2245" s="221"/>
    </row>
    <row r="2246">
      <c r="A2246" s="51"/>
      <c r="H2246" s="221"/>
    </row>
    <row r="2247">
      <c r="A2247" s="51"/>
      <c r="H2247" s="221"/>
    </row>
    <row r="2248">
      <c r="A2248" s="51"/>
      <c r="H2248" s="221"/>
    </row>
    <row r="2249">
      <c r="A2249" s="51"/>
      <c r="H2249" s="221"/>
    </row>
    <row r="2250">
      <c r="A2250" s="51"/>
      <c r="H2250" s="221"/>
    </row>
    <row r="2251">
      <c r="A2251" s="51"/>
      <c r="H2251" s="221"/>
    </row>
    <row r="2252">
      <c r="A2252" s="51"/>
      <c r="H2252" s="221"/>
    </row>
    <row r="2253">
      <c r="A2253" s="51"/>
      <c r="H2253" s="221"/>
    </row>
    <row r="2254">
      <c r="A2254" s="51"/>
      <c r="H2254" s="221"/>
    </row>
    <row r="2255">
      <c r="A2255" s="51"/>
      <c r="H2255" s="221"/>
    </row>
    <row r="2256">
      <c r="A2256" s="51"/>
      <c r="H2256" s="221"/>
    </row>
    <row r="2257">
      <c r="A2257" s="51"/>
      <c r="H2257" s="221"/>
    </row>
    <row r="2258">
      <c r="A2258" s="51"/>
      <c r="H2258" s="221"/>
    </row>
    <row r="2259">
      <c r="A2259" s="51"/>
      <c r="H2259" s="221"/>
    </row>
    <row r="2260">
      <c r="A2260" s="51"/>
      <c r="H2260" s="221"/>
    </row>
    <row r="2261">
      <c r="A2261" s="51"/>
      <c r="H2261" s="221"/>
    </row>
    <row r="2262">
      <c r="A2262" s="51"/>
      <c r="H2262" s="221"/>
    </row>
    <row r="2263">
      <c r="A2263" s="51"/>
      <c r="H2263" s="221"/>
    </row>
    <row r="2264">
      <c r="A2264" s="51"/>
      <c r="H2264" s="221"/>
    </row>
    <row r="2265">
      <c r="A2265" s="51"/>
      <c r="H2265" s="221"/>
    </row>
    <row r="2266">
      <c r="A2266" s="51"/>
      <c r="H2266" s="221"/>
    </row>
    <row r="2267">
      <c r="A2267" s="51"/>
      <c r="H2267" s="221"/>
    </row>
    <row r="2268">
      <c r="A2268" s="51"/>
      <c r="H2268" s="221"/>
    </row>
    <row r="2269">
      <c r="A2269" s="51"/>
      <c r="H2269" s="221"/>
    </row>
    <row r="2270">
      <c r="A2270" s="51"/>
      <c r="H2270" s="221"/>
    </row>
    <row r="2271">
      <c r="A2271" s="51"/>
      <c r="H2271" s="221"/>
    </row>
    <row r="2272">
      <c r="A2272" s="51"/>
      <c r="H2272" s="221"/>
    </row>
    <row r="2273">
      <c r="A2273" s="51"/>
      <c r="H2273" s="221"/>
    </row>
    <row r="2274">
      <c r="A2274" s="51"/>
      <c r="H2274" s="221"/>
    </row>
    <row r="2275">
      <c r="A2275" s="51"/>
      <c r="H2275" s="221"/>
    </row>
    <row r="2276">
      <c r="A2276" s="51"/>
      <c r="H2276" s="221"/>
    </row>
    <row r="2277">
      <c r="A2277" s="51"/>
      <c r="H2277" s="221"/>
    </row>
    <row r="2278">
      <c r="A2278" s="51"/>
      <c r="H2278" s="221"/>
    </row>
    <row r="2279">
      <c r="A2279" s="51"/>
      <c r="H2279" s="221"/>
    </row>
    <row r="2280">
      <c r="A2280" s="51"/>
      <c r="H2280" s="221"/>
    </row>
    <row r="2281">
      <c r="A2281" s="51"/>
      <c r="H2281" s="221"/>
    </row>
    <row r="2282">
      <c r="A2282" s="51"/>
      <c r="H2282" s="221"/>
    </row>
    <row r="2283">
      <c r="A2283" s="51"/>
      <c r="H2283" s="221"/>
    </row>
    <row r="2284">
      <c r="A2284" s="51"/>
      <c r="H2284" s="221"/>
    </row>
    <row r="2285">
      <c r="A2285" s="51"/>
      <c r="H2285" s="221"/>
    </row>
    <row r="2286">
      <c r="A2286" s="51"/>
      <c r="H2286" s="221"/>
    </row>
    <row r="2287">
      <c r="A2287" s="51"/>
      <c r="H2287" s="221"/>
    </row>
    <row r="2288">
      <c r="A2288" s="51"/>
      <c r="H2288" s="221"/>
    </row>
    <row r="2289">
      <c r="A2289" s="51"/>
      <c r="H2289" s="221"/>
    </row>
    <row r="2290">
      <c r="A2290" s="51"/>
      <c r="H2290" s="221"/>
    </row>
    <row r="2291">
      <c r="A2291" s="51"/>
      <c r="H2291" s="221"/>
    </row>
    <row r="2292">
      <c r="A2292" s="51"/>
      <c r="H2292" s="221"/>
    </row>
    <row r="2293">
      <c r="A2293" s="51"/>
      <c r="H2293" s="221"/>
    </row>
    <row r="2294">
      <c r="A2294" s="51"/>
      <c r="H2294" s="221"/>
    </row>
    <row r="2295">
      <c r="A2295" s="51"/>
      <c r="H2295" s="221"/>
    </row>
    <row r="2296">
      <c r="A2296" s="51"/>
      <c r="H2296" s="221"/>
    </row>
    <row r="2297">
      <c r="A2297" s="51"/>
      <c r="H2297" s="221"/>
    </row>
    <row r="2298">
      <c r="A2298" s="51"/>
      <c r="H2298" s="221"/>
    </row>
    <row r="2299">
      <c r="A2299" s="51"/>
      <c r="H2299" s="221"/>
    </row>
    <row r="2300">
      <c r="A2300" s="51"/>
      <c r="H2300" s="221"/>
    </row>
    <row r="2301">
      <c r="A2301" s="51"/>
      <c r="H2301" s="221"/>
    </row>
    <row r="2302">
      <c r="A2302" s="51"/>
      <c r="H2302" s="221"/>
    </row>
    <row r="2303">
      <c r="A2303" s="51"/>
      <c r="H2303" s="221"/>
    </row>
    <row r="2304">
      <c r="A2304" s="51"/>
      <c r="H2304" s="221"/>
    </row>
  </sheetData>
  <autoFilter ref="$C$2:$E$82">
    <sortState ref="C2:E82">
      <sortCondition ref="C2:C82"/>
    </sortState>
  </autoFilter>
  <mergeCells count="2">
    <mergeCell ref="A1:F1"/>
    <mergeCell ref="G22:H22"/>
  </mergeCells>
  <conditionalFormatting sqref="D64">
    <cfRule type="expression" dxfId="4" priority="1">
      <formula>$F64=TRUE</formula>
    </cfRule>
  </conditionalFormatting>
  <conditionalFormatting sqref="D45 D49:D52 D64:D65">
    <cfRule type="expression" dxfId="4" priority="2">
      <formula>$D45=TRUE</formula>
    </cfRule>
  </conditionalFormatting>
  <conditionalFormatting sqref="A2:A2304 D6 D13 D37 D45 D51:D53 D69:D84">
    <cfRule type="expression" dxfId="13" priority="3">
      <formula>NOT(ISNUMBER(MATCH(A2, $D$2:$D2304, 0)))</formula>
    </cfRule>
  </conditionalFormatting>
  <conditionalFormatting sqref="E2:E12 E14:E23 E25:E31 E33:E41 E43:E2304">
    <cfRule type="cellIs" dxfId="9" priority="4" operator="equal">
      <formula>"Unassigned"</formula>
    </cfRule>
  </conditionalFormatting>
  <conditionalFormatting sqref="E2:E12 E14:E23 E25:E31 E33:E41 E43:E2304">
    <cfRule type="cellIs" dxfId="14" priority="5" operator="equal">
      <formula>"Exploration"</formula>
    </cfRule>
  </conditionalFormatting>
  <conditionalFormatting sqref="E2:E12 E14:E23 E25:E31 E33:E41 E43:E2304">
    <cfRule type="expression" dxfId="13" priority="6">
      <formula>AND(ISBLANK(E2), NOT(ISBLANK(D2)))</formula>
    </cfRule>
  </conditionalFormatting>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0000"/>
    <outlinePr summaryBelow="0" summaryRight="0"/>
  </sheetPr>
  <sheetViews>
    <sheetView workbookViewId="0"/>
  </sheetViews>
  <sheetFormatPr customHeight="1" defaultColWidth="12.63" defaultRowHeight="15.75"/>
  <cols>
    <col customWidth="1" min="2" max="2" width="12.5"/>
    <col customWidth="1" min="3" max="3" width="12.25"/>
    <col customWidth="1" min="4" max="4" width="2.75"/>
    <col customWidth="1" min="5" max="5" width="18.75"/>
    <col customWidth="1" min="6" max="6" width="145.63"/>
    <col customWidth="1" min="7" max="9" width="22.63"/>
  </cols>
  <sheetData>
    <row r="1" ht="30.0" customHeight="1">
      <c r="A1" s="204" t="s">
        <v>7643</v>
      </c>
    </row>
    <row r="2">
      <c r="A2" s="700" t="s">
        <v>7644</v>
      </c>
      <c r="C2" s="701" t="str">
        <f t="array" ref="C2:F720">{LIST_GROUP(A3);LIST_GROUP(A4);LIST_GROUP(A5);LIST_GROUP(A6);LIST_GROUP(A7);LIST_GROUP(A8);LIST_GROUP(A9);LIST_GROUP(A10);LIST_GROUP(A11);LIST_GROUP(A12);LIST_GROUP(A13);LIST_GROUP(A14);LIST_GROUP(A15);LIST_GROUP(A16);LIST_GROUP(A17);LIST_GROUP(A18);LIST_GROUP(A19);LIST_GROUP(A20);LIST_GROUP(A21);LIST_GROUP(A22);LIST_GROUP(A23);LIST_GROUP(A24);LIST_GROUP(A25);LIST_GROUP(A26);LIST_GROUP(A27);LIST_GROUP(A28);LIST_GROUP(A29);LIST_GROUP(A30);LIST_GROUP(A31);LIST_GROUP(A32);LIST_GROUP(A33);LIST_GROUP(A34);LIST_GROUP(A35);LIST_GROUP(A36);LIST_GROUP(A37);LIST_GROUP(A38);LIST_GROUP(A39);LIST_GROUP(A40);LIST_GROUP(A41);LIST_GROUP(A42);LIST_GROUP(A43);LIST_GROUP(A44);LIST_GROUP(A45);LIST_GROUP(A46);LIST_GROUP(A47);LIST_GROUP(A48);LIST_GROUP(A49);LIST_GROUP(A50);LIST_GROUP(A51);LIST_GROUP(A52);LIST_GROUP(A53);LIST_GROUP(A54);LIST_GROUP(A55);LIST_GROUP(A56);LIST_GROUP(A57);LIST_GROUP(A58);LIST_GROUP(A59);LIST_GROUP(A60);LIST_GROUP(A61);LIST_GROUP(A62);LIST_GROUP(A63);LIST_GROUP(A64);LIST_GROUP(A65);LIST_GROUP(A66);LIST_GROUP(A67);LIST_GROUP(A68);LIST_GROUP(A69);LIST_GROUP(A70);LIST_GROUP(A71);LIST_GROUP(A72);LIST_GROUP(A73);LIST_GROUP(A74);LIST_GROUP(A75);LIST_GROUP(A76);LIST_GROUP(A77);LIST_GROUP(A78);LIST_GROUP(A79);LIST_GROUP(A80);LIST_GROUP(A81);LIST_GROUP(A82);LIST_GROUP(A83);LIST_GROUP(A84);LIST_GROUP(A85);LIST_GROUP(A86);LIST_GROUP(A87);LIST_GROUP(A88);LIST_GROUP(A89);LIST_GROUP(A90);LIST_GROUP(A91);LIST_GROUP(A92);LIST_GROUP(A93);LIST_GROUP(A94);LIST_GROUP(A95);LIST_GROUP(A96);LIST_GROUP(A97);LIST_GROUP(A98);LIST_GROUP(A99);LIST_GROUP(A100)}</f>
        <v/>
      </c>
      <c r="D2" s="51" t="s">
        <v>194</v>
      </c>
      <c r="E2" s="222" t="s">
        <v>194</v>
      </c>
      <c r="F2" s="702" t="s">
        <v>194</v>
      </c>
    </row>
    <row r="3">
      <c r="A3" s="208" t="str">
        <f>IFERROR(__xludf.DUMMYFUNCTION("UNIQUE({Advancements!S2:S2990;ItemsBlocks!B2:B2990})"),"")</f>
        <v/>
      </c>
      <c r="C3" s="703" t="s">
        <v>262</v>
      </c>
      <c r="D3" s="51" t="s">
        <v>194</v>
      </c>
      <c r="E3" s="222" t="s">
        <v>7553</v>
      </c>
      <c r="F3" s="222" t="s">
        <v>182</v>
      </c>
    </row>
    <row r="4">
      <c r="A4" s="51" t="str">
        <f>IFERROR(__xludf.DUMMYFUNCTION("""COMPUTED_VALUE"""),"Misc")</f>
        <v>Misc</v>
      </c>
      <c r="C4" s="703" t="b">
        <v>0</v>
      </c>
      <c r="D4" s="51"/>
      <c r="E4" s="222" t="s">
        <v>258</v>
      </c>
      <c r="F4" s="702" t="s">
        <v>259</v>
      </c>
    </row>
    <row r="5">
      <c r="A5" s="51" t="str">
        <f>IFERROR(__xludf.DUMMYFUNCTION("""COMPUTED_VALUE"""),"All Mobs")</f>
        <v>All Mobs</v>
      </c>
      <c r="C5" s="703" t="b">
        <v>0</v>
      </c>
      <c r="D5" s="51"/>
      <c r="E5" s="51" t="s">
        <v>329</v>
      </c>
      <c r="F5" s="702" t="s">
        <v>7572</v>
      </c>
    </row>
    <row r="6">
      <c r="A6" s="51" t="str">
        <f>IFERROR(__xludf.DUMMYFUNCTION("""COMPUTED_VALUE"""),"All Items")</f>
        <v>All Items</v>
      </c>
      <c r="C6" s="704" t="b">
        <v>0</v>
      </c>
      <c r="D6" s="51"/>
      <c r="E6" s="222" t="s">
        <v>335</v>
      </c>
      <c r="F6" s="702" t="s">
        <v>7573</v>
      </c>
    </row>
    <row r="7">
      <c r="A7" s="51" t="str">
        <f>IFERROR(__xludf.DUMMYFUNCTION("""COMPUTED_VALUE"""),"World Height")</f>
        <v>World Height</v>
      </c>
      <c r="C7" s="704" t="b">
        <v>0</v>
      </c>
      <c r="D7" s="51"/>
      <c r="E7" s="222" t="s">
        <v>913</v>
      </c>
      <c r="F7" s="702" t="s">
        <v>7574</v>
      </c>
    </row>
    <row r="8">
      <c r="A8" s="51" t="str">
        <f>IFERROR(__xludf.DUMMYFUNCTION("""COMPUTED_VALUE"""),"Crafting")</f>
        <v>Crafting</v>
      </c>
      <c r="C8" s="703" t="b">
        <v>0</v>
      </c>
      <c r="D8" s="51"/>
      <c r="E8" s="222" t="s">
        <v>918</v>
      </c>
      <c r="F8" s="702" t="s">
        <v>7575</v>
      </c>
    </row>
    <row r="9">
      <c r="A9" s="51" t="str">
        <f>IFERROR(__xludf.DUMMYFUNCTION("""COMPUTED_VALUE"""),"Pacelocks")</f>
        <v>Pacelocks</v>
      </c>
      <c r="C9" s="703" t="b">
        <v>0</v>
      </c>
      <c r="D9" s="51"/>
      <c r="E9" s="222" t="s">
        <v>1386</v>
      </c>
      <c r="F9" s="702" t="s">
        <v>7576</v>
      </c>
    </row>
    <row r="10">
      <c r="A10" s="51" t="str">
        <f>IFERROR(__xludf.DUMMYFUNCTION("""COMPUTED_VALUE"""),"Breaking")</f>
        <v>Breaking</v>
      </c>
      <c r="C10" s="703" t="b">
        <v>0</v>
      </c>
      <c r="D10" s="51"/>
      <c r="E10" s="222" t="s">
        <v>2207</v>
      </c>
      <c r="F10" s="702" t="s">
        <v>7577</v>
      </c>
    </row>
    <row r="11">
      <c r="A11" s="51" t="str">
        <f>IFERROR(__xludf.DUMMYFUNCTION("""COMPUTED_VALUE"""),"Trials")</f>
        <v>Trials</v>
      </c>
      <c r="C11" s="703" t="b">
        <v>0</v>
      </c>
      <c r="D11" s="51"/>
      <c r="E11" s="222" t="s">
        <v>2484</v>
      </c>
      <c r="F11" s="702" t="s">
        <v>7578</v>
      </c>
    </row>
    <row r="12">
      <c r="A12" s="51" t="str">
        <f>IFERROR(__xludf.DUMMYFUNCTION("""COMPUTED_VALUE"""),"Blocks Misc.")</f>
        <v>Blocks Misc.</v>
      </c>
      <c r="C12" s="703" t="b">
        <v>0</v>
      </c>
      <c r="D12" s="51"/>
      <c r="E12" s="222" t="s">
        <v>2496</v>
      </c>
      <c r="F12" s="702" t="s">
        <v>7579</v>
      </c>
    </row>
    <row r="13">
      <c r="A13" s="51" t="str">
        <f>IFERROR(__xludf.DUMMYFUNCTION("""COMPUTED_VALUE"""),"All Deaths")</f>
        <v>All Deaths</v>
      </c>
      <c r="C13" s="703" t="b">
        <v>0</v>
      </c>
      <c r="D13" s="51"/>
      <c r="E13" s="51" t="s">
        <v>2641</v>
      </c>
      <c r="F13" s="702" t="s">
        <v>2643</v>
      </c>
    </row>
    <row r="14">
      <c r="A14" s="51" t="str">
        <f>IFERROR(__xludf.DUMMYFUNCTION("""COMPUTED_VALUE"""),"Explorers
(shared)")</f>
        <v>Explorers
(shared)</v>
      </c>
      <c r="C14" s="703" t="b">
        <v>0</v>
      </c>
      <c r="D14" s="51"/>
      <c r="E14" s="222" t="s">
        <v>2650</v>
      </c>
      <c r="F14" s="702" t="s">
        <v>7580</v>
      </c>
    </row>
    <row r="15">
      <c r="A15" s="51" t="str">
        <f>IFERROR(__xludf.DUMMYFUNCTION("""COMPUTED_VALUE"""),"Apple a Day")</f>
        <v>Apple a Day</v>
      </c>
      <c r="C15" s="703" t="b">
        <v>0</v>
      </c>
      <c r="D15" s="51"/>
      <c r="E15" s="222" t="s">
        <v>2693</v>
      </c>
      <c r="F15" s="702" t="s">
        <v>2694</v>
      </c>
    </row>
    <row r="16">
      <c r="A16" s="51" t="str">
        <f>IFERROR(__xludf.DUMMYFUNCTION("""COMPUTED_VALUE"""),"Eating")</f>
        <v>Eating</v>
      </c>
      <c r="C16" s="703" t="b">
        <v>0</v>
      </c>
      <c r="D16" s="51"/>
      <c r="E16" s="222" t="s">
        <v>2746</v>
      </c>
      <c r="F16" s="702" t="s">
        <v>7581</v>
      </c>
    </row>
    <row r="17">
      <c r="A17" s="51" t="str">
        <f>IFERROR(__xludf.DUMMYFUNCTION("""COMPUTED_VALUE"""),"afk")</f>
        <v>afk</v>
      </c>
      <c r="C17" s="703" t="b">
        <v>0</v>
      </c>
      <c r="D17" s="51"/>
      <c r="E17" s="222" t="s">
        <v>2750</v>
      </c>
      <c r="F17" s="702" t="s">
        <v>7582</v>
      </c>
    </row>
    <row r="18">
      <c r="A18" s="51" t="str">
        <f>IFERROR(__xludf.DUMMYFUNCTION("""COMPUTED_VALUE"""),"Explorer")</f>
        <v>Explorer</v>
      </c>
      <c r="C18" s="703" t="b">
        <v>0</v>
      </c>
      <c r="D18" s="51"/>
      <c r="E18" s="222" t="s">
        <v>2805</v>
      </c>
      <c r="F18" s="702" t="s">
        <v>2806</v>
      </c>
    </row>
    <row r="19">
      <c r="A19" s="51" t="str">
        <f>IFERROR(__xludf.DUMMYFUNCTION("""COMPUTED_VALUE"""),"Ancient City")</f>
        <v>Ancient City</v>
      </c>
      <c r="C19" s="221" t="b">
        <v>0</v>
      </c>
      <c r="D19" s="51"/>
      <c r="E19" s="222" t="s">
        <v>2968</v>
      </c>
      <c r="F19" s="702" t="s">
        <v>2969</v>
      </c>
    </row>
    <row r="20">
      <c r="A20" s="51" t="str">
        <f>IFERROR(__xludf.DUMMYFUNCTION("""COMPUTED_VALUE"""),"Raids")</f>
        <v>Raids</v>
      </c>
      <c r="C20" s="703" t="b">
        <v>0</v>
      </c>
      <c r="D20" s="51"/>
      <c r="E20" s="222" t="s">
        <v>2972</v>
      </c>
      <c r="F20" s="702" t="s">
        <v>7583</v>
      </c>
    </row>
    <row r="21">
      <c r="A21" s="51" t="str">
        <f>IFERROR(__xludf.DUMMYFUNCTION("""COMPUTED_VALUE"""),"Goats")</f>
        <v>Goats</v>
      </c>
      <c r="C21" s="703" t="b">
        <v>0</v>
      </c>
      <c r="D21" s="51"/>
      <c r="E21" s="222" t="s">
        <v>3242</v>
      </c>
      <c r="F21" s="702" t="s">
        <v>3243</v>
      </c>
    </row>
    <row r="22">
      <c r="A22" s="51" t="str">
        <f>IFERROR(__xludf.DUMMYFUNCTION("""COMPUTED_VALUE"""),"Mob Misc.")</f>
        <v>Mob Misc.</v>
      </c>
      <c r="C22" s="703" t="b">
        <v>0</v>
      </c>
      <c r="D22" s="51"/>
      <c r="E22" s="222" t="s">
        <v>3306</v>
      </c>
      <c r="F22" s="702" t="s">
        <v>3307</v>
      </c>
    </row>
    <row r="23">
      <c r="A23" s="51" t="str">
        <f>IFERROR(__xludf.DUMMYFUNCTION("""COMPUTED_VALUE"""),"Breeding")</f>
        <v>Breeding</v>
      </c>
      <c r="C23" s="703" t="b">
        <v>0</v>
      </c>
      <c r="D23" s="51"/>
      <c r="E23" s="222" t="s">
        <v>3335</v>
      </c>
      <c r="F23" s="702" t="s">
        <v>7584</v>
      </c>
    </row>
    <row r="24">
      <c r="A24" s="51" t="str">
        <f>IFERROR(__xludf.DUMMYFUNCTION("""COMPUTED_VALUE"""),"Axolotl Breeder")</f>
        <v>Axolotl Breeder</v>
      </c>
      <c r="C24" s="703" t="b">
        <v>0</v>
      </c>
      <c r="D24" s="51"/>
      <c r="E24" s="222" t="s">
        <v>3482</v>
      </c>
      <c r="F24" s="702" t="s">
        <v>7585</v>
      </c>
    </row>
    <row r="25">
      <c r="A25" s="51" t="str">
        <f>IFERROR(__xludf.DUMMYFUNCTION("""COMPUTED_VALUE"""),"Phantom")</f>
        <v>Phantom</v>
      </c>
      <c r="C25" s="703" t="b">
        <v>0</v>
      </c>
      <c r="D25" s="51"/>
      <c r="E25" s="222" t="s">
        <v>3581</v>
      </c>
      <c r="F25" s="702" t="s">
        <v>3583</v>
      </c>
    </row>
    <row r="26">
      <c r="A26" s="51" t="str">
        <f>IFERROR(__xludf.DUMMYFUNCTION("""COMPUTED_VALUE"""),"Warden")</f>
        <v>Warden</v>
      </c>
      <c r="C26" s="703" t="b">
        <v>0</v>
      </c>
      <c r="D26" s="51"/>
      <c r="E26" s="222" t="s">
        <v>4223</v>
      </c>
      <c r="F26" s="702" t="s">
        <v>7586</v>
      </c>
    </row>
    <row r="27">
      <c r="A27" s="51" t="str">
        <f>IFERROR(__xludf.DUMMYFUNCTION("""COMPUTED_VALUE"""),"Name Tag")</f>
        <v>Name Tag</v>
      </c>
      <c r="C27" s="703" t="b">
        <v>0</v>
      </c>
      <c r="D27" s="51"/>
      <c r="E27" s="222" t="s">
        <v>4368</v>
      </c>
      <c r="F27" s="702" t="s">
        <v>7587</v>
      </c>
    </row>
    <row r="28">
      <c r="A28" s="51" t="str">
        <f>IFERROR(__xludf.DUMMYFUNCTION("""COMPUTED_VALUE"""),"Music")</f>
        <v>Music</v>
      </c>
      <c r="C28" s="703" t="b">
        <v>0</v>
      </c>
      <c r="D28" s="51"/>
      <c r="E28" s="222" t="s">
        <v>4373</v>
      </c>
      <c r="F28" s="702" t="s">
        <v>4374</v>
      </c>
    </row>
    <row r="29">
      <c r="A29" s="51" t="str">
        <f>IFERROR(__xludf.DUMMYFUNCTION("""COMPUTED_VALUE"""),"Looter")</f>
        <v>Looter</v>
      </c>
      <c r="C29" s="703" t="b">
        <v>0</v>
      </c>
      <c r="D29" s="51"/>
      <c r="E29" s="222" t="s">
        <v>4399</v>
      </c>
      <c r="F29" s="702" t="s">
        <v>7588</v>
      </c>
    </row>
    <row r="30">
      <c r="A30" s="51" t="str">
        <f>IFERROR(__xludf.DUMMYFUNCTION("""COMPUTED_VALUE"""),"Archaeology")</f>
        <v>Archaeology</v>
      </c>
      <c r="C30" s="703" t="b">
        <v>0</v>
      </c>
      <c r="D30" s="51"/>
      <c r="E30" s="222" t="s">
        <v>4460</v>
      </c>
      <c r="F30" s="702" t="s">
        <v>7589</v>
      </c>
    </row>
    <row r="31">
      <c r="A31" s="51" t="str">
        <f>IFERROR(__xludf.DUMMYFUNCTION("""COMPUTED_VALUE"""),"Bosses 2")</f>
        <v>Bosses 2</v>
      </c>
      <c r="C31" s="703" t="b">
        <v>0</v>
      </c>
      <c r="D31" s="51"/>
      <c r="E31" s="222" t="s">
        <v>4718</v>
      </c>
      <c r="F31" s="702" t="s">
        <v>7590</v>
      </c>
    </row>
    <row r="32">
      <c r="A32" s="51" t="str">
        <f>IFERROR(__xludf.DUMMYFUNCTION("""COMPUTED_VALUE"""),"Undying Fandom")</f>
        <v>Undying Fandom</v>
      </c>
      <c r="C32" s="703" t="b">
        <v>0</v>
      </c>
      <c r="D32" s="51"/>
      <c r="E32" s="222" t="s">
        <v>4736</v>
      </c>
      <c r="F32" s="702" t="s">
        <v>7591</v>
      </c>
    </row>
    <row r="33">
      <c r="A33" s="51" t="str">
        <f>IFERROR(__xludf.DUMMYFUNCTION("""COMPUTED_VALUE"""),"Allay")</f>
        <v>Allay</v>
      </c>
      <c r="C33" s="703" t="b">
        <v>0</v>
      </c>
      <c r="D33" s="51"/>
      <c r="E33" s="222" t="s">
        <v>4808</v>
      </c>
      <c r="F33" s="702" t="s">
        <v>7592</v>
      </c>
    </row>
    <row r="34">
      <c r="A34" s="51" t="str">
        <f>IFERROR(__xludf.DUMMYFUNCTION("""COMPUTED_VALUE"""),"Vaccination")</f>
        <v>Vaccination</v>
      </c>
      <c r="C34" s="703" t="b">
        <v>0</v>
      </c>
      <c r="D34" s="51"/>
      <c r="E34" s="222" t="s">
        <v>4943</v>
      </c>
      <c r="F34" s="702" t="s">
        <v>4944</v>
      </c>
    </row>
    <row r="35">
      <c r="A35" s="51" t="str">
        <f>IFERROR(__xludf.DUMMYFUNCTION("""COMPUTED_VALUE"""),"Trader")</f>
        <v>Trader</v>
      </c>
      <c r="C35" s="703" t="s">
        <v>194</v>
      </c>
      <c r="D35" s="51" t="s">
        <v>194</v>
      </c>
      <c r="E35" s="222" t="s">
        <v>194</v>
      </c>
      <c r="F35" s="702" t="s">
        <v>194</v>
      </c>
    </row>
    <row r="36">
      <c r="A36" s="51" t="str">
        <f>IFERROR(__xludf.DUMMYFUNCTION("""COMPUTED_VALUE"""),"XP")</f>
        <v>XP</v>
      </c>
      <c r="C36" s="703" t="s">
        <v>267</v>
      </c>
      <c r="D36" s="51" t="s">
        <v>194</v>
      </c>
      <c r="E36" s="222" t="s">
        <v>7553</v>
      </c>
      <c r="F36" s="702" t="s">
        <v>182</v>
      </c>
    </row>
    <row r="37">
      <c r="A37" s="51" t="str">
        <f>IFERROR(__xludf.DUMMYFUNCTION("""COMPUTED_VALUE"""),"End Explorer 
(100k)")</f>
        <v>End Explorer 
(100k)</v>
      </c>
      <c r="C37" s="703" t="b">
        <v>0</v>
      </c>
      <c r="D37" s="51"/>
      <c r="E37" s="222" t="s">
        <v>263</v>
      </c>
      <c r="F37" s="702" t="s">
        <v>264</v>
      </c>
    </row>
    <row r="38">
      <c r="A38" s="51" t="str">
        <f>IFERROR(__xludf.DUMMYFUNCTION("""COMPUTED_VALUE"""),"Nether Mobs")</f>
        <v>Nether Mobs</v>
      </c>
      <c r="C38" s="703" t="b">
        <v>0</v>
      </c>
      <c r="D38" s="51"/>
      <c r="E38" s="222" t="s">
        <v>1711</v>
      </c>
      <c r="F38" s="702" t="s">
        <v>1712</v>
      </c>
    </row>
    <row r="39">
      <c r="A39" s="51" t="str">
        <f>IFERROR(__xludf.DUMMYFUNCTION("""COMPUTED_VALUE"""),"Barter")</f>
        <v>Barter</v>
      </c>
      <c r="C39" s="703" t="b">
        <v>0</v>
      </c>
      <c r="D39" s="51"/>
      <c r="E39" s="222" t="s">
        <v>1718</v>
      </c>
      <c r="F39" s="702" t="s">
        <v>7645</v>
      </c>
    </row>
    <row r="40">
      <c r="A40" s="51" t="str">
        <f>IFERROR(__xludf.DUMMYFUNCTION("""COMPUTED_VALUE"""),"Nether Roof")</f>
        <v>Nether Roof</v>
      </c>
      <c r="C40" s="703" t="b">
        <v>0</v>
      </c>
      <c r="D40" s="51"/>
      <c r="E40" s="222" t="s">
        <v>1721</v>
      </c>
      <c r="F40" s="702" t="s">
        <v>7646</v>
      </c>
    </row>
    <row r="41">
      <c r="A41" s="51" t="str">
        <f>IFERROR(__xludf.DUMMYFUNCTION("""COMPUTED_VALUE"""),"Pots")</f>
        <v>Pots</v>
      </c>
      <c r="C41" s="703" t="b">
        <v>0</v>
      </c>
      <c r="D41" s="51"/>
      <c r="E41" s="222" t="s">
        <v>1829</v>
      </c>
      <c r="F41" s="702" t="s">
        <v>7647</v>
      </c>
    </row>
    <row r="42">
      <c r="A42" s="51" t="str">
        <f>IFERROR(__xludf.DUMMYFUNCTION("""COMPUTED_VALUE"""),"Bosses")</f>
        <v>Bosses</v>
      </c>
      <c r="C42" s="703" t="b">
        <v>0</v>
      </c>
      <c r="D42" s="51"/>
      <c r="E42" s="222" t="s">
        <v>2016</v>
      </c>
      <c r="F42" s="702" t="s">
        <v>7648</v>
      </c>
    </row>
    <row r="43">
      <c r="A43" s="51" t="str">
        <f>IFERROR(__xludf.DUMMYFUNCTION("""COMPUTED_VALUE"""),"Riddle")</f>
        <v>Riddle</v>
      </c>
      <c r="C43" s="703" t="b">
        <v>0</v>
      </c>
      <c r="D43" s="51"/>
      <c r="E43" s="222" t="s">
        <v>2133</v>
      </c>
      <c r="F43" s="702" t="s">
        <v>7649</v>
      </c>
    </row>
    <row r="44">
      <c r="A44" s="51" t="str">
        <f>IFERROR(__xludf.DUMMYFUNCTION("""COMPUTED_VALUE"""),"HDWGH")</f>
        <v>HDWGH</v>
      </c>
      <c r="C44" s="703" t="b">
        <v>0</v>
      </c>
      <c r="D44" s="51"/>
      <c r="E44" s="222" t="s">
        <v>2152</v>
      </c>
      <c r="F44" s="702" t="s">
        <v>7650</v>
      </c>
    </row>
    <row r="45">
      <c r="A45" s="51" t="str">
        <f>IFERROR(__xludf.DUMMYFUNCTION("""COMPUTED_VALUE"""),"1 million")</f>
        <v>1 million</v>
      </c>
      <c r="C45" s="703" t="b">
        <v>0</v>
      </c>
      <c r="D45" s="51"/>
      <c r="E45" s="222" t="s">
        <v>2280</v>
      </c>
      <c r="F45" s="702" t="s">
        <v>7651</v>
      </c>
    </row>
    <row r="46">
      <c r="A46" s="51" t="str">
        <f>IFERROR(__xludf.DUMMYFUNCTION("""COMPUTED_VALUE"""),"Ores")</f>
        <v>Ores</v>
      </c>
      <c r="C46" s="703" t="b">
        <v>0</v>
      </c>
      <c r="D46" s="51"/>
      <c r="E46" s="222" t="s">
        <v>2317</v>
      </c>
      <c r="F46" s="702" t="s">
        <v>2318</v>
      </c>
    </row>
    <row r="47">
      <c r="A47" s="51" t="str">
        <f>IFERROR(__xludf.DUMMYFUNCTION("""COMPUTED_VALUE"""),"Netherite")</f>
        <v>Netherite</v>
      </c>
      <c r="C47" s="703" t="b">
        <v>0</v>
      </c>
      <c r="D47" s="51"/>
      <c r="E47" s="222" t="s">
        <v>38</v>
      </c>
      <c r="F47" s="702" t="s">
        <v>7652</v>
      </c>
    </row>
    <row r="48">
      <c r="A48" s="51" t="str">
        <f>IFERROR(__xludf.DUMMYFUNCTION("""COMPUTED_VALUE"""),"Wither")</f>
        <v>Wither</v>
      </c>
      <c r="C48" s="703" t="b">
        <v>0</v>
      </c>
      <c r="D48" s="51"/>
      <c r="E48" s="222" t="s">
        <v>2466</v>
      </c>
      <c r="F48" s="702" t="s">
        <v>2468</v>
      </c>
    </row>
    <row r="49">
      <c r="A49" s="51" t="str">
        <f>IFERROR(__xludf.DUMMYFUNCTION("""COMPUTED_VALUE"""),"Warm Ocean")</f>
        <v>Warm Ocean</v>
      </c>
      <c r="C49" s="703" t="b">
        <v>0</v>
      </c>
      <c r="D49" s="51"/>
      <c r="E49" s="222" t="s">
        <v>2470</v>
      </c>
      <c r="F49" s="702" t="s">
        <v>7653</v>
      </c>
    </row>
    <row r="50">
      <c r="A50" s="51" t="str">
        <f>IFERROR(__xludf.DUMMYFUNCTION("""COMPUTED_VALUE"""),"End Explorer
(100k)")</f>
        <v>End Explorer
(100k)</v>
      </c>
      <c r="C50" s="703" t="b">
        <v>0</v>
      </c>
      <c r="D50" s="51"/>
      <c r="E50" s="222" t="s">
        <v>2618</v>
      </c>
      <c r="F50" s="702" t="s">
        <v>7654</v>
      </c>
    </row>
    <row r="51">
      <c r="A51" s="51" t="str">
        <f>IFERROR(__xludf.DUMMYFUNCTION("""COMPUTED_VALUE"""),"Drowned Farm")</f>
        <v>Drowned Farm</v>
      </c>
      <c r="C51" s="703" t="b">
        <v>0</v>
      </c>
      <c r="D51" s="51"/>
      <c r="E51" s="222" t="s">
        <v>2661</v>
      </c>
      <c r="F51" s="702" t="s">
        <v>2663</v>
      </c>
    </row>
    <row r="52">
      <c r="A52" s="51" t="str">
        <f>IFERROR(__xludf.DUMMYFUNCTION("""COMPUTED_VALUE"""),"Nether Exploring")</f>
        <v>Nether Exploring</v>
      </c>
      <c r="C52" s="703" t="b">
        <v>0</v>
      </c>
      <c r="D52" s="51"/>
      <c r="E52" s="222" t="s">
        <v>2679</v>
      </c>
      <c r="F52" s="702" t="s">
        <v>7655</v>
      </c>
    </row>
    <row r="53">
      <c r="A53" s="51" t="str">
        <f>IFERROR(__xludf.DUMMYFUNCTION("""COMPUTED_VALUE"""),"Explorers
(Shared)")</f>
        <v>Explorers
(Shared)</v>
      </c>
      <c r="C53" s="703" t="b">
        <v>0</v>
      </c>
      <c r="D53" s="51"/>
      <c r="E53" s="222" t="s">
        <v>2707</v>
      </c>
      <c r="F53" s="702" t="s">
        <v>7656</v>
      </c>
    </row>
    <row r="54">
      <c r="A54" s="51" t="str">
        <f>IFERROR(__xludf.DUMMYFUNCTION("""COMPUTED_VALUE"""),"Ocean Monument")</f>
        <v>Ocean Monument</v>
      </c>
      <c r="C54" s="703" t="b">
        <v>0</v>
      </c>
      <c r="D54" s="51"/>
      <c r="E54" s="222" t="s">
        <v>2711</v>
      </c>
      <c r="F54" s="702" t="s">
        <v>7657</v>
      </c>
    </row>
    <row r="55">
      <c r="C55" s="703" t="b">
        <v>0</v>
      </c>
      <c r="D55" s="51"/>
      <c r="E55" s="222" t="s">
        <v>2738</v>
      </c>
      <c r="F55" s="702" t="s">
        <v>7658</v>
      </c>
    </row>
    <row r="56">
      <c r="C56" s="703" t="b">
        <v>0</v>
      </c>
      <c r="D56" s="51"/>
      <c r="E56" s="222" t="s">
        <v>3031</v>
      </c>
      <c r="F56" s="702" t="s">
        <v>3032</v>
      </c>
    </row>
    <row r="57">
      <c r="C57" s="703" t="b">
        <v>0</v>
      </c>
      <c r="D57" s="51"/>
      <c r="E57" s="222" t="s">
        <v>3175</v>
      </c>
      <c r="F57" s="702" t="s">
        <v>7659</v>
      </c>
    </row>
    <row r="58">
      <c r="C58" s="703" t="b">
        <v>0</v>
      </c>
      <c r="D58" s="51"/>
      <c r="E58" s="222" t="s">
        <v>3262</v>
      </c>
      <c r="F58" s="702" t="s">
        <v>3264</v>
      </c>
    </row>
    <row r="59">
      <c r="C59" s="703" t="b">
        <v>0</v>
      </c>
      <c r="D59" s="51"/>
      <c r="E59" s="222" t="s">
        <v>3616</v>
      </c>
      <c r="F59" s="702" t="s">
        <v>7660</v>
      </c>
    </row>
    <row r="60">
      <c r="C60" s="703" t="b">
        <v>0</v>
      </c>
      <c r="D60" s="51"/>
      <c r="E60" s="222" t="s">
        <v>4188</v>
      </c>
      <c r="F60" s="702" t="s">
        <v>7661</v>
      </c>
    </row>
    <row r="61">
      <c r="C61" s="703" t="b">
        <v>0</v>
      </c>
      <c r="D61" s="51"/>
      <c r="E61" s="222" t="s">
        <v>4656</v>
      </c>
      <c r="F61" s="702" t="s">
        <v>7662</v>
      </c>
    </row>
    <row r="62">
      <c r="C62" s="703" t="b">
        <v>0</v>
      </c>
      <c r="D62" s="51"/>
      <c r="E62" s="222" t="s">
        <v>4846</v>
      </c>
      <c r="F62" s="702" t="s">
        <v>7663</v>
      </c>
    </row>
    <row r="63">
      <c r="C63" s="703" t="b">
        <v>0</v>
      </c>
      <c r="D63" s="51"/>
      <c r="E63" s="222" t="s">
        <v>55</v>
      </c>
      <c r="F63" s="702" t="s">
        <v>7664</v>
      </c>
    </row>
    <row r="64">
      <c r="C64" s="703" t="b">
        <v>0</v>
      </c>
      <c r="D64" s="51"/>
      <c r="E64" s="222" t="s">
        <v>59</v>
      </c>
      <c r="F64" s="702" t="s">
        <v>7665</v>
      </c>
    </row>
    <row r="65">
      <c r="C65" s="703" t="b">
        <v>0</v>
      </c>
      <c r="D65" s="51"/>
      <c r="E65" s="222" t="s">
        <v>63</v>
      </c>
      <c r="F65" s="702" t="s">
        <v>7666</v>
      </c>
    </row>
    <row r="66">
      <c r="C66" s="703" t="b">
        <v>0</v>
      </c>
      <c r="D66" s="51"/>
      <c r="E66" s="222" t="s">
        <v>67</v>
      </c>
      <c r="F66" s="702" t="s">
        <v>7667</v>
      </c>
    </row>
    <row r="67">
      <c r="C67" s="703" t="s">
        <v>194</v>
      </c>
      <c r="D67" s="51" t="s">
        <v>194</v>
      </c>
      <c r="E67" s="222" t="s">
        <v>194</v>
      </c>
      <c r="F67" s="702" t="s">
        <v>194</v>
      </c>
    </row>
    <row r="68">
      <c r="C68" s="703" t="s">
        <v>290</v>
      </c>
      <c r="D68" s="51" t="s">
        <v>194</v>
      </c>
      <c r="E68" s="222" t="s">
        <v>7553</v>
      </c>
      <c r="F68" s="702" t="s">
        <v>182</v>
      </c>
    </row>
    <row r="69">
      <c r="C69" s="703" t="b">
        <v>0</v>
      </c>
      <c r="D69" s="51"/>
      <c r="E69" s="222" t="s">
        <v>284</v>
      </c>
      <c r="F69" s="702" t="s">
        <v>7668</v>
      </c>
    </row>
    <row r="70">
      <c r="C70" s="703" t="b">
        <v>0</v>
      </c>
      <c r="D70" s="51"/>
      <c r="E70" s="222" t="s">
        <v>564</v>
      </c>
      <c r="F70" s="702" t="s">
        <v>7669</v>
      </c>
    </row>
    <row r="71">
      <c r="C71" s="703" t="b">
        <v>0</v>
      </c>
      <c r="D71" s="51"/>
      <c r="E71" s="222" t="s">
        <v>647</v>
      </c>
      <c r="F71" s="702" t="s">
        <v>7670</v>
      </c>
    </row>
    <row r="72">
      <c r="C72" s="703" t="b">
        <v>0</v>
      </c>
      <c r="D72" s="51"/>
      <c r="E72" s="222" t="s">
        <v>804</v>
      </c>
      <c r="F72" s="702" t="s">
        <v>7671</v>
      </c>
    </row>
    <row r="73">
      <c r="C73" s="703" t="b">
        <v>0</v>
      </c>
      <c r="D73" s="51"/>
      <c r="E73" s="222" t="s">
        <v>809</v>
      </c>
      <c r="F73" s="702" t="s">
        <v>7672</v>
      </c>
    </row>
    <row r="74">
      <c r="C74" s="703" t="b">
        <v>0</v>
      </c>
      <c r="D74" s="51"/>
      <c r="E74" s="222" t="s">
        <v>814</v>
      </c>
      <c r="F74" s="702" t="s">
        <v>7673</v>
      </c>
    </row>
    <row r="75">
      <c r="C75" s="703" t="b">
        <v>0</v>
      </c>
      <c r="D75" s="51"/>
      <c r="E75" s="222" t="s">
        <v>818</v>
      </c>
      <c r="F75" s="702" t="s">
        <v>7674</v>
      </c>
    </row>
    <row r="76">
      <c r="C76" s="703" t="b">
        <v>0</v>
      </c>
      <c r="D76" s="51"/>
      <c r="E76" s="222" t="s">
        <v>828</v>
      </c>
      <c r="F76" s="702" t="s">
        <v>7675</v>
      </c>
    </row>
    <row r="77">
      <c r="C77" s="703" t="b">
        <v>0</v>
      </c>
      <c r="D77" s="51"/>
      <c r="E77" s="222" t="s">
        <v>834</v>
      </c>
      <c r="F77" s="702" t="s">
        <v>7676</v>
      </c>
    </row>
    <row r="78">
      <c r="C78" s="703" t="b">
        <v>0</v>
      </c>
      <c r="D78" s="51"/>
      <c r="E78" s="222" t="s">
        <v>840</v>
      </c>
      <c r="F78" s="702" t="s">
        <v>7677</v>
      </c>
    </row>
    <row r="79">
      <c r="C79" s="703" t="b">
        <v>0</v>
      </c>
      <c r="D79" s="51"/>
      <c r="E79" s="222" t="s">
        <v>845</v>
      </c>
      <c r="F79" s="702" t="s">
        <v>7678</v>
      </c>
    </row>
    <row r="80">
      <c r="C80" s="703" t="b">
        <v>0</v>
      </c>
      <c r="D80" s="51"/>
      <c r="E80" s="222" t="s">
        <v>850</v>
      </c>
      <c r="F80" s="702" t="s">
        <v>7679</v>
      </c>
    </row>
    <row r="81">
      <c r="C81" s="703" t="b">
        <v>0</v>
      </c>
      <c r="D81" s="51"/>
      <c r="E81" s="222" t="s">
        <v>855</v>
      </c>
      <c r="F81" s="702" t="s">
        <v>7680</v>
      </c>
    </row>
    <row r="82">
      <c r="C82" s="703" t="b">
        <v>0</v>
      </c>
      <c r="D82" s="51"/>
      <c r="E82" s="222" t="s">
        <v>860</v>
      </c>
      <c r="F82" s="702" t="s">
        <v>7681</v>
      </c>
    </row>
    <row r="83">
      <c r="C83" s="703" t="b">
        <v>0</v>
      </c>
      <c r="D83" s="51"/>
      <c r="E83" s="222" t="s">
        <v>865</v>
      </c>
      <c r="F83" s="702" t="s">
        <v>7682</v>
      </c>
    </row>
    <row r="84">
      <c r="C84" s="703" t="b">
        <v>0</v>
      </c>
      <c r="D84" s="51"/>
      <c r="E84" s="222" t="s">
        <v>880</v>
      </c>
      <c r="F84" s="702" t="s">
        <v>7683</v>
      </c>
    </row>
    <row r="85">
      <c r="C85" s="703" t="b">
        <v>0</v>
      </c>
      <c r="D85" s="51"/>
      <c r="E85" s="222" t="s">
        <v>885</v>
      </c>
      <c r="F85" s="702" t="s">
        <v>886</v>
      </c>
    </row>
    <row r="86">
      <c r="C86" s="703" t="b">
        <v>0</v>
      </c>
      <c r="D86" s="51"/>
      <c r="E86" s="222" t="s">
        <v>903</v>
      </c>
      <c r="F86" s="702" t="s">
        <v>7684</v>
      </c>
    </row>
    <row r="87">
      <c r="C87" s="703" t="b">
        <v>0</v>
      </c>
      <c r="D87" s="51"/>
      <c r="E87" s="222" t="s">
        <v>924</v>
      </c>
      <c r="F87" s="702" t="s">
        <v>7685</v>
      </c>
    </row>
    <row r="88">
      <c r="C88" s="703" t="b">
        <v>0</v>
      </c>
      <c r="D88" s="51"/>
      <c r="E88" s="222" t="s">
        <v>930</v>
      </c>
      <c r="F88" s="702" t="s">
        <v>7686</v>
      </c>
    </row>
    <row r="89">
      <c r="C89" s="703" t="b">
        <v>0</v>
      </c>
      <c r="D89" s="51"/>
      <c r="E89" s="222" t="s">
        <v>936</v>
      </c>
      <c r="F89" s="702" t="s">
        <v>7687</v>
      </c>
    </row>
    <row r="90">
      <c r="C90" s="703" t="b">
        <v>0</v>
      </c>
      <c r="D90" s="51"/>
      <c r="E90" s="222" t="s">
        <v>947</v>
      </c>
      <c r="F90" s="702" t="s">
        <v>948</v>
      </c>
    </row>
    <row r="91">
      <c r="C91" s="703" t="b">
        <v>0</v>
      </c>
      <c r="D91" s="51"/>
      <c r="E91" s="222" t="s">
        <v>951</v>
      </c>
      <c r="F91" s="702" t="s">
        <v>7688</v>
      </c>
    </row>
    <row r="92">
      <c r="C92" s="703" t="b">
        <v>0</v>
      </c>
      <c r="D92" s="51"/>
      <c r="E92" s="222" t="s">
        <v>957</v>
      </c>
      <c r="F92" s="702" t="s">
        <v>7689</v>
      </c>
    </row>
    <row r="93">
      <c r="C93" s="703" t="b">
        <v>0</v>
      </c>
      <c r="D93" s="51"/>
      <c r="E93" s="222" t="s">
        <v>963</v>
      </c>
      <c r="F93" s="702" t="s">
        <v>7690</v>
      </c>
    </row>
    <row r="94">
      <c r="C94" s="703" t="b">
        <v>0</v>
      </c>
      <c r="D94" s="51"/>
      <c r="E94" s="222" t="s">
        <v>969</v>
      </c>
      <c r="F94" s="702" t="s">
        <v>7691</v>
      </c>
    </row>
    <row r="95">
      <c r="C95" s="703" t="b">
        <v>0</v>
      </c>
      <c r="D95" s="51"/>
      <c r="E95" s="222" t="s">
        <v>975</v>
      </c>
      <c r="F95" s="702" t="s">
        <v>7692</v>
      </c>
    </row>
    <row r="96">
      <c r="C96" s="703" t="b">
        <v>0</v>
      </c>
      <c r="D96" s="51"/>
      <c r="E96" s="222" t="s">
        <v>981</v>
      </c>
      <c r="F96" s="702" t="s">
        <v>7693</v>
      </c>
    </row>
    <row r="97">
      <c r="C97" s="703" t="b">
        <v>0</v>
      </c>
      <c r="D97" s="51"/>
      <c r="E97" s="222" t="s">
        <v>999</v>
      </c>
      <c r="F97" s="702" t="s">
        <v>7694</v>
      </c>
    </row>
    <row r="98">
      <c r="C98" s="703" t="b">
        <v>0</v>
      </c>
      <c r="D98" s="51"/>
      <c r="E98" s="222" t="s">
        <v>1005</v>
      </c>
      <c r="F98" s="702" t="s">
        <v>7695</v>
      </c>
    </row>
    <row r="99">
      <c r="C99" s="703" t="b">
        <v>0</v>
      </c>
      <c r="D99" s="51"/>
      <c r="E99" s="222" t="s">
        <v>1101</v>
      </c>
      <c r="F99" s="702" t="s">
        <v>7696</v>
      </c>
    </row>
    <row r="100">
      <c r="C100" s="703" t="b">
        <v>0</v>
      </c>
      <c r="D100" s="51"/>
      <c r="E100" s="222" t="s">
        <v>1132</v>
      </c>
      <c r="F100" s="702" t="s">
        <v>1134</v>
      </c>
    </row>
    <row r="101">
      <c r="C101" s="703" t="b">
        <v>0</v>
      </c>
      <c r="D101" s="51"/>
      <c r="E101" s="222" t="s">
        <v>1277</v>
      </c>
      <c r="F101" s="702" t="s">
        <v>7697</v>
      </c>
    </row>
    <row r="102">
      <c r="C102" s="703" t="b">
        <v>0</v>
      </c>
      <c r="D102" s="51"/>
      <c r="E102" s="222" t="s">
        <v>1298</v>
      </c>
      <c r="F102" s="702" t="s">
        <v>7698</v>
      </c>
    </row>
    <row r="103">
      <c r="C103" s="703" t="b">
        <v>0</v>
      </c>
      <c r="D103" s="51"/>
      <c r="E103" s="222" t="s">
        <v>1302</v>
      </c>
      <c r="F103" s="702" t="s">
        <v>1303</v>
      </c>
    </row>
    <row r="104">
      <c r="C104" s="703" t="b">
        <v>0</v>
      </c>
      <c r="D104" s="51"/>
      <c r="E104" s="222" t="s">
        <v>1490</v>
      </c>
      <c r="F104" s="702" t="s">
        <v>7699</v>
      </c>
    </row>
    <row r="105">
      <c r="C105" s="703" t="b">
        <v>0</v>
      </c>
      <c r="D105" s="51"/>
      <c r="E105" s="222" t="s">
        <v>1549</v>
      </c>
      <c r="F105" s="702" t="s">
        <v>7700</v>
      </c>
    </row>
    <row r="106">
      <c r="C106" s="703" t="b">
        <v>0</v>
      </c>
      <c r="D106" s="51"/>
      <c r="E106" s="222" t="s">
        <v>1554</v>
      </c>
      <c r="F106" s="702" t="s">
        <v>1556</v>
      </c>
    </row>
    <row r="107">
      <c r="C107" s="703" t="b">
        <v>0</v>
      </c>
      <c r="D107" s="51"/>
      <c r="E107" s="222" t="s">
        <v>1594</v>
      </c>
      <c r="F107" s="702" t="s">
        <v>7701</v>
      </c>
    </row>
    <row r="108">
      <c r="C108" s="703" t="b">
        <v>0</v>
      </c>
      <c r="D108" s="51"/>
      <c r="E108" s="222" t="s">
        <v>1731</v>
      </c>
      <c r="F108" s="702" t="s">
        <v>7702</v>
      </c>
    </row>
    <row r="109">
      <c r="C109" s="703" t="b">
        <v>0</v>
      </c>
      <c r="D109" s="51"/>
      <c r="E109" s="222" t="s">
        <v>1736</v>
      </c>
      <c r="F109" s="702" t="s">
        <v>7703</v>
      </c>
    </row>
    <row r="110">
      <c r="C110" s="703" t="b">
        <v>0</v>
      </c>
      <c r="D110" s="51"/>
      <c r="E110" s="222" t="s">
        <v>1806</v>
      </c>
      <c r="F110" s="702" t="s">
        <v>7704</v>
      </c>
    </row>
    <row r="111">
      <c r="C111" s="703" t="b">
        <v>0</v>
      </c>
      <c r="D111" s="51"/>
      <c r="E111" s="222" t="s">
        <v>1876</v>
      </c>
      <c r="F111" s="702" t="s">
        <v>7705</v>
      </c>
    </row>
    <row r="112">
      <c r="C112" s="703" t="b">
        <v>0</v>
      </c>
      <c r="D112" s="51"/>
      <c r="E112" s="222" t="s">
        <v>1934</v>
      </c>
      <c r="F112" s="702" t="s">
        <v>7706</v>
      </c>
    </row>
    <row r="113">
      <c r="C113" s="703" t="b">
        <v>0</v>
      </c>
      <c r="D113" s="51"/>
      <c r="E113" s="222" t="s">
        <v>1938</v>
      </c>
      <c r="F113" s="702" t="s">
        <v>7707</v>
      </c>
    </row>
    <row r="114">
      <c r="C114" s="703" t="b">
        <v>0</v>
      </c>
      <c r="D114" s="51"/>
      <c r="E114" s="222" t="s">
        <v>2118</v>
      </c>
      <c r="F114" s="702" t="s">
        <v>7708</v>
      </c>
    </row>
    <row r="115">
      <c r="C115" s="703" t="b">
        <v>0</v>
      </c>
      <c r="D115" s="51"/>
      <c r="E115" s="222" t="s">
        <v>2674</v>
      </c>
      <c r="F115" s="702" t="s">
        <v>7709</v>
      </c>
    </row>
    <row r="116">
      <c r="C116" s="703" t="b">
        <v>0</v>
      </c>
      <c r="D116" s="51"/>
      <c r="E116" s="222" t="s">
        <v>2685</v>
      </c>
      <c r="F116" s="702" t="s">
        <v>2686</v>
      </c>
    </row>
    <row r="117">
      <c r="C117" s="703" t="b">
        <v>0</v>
      </c>
      <c r="D117" s="51"/>
      <c r="E117" s="222" t="s">
        <v>2689</v>
      </c>
      <c r="F117" s="702" t="s">
        <v>2690</v>
      </c>
    </row>
    <row r="118">
      <c r="C118" s="703" t="b">
        <v>0</v>
      </c>
      <c r="D118" s="51"/>
      <c r="E118" s="222" t="s">
        <v>2780</v>
      </c>
      <c r="F118" s="702" t="s">
        <v>2781</v>
      </c>
    </row>
    <row r="119">
      <c r="C119" s="703" t="b">
        <v>0</v>
      </c>
      <c r="D119" s="51"/>
      <c r="E119" s="222" t="s">
        <v>2783</v>
      </c>
      <c r="F119" s="702" t="s">
        <v>2784</v>
      </c>
    </row>
    <row r="120">
      <c r="C120" s="703" t="b">
        <v>0</v>
      </c>
      <c r="D120" s="51"/>
      <c r="E120" s="222" t="s">
        <v>2786</v>
      </c>
      <c r="F120" s="702" t="s">
        <v>2787</v>
      </c>
    </row>
    <row r="121">
      <c r="C121" s="703" t="b">
        <v>0</v>
      </c>
      <c r="D121" s="51"/>
      <c r="E121" s="222" t="s">
        <v>2789</v>
      </c>
      <c r="F121" s="702" t="s">
        <v>2791</v>
      </c>
    </row>
    <row r="122">
      <c r="C122" s="703" t="b">
        <v>0</v>
      </c>
      <c r="D122" s="51"/>
      <c r="E122" s="222" t="s">
        <v>2796</v>
      </c>
      <c r="F122" s="702" t="s">
        <v>2798</v>
      </c>
    </row>
    <row r="123">
      <c r="C123" s="703" t="b">
        <v>0</v>
      </c>
      <c r="D123" s="51"/>
      <c r="E123" s="222" t="s">
        <v>3188</v>
      </c>
      <c r="F123" s="702" t="s">
        <v>7710</v>
      </c>
    </row>
    <row r="124">
      <c r="C124" s="703" t="b">
        <v>0</v>
      </c>
      <c r="D124" s="51"/>
      <c r="E124" s="222" t="s">
        <v>3246</v>
      </c>
      <c r="F124" s="702" t="s">
        <v>3247</v>
      </c>
    </row>
    <row r="125">
      <c r="C125" s="703" t="b">
        <v>0</v>
      </c>
      <c r="D125" s="51"/>
      <c r="E125" s="222" t="s">
        <v>3411</v>
      </c>
      <c r="F125" s="702" t="s">
        <v>7711</v>
      </c>
    </row>
    <row r="126">
      <c r="C126" s="703" t="b">
        <v>0</v>
      </c>
      <c r="D126" s="51"/>
      <c r="E126" s="222" t="s">
        <v>3765</v>
      </c>
      <c r="F126" s="702" t="s">
        <v>3766</v>
      </c>
    </row>
    <row r="127">
      <c r="C127" s="703" t="b">
        <v>0</v>
      </c>
      <c r="D127" s="51"/>
      <c r="E127" s="222" t="s">
        <v>4081</v>
      </c>
      <c r="F127" s="702" t="s">
        <v>7712</v>
      </c>
    </row>
    <row r="128">
      <c r="C128" s="703" t="b">
        <v>0</v>
      </c>
      <c r="D128" s="51"/>
      <c r="E128" s="222" t="s">
        <v>4086</v>
      </c>
      <c r="F128" s="702" t="s">
        <v>7713</v>
      </c>
    </row>
    <row r="129">
      <c r="C129" s="703" t="b">
        <v>0</v>
      </c>
      <c r="D129" s="51"/>
      <c r="E129" s="222" t="s">
        <v>4280</v>
      </c>
      <c r="F129" s="702" t="s">
        <v>4281</v>
      </c>
    </row>
    <row r="130">
      <c r="C130" s="703" t="b">
        <v>0</v>
      </c>
      <c r="D130" s="51"/>
      <c r="E130" s="222" t="s">
        <v>4283</v>
      </c>
      <c r="F130" s="702" t="s">
        <v>7714</v>
      </c>
    </row>
    <row r="131">
      <c r="C131" s="703" t="b">
        <v>0</v>
      </c>
      <c r="D131" s="51"/>
      <c r="E131" s="222" t="s">
        <v>4287</v>
      </c>
      <c r="F131" s="702" t="s">
        <v>7715</v>
      </c>
    </row>
    <row r="132">
      <c r="C132" s="703" t="b">
        <v>0</v>
      </c>
      <c r="D132" s="51"/>
      <c r="E132" s="222" t="s">
        <v>4321</v>
      </c>
      <c r="F132" s="702" t="s">
        <v>4322</v>
      </c>
    </row>
    <row r="133">
      <c r="C133" s="703" t="b">
        <v>0</v>
      </c>
      <c r="D133" s="51"/>
      <c r="E133" s="222" t="s">
        <v>4703</v>
      </c>
      <c r="F133" s="702" t="s">
        <v>7716</v>
      </c>
    </row>
    <row r="134">
      <c r="C134" s="703" t="b">
        <v>0</v>
      </c>
      <c r="D134" s="51"/>
      <c r="E134" s="222" t="s">
        <v>4838</v>
      </c>
      <c r="F134" s="702" t="s">
        <v>7717</v>
      </c>
    </row>
    <row r="135">
      <c r="C135" s="703" t="b">
        <v>0</v>
      </c>
      <c r="D135" s="51"/>
      <c r="E135" s="222" t="s">
        <v>4842</v>
      </c>
      <c r="F135" s="702" t="s">
        <v>7718</v>
      </c>
    </row>
    <row r="136">
      <c r="C136" s="703" t="s">
        <v>194</v>
      </c>
      <c r="D136" s="51" t="s">
        <v>194</v>
      </c>
      <c r="E136" s="222" t="s">
        <v>194</v>
      </c>
      <c r="F136" s="702" t="s">
        <v>194</v>
      </c>
    </row>
    <row r="137">
      <c r="C137" s="703" t="s">
        <v>347</v>
      </c>
      <c r="D137" s="51" t="s">
        <v>194</v>
      </c>
      <c r="E137" s="222" t="s">
        <v>7553</v>
      </c>
      <c r="F137" s="702" t="s">
        <v>182</v>
      </c>
    </row>
    <row r="138">
      <c r="C138" s="703" t="b">
        <v>0</v>
      </c>
      <c r="D138" s="51"/>
      <c r="E138" s="222" t="s">
        <v>341</v>
      </c>
      <c r="F138" s="702" t="s">
        <v>7719</v>
      </c>
    </row>
    <row r="139">
      <c r="C139" s="703" t="b">
        <v>0</v>
      </c>
      <c r="D139" s="51"/>
      <c r="E139" s="222" t="s">
        <v>353</v>
      </c>
      <c r="F139" s="702" t="s">
        <v>7720</v>
      </c>
    </row>
    <row r="140">
      <c r="C140" s="703" t="b">
        <v>0</v>
      </c>
      <c r="D140" s="51"/>
      <c r="E140" s="222" t="s">
        <v>359</v>
      </c>
      <c r="F140" s="702" t="s">
        <v>7721</v>
      </c>
    </row>
    <row r="141">
      <c r="C141" s="703" t="b">
        <v>0</v>
      </c>
      <c r="D141" s="51"/>
      <c r="E141" s="222" t="s">
        <v>1107</v>
      </c>
      <c r="F141" s="702" t="s">
        <v>7722</v>
      </c>
    </row>
    <row r="142">
      <c r="C142" s="703" t="b">
        <v>0</v>
      </c>
      <c r="D142" s="51"/>
      <c r="E142" s="222" t="s">
        <v>1662</v>
      </c>
      <c r="F142" s="702" t="s">
        <v>7723</v>
      </c>
    </row>
    <row r="143">
      <c r="C143" s="703" t="b">
        <v>0</v>
      </c>
      <c r="D143" s="51"/>
      <c r="E143" s="222" t="s">
        <v>2623</v>
      </c>
      <c r="F143" s="702" t="s">
        <v>7724</v>
      </c>
    </row>
    <row r="144">
      <c r="C144" s="703" t="b">
        <v>0</v>
      </c>
      <c r="D144" s="51"/>
      <c r="E144" s="222" t="s">
        <v>3210</v>
      </c>
      <c r="F144" s="702" t="s">
        <v>7725</v>
      </c>
    </row>
    <row r="145">
      <c r="C145" s="703" t="b">
        <v>0</v>
      </c>
      <c r="D145" s="51"/>
      <c r="E145" s="222" t="s">
        <v>5011</v>
      </c>
      <c r="F145" s="702" t="s">
        <v>7726</v>
      </c>
    </row>
    <row r="146">
      <c r="C146" s="703" t="b">
        <v>0</v>
      </c>
      <c r="D146" s="51"/>
      <c r="E146" s="222" t="s">
        <v>5095</v>
      </c>
      <c r="F146" s="702" t="s">
        <v>7727</v>
      </c>
    </row>
    <row r="147">
      <c r="C147" s="703" t="s">
        <v>194</v>
      </c>
      <c r="D147" s="51" t="s">
        <v>194</v>
      </c>
      <c r="E147" s="222" t="s">
        <v>194</v>
      </c>
      <c r="F147" s="702" t="s">
        <v>194</v>
      </c>
    </row>
    <row r="148">
      <c r="C148" s="703" t="s">
        <v>423</v>
      </c>
      <c r="D148" s="51" t="s">
        <v>194</v>
      </c>
      <c r="E148" s="222" t="s">
        <v>7553</v>
      </c>
      <c r="F148" s="702" t="s">
        <v>182</v>
      </c>
    </row>
    <row r="149">
      <c r="C149" s="703" t="b">
        <v>0</v>
      </c>
      <c r="D149" s="51"/>
      <c r="E149" s="222" t="s">
        <v>418</v>
      </c>
      <c r="F149" s="702" t="s">
        <v>7728</v>
      </c>
    </row>
    <row r="150">
      <c r="C150" s="703" t="b">
        <v>0</v>
      </c>
      <c r="D150" s="51"/>
      <c r="E150" s="222" t="s">
        <v>424</v>
      </c>
      <c r="F150" s="702" t="s">
        <v>7729</v>
      </c>
    </row>
    <row r="151">
      <c r="C151" s="703" t="b">
        <v>0</v>
      </c>
      <c r="D151" s="51"/>
      <c r="E151" s="222" t="s">
        <v>1238</v>
      </c>
      <c r="F151" s="702" t="s">
        <v>7730</v>
      </c>
    </row>
    <row r="152">
      <c r="C152" s="703" t="b">
        <v>0</v>
      </c>
      <c r="D152" s="51"/>
      <c r="E152" s="222" t="s">
        <v>3437</v>
      </c>
      <c r="F152" s="702" t="s">
        <v>7731</v>
      </c>
    </row>
    <row r="153">
      <c r="C153" s="703" t="b">
        <v>0</v>
      </c>
      <c r="D153" s="51"/>
      <c r="E153" s="222" t="s">
        <v>3496</v>
      </c>
      <c r="F153" s="702" t="s">
        <v>3498</v>
      </c>
    </row>
    <row r="154">
      <c r="C154" s="703" t="b">
        <v>0</v>
      </c>
      <c r="D154" s="51"/>
      <c r="E154" s="222" t="s">
        <v>3501</v>
      </c>
      <c r="F154" s="702" t="s">
        <v>3503</v>
      </c>
    </row>
    <row r="155">
      <c r="C155" s="703" t="s">
        <v>194</v>
      </c>
      <c r="D155" s="51" t="s">
        <v>194</v>
      </c>
      <c r="E155" s="222" t="s">
        <v>194</v>
      </c>
      <c r="F155" s="702" t="s">
        <v>194</v>
      </c>
    </row>
    <row r="156">
      <c r="C156" s="703" t="s">
        <v>28</v>
      </c>
      <c r="D156" s="51" t="s">
        <v>194</v>
      </c>
      <c r="E156" s="222" t="s">
        <v>7553</v>
      </c>
      <c r="F156" s="702" t="s">
        <v>182</v>
      </c>
    </row>
    <row r="157">
      <c r="C157" s="703" t="b">
        <v>0</v>
      </c>
      <c r="D157" s="51"/>
      <c r="E157" s="222" t="s">
        <v>42</v>
      </c>
      <c r="F157" s="702" t="s">
        <v>7732</v>
      </c>
    </row>
    <row r="158">
      <c r="C158" s="703" t="b">
        <v>0</v>
      </c>
      <c r="D158" s="51"/>
      <c r="E158" s="222" t="s">
        <v>46</v>
      </c>
      <c r="F158" s="702" t="s">
        <v>485</v>
      </c>
    </row>
    <row r="159">
      <c r="C159" s="703" t="b">
        <v>0</v>
      </c>
      <c r="D159" s="51"/>
      <c r="E159" s="222" t="s">
        <v>43</v>
      </c>
      <c r="F159" s="702" t="s">
        <v>3108</v>
      </c>
    </row>
    <row r="160">
      <c r="C160" s="703" t="b">
        <v>0</v>
      </c>
      <c r="D160" s="51"/>
      <c r="E160" s="222" t="s">
        <v>47</v>
      </c>
      <c r="F160" s="702" t="s">
        <v>3110</v>
      </c>
    </row>
    <row r="161">
      <c r="C161" s="703" t="b">
        <v>0</v>
      </c>
      <c r="D161" s="51"/>
      <c r="E161" s="222" t="s">
        <v>51</v>
      </c>
      <c r="F161" s="702" t="s">
        <v>3114</v>
      </c>
    </row>
    <row r="162">
      <c r="C162" s="703" t="b">
        <v>0</v>
      </c>
      <c r="D162" s="51"/>
      <c r="E162" s="222" t="s">
        <v>3249</v>
      </c>
      <c r="F162" s="702" t="s">
        <v>3250</v>
      </c>
    </row>
    <row r="163">
      <c r="C163" s="703" t="b">
        <v>0</v>
      </c>
      <c r="D163" s="51"/>
      <c r="E163" s="222" t="s">
        <v>119</v>
      </c>
      <c r="F163" s="702" t="s">
        <v>3992</v>
      </c>
    </row>
    <row r="164">
      <c r="C164" s="703" t="b">
        <v>0</v>
      </c>
      <c r="D164" s="51"/>
      <c r="E164" s="222" t="s">
        <v>50</v>
      </c>
      <c r="F164" s="702" t="s">
        <v>7733</v>
      </c>
    </row>
    <row r="165">
      <c r="C165" s="703" t="b">
        <v>0</v>
      </c>
      <c r="D165" s="51"/>
      <c r="E165" s="222" t="s">
        <v>54</v>
      </c>
      <c r="F165" s="702" t="s">
        <v>7734</v>
      </c>
    </row>
    <row r="166">
      <c r="C166" s="703" t="b">
        <v>0</v>
      </c>
      <c r="D166" s="51"/>
      <c r="E166" s="222" t="s">
        <v>57</v>
      </c>
      <c r="F166" s="702">
        <v>64.0</v>
      </c>
    </row>
    <row r="167">
      <c r="C167" s="703" t="b">
        <v>0</v>
      </c>
      <c r="D167" s="51"/>
      <c r="E167" s="222" t="s">
        <v>61</v>
      </c>
      <c r="F167" s="702">
        <v>64.0</v>
      </c>
    </row>
    <row r="168">
      <c r="C168" s="703" t="b">
        <v>0</v>
      </c>
      <c r="D168" s="51"/>
      <c r="E168" s="222" t="s">
        <v>65</v>
      </c>
      <c r="F168" s="702">
        <v>64.0</v>
      </c>
    </row>
    <row r="169">
      <c r="C169" s="703" t="b">
        <v>0</v>
      </c>
      <c r="D169" s="51"/>
      <c r="E169" s="222" t="s">
        <v>69</v>
      </c>
      <c r="F169" s="702">
        <v>64.0</v>
      </c>
    </row>
    <row r="170">
      <c r="C170" s="703" t="s">
        <v>194</v>
      </c>
      <c r="D170" s="51" t="s">
        <v>194</v>
      </c>
      <c r="E170" s="222" t="s">
        <v>194</v>
      </c>
      <c r="F170" s="702" t="s">
        <v>194</v>
      </c>
    </row>
    <row r="171">
      <c r="C171" s="703" t="s">
        <v>594</v>
      </c>
      <c r="D171" s="51" t="s">
        <v>194</v>
      </c>
      <c r="E171" s="222" t="s">
        <v>7553</v>
      </c>
      <c r="F171" s="702" t="s">
        <v>182</v>
      </c>
    </row>
    <row r="172">
      <c r="C172" s="703" t="b">
        <v>0</v>
      </c>
      <c r="D172" s="51"/>
      <c r="E172" s="222" t="s">
        <v>589</v>
      </c>
      <c r="F172" s="702" t="s">
        <v>7735</v>
      </c>
    </row>
    <row r="173">
      <c r="C173" s="703" t="b">
        <v>0</v>
      </c>
      <c r="D173" s="51"/>
      <c r="E173" s="222" t="s">
        <v>595</v>
      </c>
      <c r="F173" s="702" t="s">
        <v>7736</v>
      </c>
    </row>
    <row r="174">
      <c r="C174" s="703" t="b">
        <v>0</v>
      </c>
      <c r="D174" s="51"/>
      <c r="E174" s="222" t="s">
        <v>6426</v>
      </c>
      <c r="F174" s="702">
        <v>1.0</v>
      </c>
    </row>
    <row r="175">
      <c r="C175" s="703" t="b">
        <v>0</v>
      </c>
      <c r="D175" s="51"/>
      <c r="E175" s="222" t="s">
        <v>6429</v>
      </c>
      <c r="F175" s="702">
        <v>1.0</v>
      </c>
    </row>
    <row r="176">
      <c r="C176" s="703" t="b">
        <v>0</v>
      </c>
      <c r="D176" s="51"/>
      <c r="E176" s="222" t="s">
        <v>6430</v>
      </c>
      <c r="F176" s="702">
        <v>1.0</v>
      </c>
    </row>
    <row r="177">
      <c r="C177" s="703" t="b">
        <v>0</v>
      </c>
      <c r="D177" s="51"/>
      <c r="E177" s="222" t="s">
        <v>6431</v>
      </c>
      <c r="F177" s="702">
        <v>1.0</v>
      </c>
    </row>
    <row r="178">
      <c r="C178" s="703" t="b">
        <v>0</v>
      </c>
      <c r="D178" s="51"/>
      <c r="E178" s="222" t="s">
        <v>6432</v>
      </c>
      <c r="F178" s="702">
        <v>1.0</v>
      </c>
    </row>
    <row r="179">
      <c r="C179" s="703" t="b">
        <v>0</v>
      </c>
      <c r="D179" s="51"/>
      <c r="E179" s="222" t="s">
        <v>6434</v>
      </c>
      <c r="F179" s="702">
        <v>1.0</v>
      </c>
    </row>
    <row r="180">
      <c r="C180" s="703" t="b">
        <v>0</v>
      </c>
      <c r="D180" s="51"/>
      <c r="E180" s="222" t="s">
        <v>6436</v>
      </c>
      <c r="F180" s="702">
        <v>1.0</v>
      </c>
    </row>
    <row r="181">
      <c r="C181" s="703" t="b">
        <v>0</v>
      </c>
      <c r="D181" s="51"/>
      <c r="E181" s="222" t="s">
        <v>6438</v>
      </c>
      <c r="F181" s="702">
        <v>1.0</v>
      </c>
    </row>
    <row r="182">
      <c r="C182" s="703" t="b">
        <v>0</v>
      </c>
      <c r="D182" s="51"/>
      <c r="E182" s="222" t="s">
        <v>6440</v>
      </c>
      <c r="F182" s="702">
        <v>1.0</v>
      </c>
    </row>
    <row r="183">
      <c r="C183" s="703" t="s">
        <v>194</v>
      </c>
      <c r="D183" s="51" t="s">
        <v>194</v>
      </c>
      <c r="E183" s="222" t="s">
        <v>194</v>
      </c>
      <c r="F183" s="702" t="s">
        <v>194</v>
      </c>
    </row>
    <row r="184">
      <c r="C184" s="703" t="s">
        <v>993</v>
      </c>
      <c r="D184" s="51" t="s">
        <v>194</v>
      </c>
      <c r="E184" s="222" t="s">
        <v>7553</v>
      </c>
      <c r="F184" s="702" t="s">
        <v>182</v>
      </c>
    </row>
    <row r="185">
      <c r="C185" s="703" t="b">
        <v>0</v>
      </c>
      <c r="D185" s="51"/>
      <c r="E185" s="222" t="s">
        <v>987</v>
      </c>
      <c r="F185" s="702" t="s">
        <v>7737</v>
      </c>
    </row>
    <row r="186">
      <c r="C186" s="703" t="b">
        <v>0</v>
      </c>
      <c r="D186" s="51"/>
      <c r="E186" s="222" t="s">
        <v>994</v>
      </c>
      <c r="F186" s="702" t="s">
        <v>7738</v>
      </c>
    </row>
    <row r="187">
      <c r="C187" s="703" t="b">
        <v>0</v>
      </c>
      <c r="D187" s="51"/>
      <c r="E187" s="222" t="s">
        <v>3323</v>
      </c>
      <c r="F187" s="702" t="s">
        <v>7739</v>
      </c>
    </row>
    <row r="188">
      <c r="C188" s="703" t="b">
        <v>0</v>
      </c>
      <c r="D188" s="51"/>
      <c r="E188" s="222" t="s">
        <v>3329</v>
      </c>
      <c r="F188" s="702" t="s">
        <v>7740</v>
      </c>
    </row>
    <row r="189">
      <c r="C189" s="703" t="b">
        <v>0</v>
      </c>
      <c r="D189" s="51"/>
      <c r="E189" s="222" t="s">
        <v>3340</v>
      </c>
      <c r="F189" s="702" t="s">
        <v>7741</v>
      </c>
    </row>
    <row r="190">
      <c r="C190" s="703" t="b">
        <v>0</v>
      </c>
      <c r="D190" s="51"/>
      <c r="E190" s="222" t="s">
        <v>3358</v>
      </c>
      <c r="F190" s="702" t="s">
        <v>7742</v>
      </c>
    </row>
    <row r="191">
      <c r="C191" s="703" t="b">
        <v>0</v>
      </c>
      <c r="D191" s="51"/>
      <c r="E191" s="222" t="s">
        <v>3368</v>
      </c>
      <c r="F191" s="702" t="s">
        <v>7743</v>
      </c>
    </row>
    <row r="192">
      <c r="C192" s="703" t="b">
        <v>0</v>
      </c>
      <c r="D192" s="51"/>
      <c r="E192" s="222" t="s">
        <v>3372</v>
      </c>
      <c r="F192" s="702" t="s">
        <v>7744</v>
      </c>
    </row>
    <row r="193">
      <c r="C193" s="703" t="b">
        <v>0</v>
      </c>
      <c r="D193" s="51"/>
      <c r="E193" s="222" t="s">
        <v>5507</v>
      </c>
      <c r="F193" s="702">
        <v>1.0</v>
      </c>
    </row>
    <row r="194">
      <c r="C194" s="703" t="b">
        <v>0</v>
      </c>
      <c r="D194" s="51"/>
      <c r="E194" s="222" t="s">
        <v>5525</v>
      </c>
      <c r="F194" s="702">
        <v>64.0</v>
      </c>
    </row>
    <row r="195">
      <c r="C195" s="703" t="b">
        <v>0</v>
      </c>
      <c r="D195" s="51"/>
      <c r="E195" s="222" t="s">
        <v>5976</v>
      </c>
      <c r="F195" s="702">
        <v>1.0</v>
      </c>
    </row>
    <row r="196">
      <c r="C196" s="703" t="b">
        <v>0</v>
      </c>
      <c r="D196" s="51"/>
      <c r="E196" s="222" t="s">
        <v>5978</v>
      </c>
      <c r="F196" s="702">
        <v>1.0</v>
      </c>
    </row>
    <row r="197">
      <c r="C197" s="703" t="b">
        <v>0</v>
      </c>
      <c r="D197" s="51"/>
      <c r="E197" s="222" t="s">
        <v>5980</v>
      </c>
      <c r="F197" s="702">
        <v>1.0</v>
      </c>
    </row>
    <row r="198">
      <c r="C198" s="703" t="b">
        <v>0</v>
      </c>
      <c r="D198" s="51"/>
      <c r="E198" s="222" t="s">
        <v>6088</v>
      </c>
      <c r="F198" s="702">
        <v>1.0</v>
      </c>
    </row>
    <row r="199">
      <c r="C199" s="703" t="b">
        <v>0</v>
      </c>
      <c r="D199" s="51"/>
      <c r="E199" s="222" t="s">
        <v>6090</v>
      </c>
      <c r="F199" s="702">
        <v>1.0</v>
      </c>
    </row>
    <row r="200">
      <c r="C200" s="703" t="b">
        <v>0</v>
      </c>
      <c r="D200" s="51"/>
      <c r="E200" s="222" t="s">
        <v>6100</v>
      </c>
      <c r="F200" s="702">
        <v>1.0</v>
      </c>
    </row>
    <row r="201">
      <c r="C201" s="703" t="b">
        <v>0</v>
      </c>
      <c r="D201" s="51"/>
      <c r="E201" s="222" t="s">
        <v>6379</v>
      </c>
      <c r="F201" s="702">
        <v>1.0</v>
      </c>
    </row>
    <row r="202">
      <c r="C202" s="703" t="b">
        <v>0</v>
      </c>
      <c r="D202" s="51"/>
      <c r="E202" s="222" t="s">
        <v>6380</v>
      </c>
      <c r="F202" s="702">
        <v>1.0</v>
      </c>
    </row>
    <row r="203">
      <c r="C203" s="703" t="b">
        <v>0</v>
      </c>
      <c r="D203" s="51"/>
      <c r="E203" s="222" t="s">
        <v>6391</v>
      </c>
      <c r="F203" s="702">
        <v>1.0</v>
      </c>
    </row>
    <row r="204">
      <c r="C204" s="703" t="b">
        <v>0</v>
      </c>
      <c r="D204" s="51"/>
      <c r="E204" s="222" t="s">
        <v>6470</v>
      </c>
      <c r="F204" s="702">
        <v>64.0</v>
      </c>
    </row>
    <row r="205">
      <c r="C205" s="703" t="b">
        <v>0</v>
      </c>
      <c r="D205" s="51"/>
      <c r="E205" s="222" t="s">
        <v>6471</v>
      </c>
      <c r="F205" s="702">
        <v>64.0</v>
      </c>
    </row>
    <row r="206">
      <c r="C206" s="703" t="b">
        <v>0</v>
      </c>
      <c r="D206" s="51"/>
      <c r="E206" s="222" t="s">
        <v>6767</v>
      </c>
      <c r="F206" s="702">
        <v>1.0</v>
      </c>
    </row>
    <row r="207">
      <c r="C207" s="703" t="b">
        <v>0</v>
      </c>
      <c r="D207" s="51"/>
      <c r="E207" s="222" t="s">
        <v>6967</v>
      </c>
      <c r="F207" s="702">
        <v>64.0</v>
      </c>
    </row>
    <row r="208">
      <c r="C208" s="703" t="s">
        <v>194</v>
      </c>
      <c r="D208" s="51" t="s">
        <v>194</v>
      </c>
      <c r="E208" s="222" t="s">
        <v>194</v>
      </c>
      <c r="F208" s="702" t="s">
        <v>194</v>
      </c>
    </row>
    <row r="209">
      <c r="C209" s="703" t="s">
        <v>1178</v>
      </c>
      <c r="D209" s="51" t="s">
        <v>194</v>
      </c>
      <c r="E209" s="222" t="s">
        <v>7553</v>
      </c>
      <c r="F209" s="702" t="s">
        <v>182</v>
      </c>
    </row>
    <row r="210">
      <c r="C210" s="703" t="b">
        <v>0</v>
      </c>
      <c r="D210" s="51"/>
      <c r="E210" s="222" t="s">
        <v>1173</v>
      </c>
      <c r="F210" s="702" t="s">
        <v>7745</v>
      </c>
    </row>
    <row r="211">
      <c r="C211" s="703" t="b">
        <v>0</v>
      </c>
      <c r="D211" s="51"/>
      <c r="E211" s="222" t="s">
        <v>1336</v>
      </c>
      <c r="F211" s="702" t="s">
        <v>7746</v>
      </c>
    </row>
    <row r="212">
      <c r="C212" s="703" t="b">
        <v>0</v>
      </c>
      <c r="D212" s="51"/>
      <c r="E212" s="222" t="s">
        <v>1562</v>
      </c>
      <c r="F212" s="702" t="s">
        <v>7747</v>
      </c>
    </row>
    <row r="213">
      <c r="C213" s="703" t="b">
        <v>0</v>
      </c>
      <c r="D213" s="51"/>
      <c r="E213" s="222" t="s">
        <v>1567</v>
      </c>
      <c r="F213" s="702" t="s">
        <v>7748</v>
      </c>
    </row>
    <row r="214">
      <c r="C214" s="703" t="b">
        <v>0</v>
      </c>
      <c r="D214" s="51"/>
      <c r="E214" s="222" t="s">
        <v>1571</v>
      </c>
      <c r="F214" s="702" t="s">
        <v>7749</v>
      </c>
    </row>
    <row r="215">
      <c r="C215" s="703" t="b">
        <v>0</v>
      </c>
      <c r="D215" s="51"/>
      <c r="E215" s="222" t="s">
        <v>2476</v>
      </c>
      <c r="F215" s="702" t="s">
        <v>7750</v>
      </c>
    </row>
    <row r="216">
      <c r="C216" s="703" t="s">
        <v>194</v>
      </c>
      <c r="D216" s="51" t="s">
        <v>194</v>
      </c>
      <c r="E216" s="222" t="s">
        <v>194</v>
      </c>
      <c r="F216" s="702" t="s">
        <v>194</v>
      </c>
    </row>
    <row r="217">
      <c r="C217" s="703" t="s">
        <v>1276</v>
      </c>
      <c r="D217" s="51" t="s">
        <v>194</v>
      </c>
      <c r="E217" s="222" t="s">
        <v>7553</v>
      </c>
      <c r="F217" s="702" t="s">
        <v>182</v>
      </c>
    </row>
    <row r="218">
      <c r="C218" s="703" t="b">
        <v>0</v>
      </c>
      <c r="D218" s="51"/>
      <c r="E218" s="222" t="s">
        <v>1271</v>
      </c>
      <c r="F218" s="702" t="s">
        <v>7751</v>
      </c>
    </row>
    <row r="219">
      <c r="C219" s="703" t="b">
        <v>0</v>
      </c>
      <c r="D219" s="51"/>
      <c r="E219" s="222" t="s">
        <v>2800</v>
      </c>
      <c r="F219" s="702" t="s">
        <v>7752</v>
      </c>
    </row>
    <row r="220">
      <c r="C220" s="703" t="b">
        <v>0</v>
      </c>
      <c r="D220" s="51"/>
      <c r="E220" s="222" t="s">
        <v>3117</v>
      </c>
      <c r="F220" s="702" t="s">
        <v>7753</v>
      </c>
    </row>
    <row r="221">
      <c r="C221" s="703" t="b">
        <v>0</v>
      </c>
      <c r="D221" s="51"/>
      <c r="E221" s="222" t="s">
        <v>4640</v>
      </c>
      <c r="F221" s="702" t="s">
        <v>4641</v>
      </c>
    </row>
    <row r="222">
      <c r="C222" s="703" t="b">
        <v>0</v>
      </c>
      <c r="D222" s="51"/>
      <c r="E222" s="222" t="s">
        <v>36</v>
      </c>
      <c r="F222" s="702" t="s">
        <v>7754</v>
      </c>
    </row>
    <row r="223">
      <c r="C223" s="703" t="s">
        <v>194</v>
      </c>
      <c r="D223" s="51" t="s">
        <v>194</v>
      </c>
      <c r="E223" s="222" t="s">
        <v>194</v>
      </c>
      <c r="F223" s="702" t="s">
        <v>194</v>
      </c>
    </row>
    <row r="224">
      <c r="C224" s="703" t="s">
        <v>1343</v>
      </c>
      <c r="D224" s="51" t="s">
        <v>194</v>
      </c>
      <c r="E224" s="222" t="s">
        <v>7553</v>
      </c>
      <c r="F224" s="702" t="s">
        <v>182</v>
      </c>
    </row>
    <row r="225">
      <c r="C225" s="703" t="b">
        <v>0</v>
      </c>
      <c r="D225" s="51"/>
      <c r="E225" s="222" t="s">
        <v>1339</v>
      </c>
      <c r="F225" s="702" t="s">
        <v>1341</v>
      </c>
    </row>
    <row r="226">
      <c r="C226" s="703" t="b">
        <v>0</v>
      </c>
      <c r="D226" s="51"/>
      <c r="E226" s="222" t="s">
        <v>1834</v>
      </c>
      <c r="F226" s="702" t="s">
        <v>1835</v>
      </c>
    </row>
    <row r="227">
      <c r="C227" s="703" t="b">
        <v>0</v>
      </c>
      <c r="D227" s="51"/>
      <c r="E227" s="222" t="s">
        <v>1992</v>
      </c>
      <c r="F227" s="702" t="s">
        <v>7755</v>
      </c>
    </row>
    <row r="228">
      <c r="C228" s="703" t="b">
        <v>0</v>
      </c>
      <c r="D228" s="51"/>
      <c r="E228" s="222" t="s">
        <v>2067</v>
      </c>
      <c r="F228" s="702" t="s">
        <v>2068</v>
      </c>
    </row>
    <row r="229">
      <c r="C229" s="703" t="b">
        <v>0</v>
      </c>
      <c r="D229" s="51"/>
      <c r="E229" s="222" t="s">
        <v>2308</v>
      </c>
      <c r="F229" s="702" t="s">
        <v>2310</v>
      </c>
    </row>
    <row r="230">
      <c r="C230" s="703" t="b">
        <v>0</v>
      </c>
      <c r="D230" s="51"/>
      <c r="E230" s="222" t="s">
        <v>5025</v>
      </c>
      <c r="F230" s="702" t="s">
        <v>7756</v>
      </c>
    </row>
    <row r="231">
      <c r="C231" s="703" t="b">
        <v>0</v>
      </c>
      <c r="D231" s="51"/>
      <c r="E231" s="222" t="s">
        <v>5042</v>
      </c>
      <c r="F231" s="702" t="s">
        <v>7757</v>
      </c>
    </row>
    <row r="232">
      <c r="C232" s="703" t="b">
        <v>0</v>
      </c>
      <c r="D232" s="51"/>
      <c r="E232" s="222" t="s">
        <v>5146</v>
      </c>
      <c r="F232" s="702" t="s">
        <v>5148</v>
      </c>
    </row>
    <row r="233">
      <c r="C233" s="703" t="b">
        <v>0</v>
      </c>
      <c r="D233" s="51"/>
      <c r="E233" s="222" t="s">
        <v>5162</v>
      </c>
      <c r="F233" s="702" t="s">
        <v>7758</v>
      </c>
    </row>
    <row r="234">
      <c r="C234" s="703" t="b">
        <v>0</v>
      </c>
      <c r="D234" s="51"/>
      <c r="E234" s="222" t="s">
        <v>5339</v>
      </c>
      <c r="F234" s="702">
        <v>64.0</v>
      </c>
    </row>
    <row r="235">
      <c r="C235" s="703" t="b">
        <v>0</v>
      </c>
      <c r="D235" s="51"/>
      <c r="E235" s="222" t="s">
        <v>5408</v>
      </c>
      <c r="F235" s="702">
        <v>64.0</v>
      </c>
    </row>
    <row r="236">
      <c r="C236" s="703" t="b">
        <v>0</v>
      </c>
      <c r="D236" s="51"/>
      <c r="E236" s="222" t="s">
        <v>5658</v>
      </c>
      <c r="F236" s="702">
        <v>64.0</v>
      </c>
    </row>
    <row r="237">
      <c r="C237" s="703" t="b">
        <v>0</v>
      </c>
      <c r="D237" s="51"/>
      <c r="E237" s="222" t="s">
        <v>5859</v>
      </c>
      <c r="F237" s="702">
        <v>64.0</v>
      </c>
    </row>
    <row r="238">
      <c r="C238" s="703" t="b">
        <v>0</v>
      </c>
      <c r="D238" s="51"/>
      <c r="E238" s="222" t="s">
        <v>5889</v>
      </c>
      <c r="F238" s="702">
        <v>64.0</v>
      </c>
    </row>
    <row r="239">
      <c r="C239" s="703" t="b">
        <v>0</v>
      </c>
      <c r="D239" s="51"/>
      <c r="E239" s="222" t="s">
        <v>5920</v>
      </c>
      <c r="F239" s="702">
        <v>64.0</v>
      </c>
    </row>
    <row r="240">
      <c r="C240" s="703" t="b">
        <v>0</v>
      </c>
      <c r="D240" s="51"/>
      <c r="E240" s="222" t="s">
        <v>5922</v>
      </c>
      <c r="F240" s="702">
        <v>64.0</v>
      </c>
    </row>
    <row r="241">
      <c r="C241" s="703" t="b">
        <v>0</v>
      </c>
      <c r="D241" s="51"/>
      <c r="E241" s="222" t="s">
        <v>6095</v>
      </c>
      <c r="F241" s="702">
        <v>64.0</v>
      </c>
    </row>
    <row r="242">
      <c r="C242" s="703" t="b">
        <v>0</v>
      </c>
      <c r="D242" s="51"/>
      <c r="E242" s="222" t="s">
        <v>6182</v>
      </c>
      <c r="F242" s="702">
        <v>64.0</v>
      </c>
    </row>
    <row r="243">
      <c r="C243" s="703" t="b">
        <v>0</v>
      </c>
      <c r="D243" s="51"/>
      <c r="E243" s="222" t="s">
        <v>6184</v>
      </c>
      <c r="F243" s="702">
        <v>1.0</v>
      </c>
    </row>
    <row r="244">
      <c r="C244" s="703" t="b">
        <v>0</v>
      </c>
      <c r="D244" s="51"/>
      <c r="E244" s="222" t="s">
        <v>6327</v>
      </c>
      <c r="F244" s="702">
        <v>64.0</v>
      </c>
    </row>
    <row r="245">
      <c r="C245" s="703" t="b">
        <v>0</v>
      </c>
      <c r="D245" s="51"/>
      <c r="E245" s="222" t="s">
        <v>6566</v>
      </c>
      <c r="F245" s="702">
        <v>64.0</v>
      </c>
    </row>
    <row r="246">
      <c r="C246" s="703" t="b">
        <v>0</v>
      </c>
      <c r="D246" s="51"/>
      <c r="E246" s="222" t="s">
        <v>6800</v>
      </c>
      <c r="F246" s="702">
        <v>64.0</v>
      </c>
    </row>
    <row r="247">
      <c r="C247" s="703" t="b">
        <v>0</v>
      </c>
      <c r="D247" s="51"/>
      <c r="E247" s="222" t="s">
        <v>6803</v>
      </c>
      <c r="F247" s="702">
        <v>64.0</v>
      </c>
    </row>
    <row r="248">
      <c r="C248" s="703" t="b">
        <v>0</v>
      </c>
      <c r="D248" s="51"/>
      <c r="E248" s="222" t="s">
        <v>6849</v>
      </c>
      <c r="F248" s="702">
        <v>64.0</v>
      </c>
    </row>
    <row r="249">
      <c r="C249" s="703" t="b">
        <v>0</v>
      </c>
      <c r="D249" s="51"/>
      <c r="E249" s="222" t="s">
        <v>6950</v>
      </c>
      <c r="F249" s="702">
        <v>1.0</v>
      </c>
    </row>
    <row r="250">
      <c r="C250" s="703" t="s">
        <v>194</v>
      </c>
      <c r="D250" s="51" t="s">
        <v>194</v>
      </c>
      <c r="E250" s="222" t="s">
        <v>194</v>
      </c>
      <c r="F250" s="702" t="s">
        <v>194</v>
      </c>
    </row>
    <row r="251">
      <c r="C251" s="703" t="s">
        <v>1353</v>
      </c>
      <c r="D251" s="51" t="s">
        <v>194</v>
      </c>
      <c r="E251" s="222" t="s">
        <v>7553</v>
      </c>
      <c r="F251" s="702" t="s">
        <v>182</v>
      </c>
    </row>
    <row r="252">
      <c r="C252" s="703" t="b">
        <v>0</v>
      </c>
      <c r="D252" s="51"/>
      <c r="E252" s="222" t="s">
        <v>1349</v>
      </c>
      <c r="F252" s="702" t="s">
        <v>7759</v>
      </c>
    </row>
    <row r="253">
      <c r="C253" s="703" t="s">
        <v>194</v>
      </c>
      <c r="D253" s="51" t="s">
        <v>194</v>
      </c>
      <c r="E253" s="222" t="s">
        <v>194</v>
      </c>
      <c r="F253" s="702" t="s">
        <v>194</v>
      </c>
    </row>
    <row r="254">
      <c r="C254" s="703" t="s">
        <v>1437</v>
      </c>
      <c r="D254" s="51" t="s">
        <v>194</v>
      </c>
      <c r="E254" s="222" t="s">
        <v>7553</v>
      </c>
      <c r="F254" s="702" t="s">
        <v>182</v>
      </c>
    </row>
    <row r="255">
      <c r="C255" s="703" t="b">
        <v>0</v>
      </c>
      <c r="D255" s="51"/>
      <c r="E255" s="222" t="s">
        <v>1431</v>
      </c>
      <c r="F255" s="702" t="s">
        <v>7760</v>
      </c>
    </row>
    <row r="256">
      <c r="C256" s="703" t="b">
        <v>0</v>
      </c>
      <c r="D256" s="51"/>
      <c r="E256" s="222" t="s">
        <v>1475</v>
      </c>
      <c r="F256" s="702" t="s">
        <v>1477</v>
      </c>
    </row>
    <row r="257">
      <c r="C257" s="703" t="b">
        <v>0</v>
      </c>
      <c r="D257" s="51"/>
      <c r="E257" s="222" t="s">
        <v>1913</v>
      </c>
      <c r="F257" s="702" t="s">
        <v>1915</v>
      </c>
    </row>
    <row r="258">
      <c r="C258" s="703" t="b">
        <v>0</v>
      </c>
      <c r="D258" s="51"/>
      <c r="E258" s="222" t="s">
        <v>2403</v>
      </c>
      <c r="F258" s="702" t="s">
        <v>2405</v>
      </c>
    </row>
    <row r="259">
      <c r="C259" s="703" t="b">
        <v>0</v>
      </c>
      <c r="D259" s="51"/>
      <c r="E259" s="222" t="s">
        <v>121</v>
      </c>
      <c r="F259" s="702" t="s">
        <v>3982</v>
      </c>
    </row>
    <row r="260">
      <c r="C260" s="703" t="s">
        <v>194</v>
      </c>
      <c r="D260" s="51" t="s">
        <v>194</v>
      </c>
      <c r="E260" s="222" t="s">
        <v>194</v>
      </c>
      <c r="F260" s="702" t="s">
        <v>194</v>
      </c>
    </row>
    <row r="261">
      <c r="C261" s="703" t="s">
        <v>1634</v>
      </c>
      <c r="D261" s="51" t="s">
        <v>194</v>
      </c>
      <c r="E261" s="222" t="s">
        <v>7553</v>
      </c>
      <c r="F261" s="702" t="s">
        <v>182</v>
      </c>
    </row>
    <row r="262">
      <c r="C262" s="703" t="b">
        <v>0</v>
      </c>
      <c r="D262" s="51"/>
      <c r="E262" s="222" t="s">
        <v>1628</v>
      </c>
      <c r="F262" s="702" t="s">
        <v>7761</v>
      </c>
    </row>
    <row r="263">
      <c r="C263" s="703" t="b">
        <v>0</v>
      </c>
      <c r="D263" s="51"/>
      <c r="E263" s="222" t="s">
        <v>1668</v>
      </c>
      <c r="F263" s="702" t="s">
        <v>7762</v>
      </c>
    </row>
    <row r="264">
      <c r="C264" s="703" t="b">
        <v>0</v>
      </c>
      <c r="D264" s="51"/>
      <c r="E264" s="222" t="s">
        <v>3005</v>
      </c>
      <c r="F264" s="702" t="s">
        <v>7763</v>
      </c>
    </row>
    <row r="265">
      <c r="C265" s="703" t="b">
        <v>0</v>
      </c>
      <c r="D265" s="51"/>
      <c r="E265" s="222" t="s">
        <v>78</v>
      </c>
      <c r="F265" s="702" t="s">
        <v>3836</v>
      </c>
    </row>
    <row r="266">
      <c r="C266" s="703" t="b">
        <v>0</v>
      </c>
      <c r="D266" s="51"/>
      <c r="E266" s="222" t="s">
        <v>83</v>
      </c>
      <c r="F266" s="702" t="s">
        <v>3845</v>
      </c>
    </row>
    <row r="267">
      <c r="C267" s="703" t="b">
        <v>0</v>
      </c>
      <c r="D267" s="51"/>
      <c r="E267" s="222" t="s">
        <v>85</v>
      </c>
      <c r="F267" s="702" t="s">
        <v>3854</v>
      </c>
    </row>
    <row r="268">
      <c r="C268" s="703" t="b">
        <v>0</v>
      </c>
      <c r="D268" s="51"/>
      <c r="E268" s="222" t="s">
        <v>89</v>
      </c>
      <c r="F268" s="702" t="s">
        <v>3863</v>
      </c>
    </row>
    <row r="269">
      <c r="C269" s="703" t="b">
        <v>0</v>
      </c>
      <c r="D269" s="51"/>
      <c r="E269" s="222" t="s">
        <v>91</v>
      </c>
      <c r="F269" s="702" t="s">
        <v>3876</v>
      </c>
    </row>
    <row r="270">
      <c r="C270" s="703" t="b">
        <v>0</v>
      </c>
      <c r="D270" s="51"/>
      <c r="E270" s="222" t="s">
        <v>95</v>
      </c>
      <c r="F270" s="702" t="s">
        <v>3886</v>
      </c>
    </row>
    <row r="271">
      <c r="C271" s="703" t="b">
        <v>0</v>
      </c>
      <c r="D271" s="51"/>
      <c r="E271" s="222" t="s">
        <v>97</v>
      </c>
      <c r="F271" s="702" t="s">
        <v>3898</v>
      </c>
    </row>
    <row r="272">
      <c r="C272" s="703" t="b">
        <v>0</v>
      </c>
      <c r="D272" s="51"/>
      <c r="E272" s="222" t="s">
        <v>101</v>
      </c>
      <c r="F272" s="702" t="s">
        <v>3911</v>
      </c>
    </row>
    <row r="273">
      <c r="C273" s="703" t="b">
        <v>0</v>
      </c>
      <c r="D273" s="51"/>
      <c r="E273" s="222" t="s">
        <v>103</v>
      </c>
      <c r="F273" s="702" t="s">
        <v>3923</v>
      </c>
    </row>
    <row r="274">
      <c r="C274" s="703" t="b">
        <v>0</v>
      </c>
      <c r="D274" s="51"/>
      <c r="E274" s="222" t="s">
        <v>107</v>
      </c>
      <c r="F274" s="702" t="s">
        <v>3936</v>
      </c>
    </row>
    <row r="275">
      <c r="C275" s="703" t="b">
        <v>0</v>
      </c>
      <c r="D275" s="51"/>
      <c r="E275" s="222" t="s">
        <v>5046</v>
      </c>
      <c r="F275" s="702" t="s">
        <v>7764</v>
      </c>
    </row>
    <row r="276">
      <c r="C276" s="703" t="s">
        <v>194</v>
      </c>
      <c r="D276" s="51" t="s">
        <v>194</v>
      </c>
      <c r="E276" s="222" t="s">
        <v>194</v>
      </c>
      <c r="F276" s="702" t="s">
        <v>194</v>
      </c>
    </row>
    <row r="277">
      <c r="C277" s="703" t="s">
        <v>1661</v>
      </c>
      <c r="D277" s="51" t="s">
        <v>194</v>
      </c>
      <c r="E277" s="222" t="s">
        <v>7553</v>
      </c>
      <c r="F277" s="702" t="s">
        <v>182</v>
      </c>
    </row>
    <row r="278">
      <c r="C278" s="703" t="b">
        <v>0</v>
      </c>
      <c r="D278" s="51"/>
      <c r="E278" s="222" t="s">
        <v>1658</v>
      </c>
      <c r="F278" s="702" t="s">
        <v>7765</v>
      </c>
    </row>
    <row r="279">
      <c r="C279" s="703" t="b">
        <v>0</v>
      </c>
      <c r="D279" s="51"/>
      <c r="E279" s="222" t="s">
        <v>1776</v>
      </c>
      <c r="F279" s="702" t="s">
        <v>7766</v>
      </c>
    </row>
    <row r="280">
      <c r="C280" s="703" t="b">
        <v>0</v>
      </c>
      <c r="D280" s="51"/>
      <c r="E280" s="222" t="s">
        <v>1955</v>
      </c>
      <c r="F280" s="702" t="s">
        <v>7767</v>
      </c>
    </row>
    <row r="281">
      <c r="C281" s="703" t="b">
        <v>0</v>
      </c>
      <c r="D281" s="51"/>
      <c r="E281" s="222" t="s">
        <v>1981</v>
      </c>
      <c r="F281" s="702" t="s">
        <v>7768</v>
      </c>
    </row>
    <row r="282">
      <c r="C282" s="703" t="b">
        <v>0</v>
      </c>
      <c r="D282" s="51"/>
      <c r="E282" s="222" t="s">
        <v>2059</v>
      </c>
      <c r="F282" s="702" t="s">
        <v>7769</v>
      </c>
    </row>
    <row r="283">
      <c r="C283" s="703" t="b">
        <v>0</v>
      </c>
      <c r="D283" s="51"/>
      <c r="E283" s="222" t="s">
        <v>2123</v>
      </c>
      <c r="F283" s="702" t="s">
        <v>2125</v>
      </c>
    </row>
    <row r="284">
      <c r="C284" s="703" t="b">
        <v>0</v>
      </c>
      <c r="D284" s="51"/>
      <c r="E284" s="222" t="s">
        <v>3146</v>
      </c>
      <c r="F284" s="702" t="s">
        <v>7770</v>
      </c>
    </row>
    <row r="285">
      <c r="C285" s="703" t="b">
        <v>0</v>
      </c>
      <c r="D285" s="51"/>
      <c r="E285" s="222" t="s">
        <v>3534</v>
      </c>
      <c r="F285" s="702" t="s">
        <v>7771</v>
      </c>
    </row>
    <row r="286">
      <c r="C286" s="703" t="b">
        <v>0</v>
      </c>
      <c r="D286" s="51"/>
      <c r="E286" s="222" t="s">
        <v>4952</v>
      </c>
      <c r="F286" s="702" t="s">
        <v>7772</v>
      </c>
    </row>
    <row r="287">
      <c r="C287" s="703" t="b">
        <v>0</v>
      </c>
      <c r="D287" s="51"/>
      <c r="E287" s="222" t="s">
        <v>5030</v>
      </c>
      <c r="F287" s="702" t="s">
        <v>7773</v>
      </c>
    </row>
    <row r="288">
      <c r="C288" s="703" t="b">
        <v>0</v>
      </c>
      <c r="D288" s="51"/>
      <c r="E288" s="222" t="s">
        <v>6992</v>
      </c>
      <c r="F288" s="702">
        <v>64.0</v>
      </c>
    </row>
    <row r="289">
      <c r="C289" s="703" t="s">
        <v>194</v>
      </c>
      <c r="D289" s="51" t="s">
        <v>194</v>
      </c>
      <c r="E289" s="222" t="s">
        <v>194</v>
      </c>
      <c r="F289" s="702" t="s">
        <v>194</v>
      </c>
    </row>
    <row r="290">
      <c r="C290" s="703" t="s">
        <v>117</v>
      </c>
      <c r="D290" s="51" t="s">
        <v>194</v>
      </c>
      <c r="E290" s="222" t="s">
        <v>7553</v>
      </c>
      <c r="F290" s="702" t="s">
        <v>182</v>
      </c>
    </row>
    <row r="291">
      <c r="C291" s="703" t="b">
        <v>0</v>
      </c>
      <c r="D291" s="51"/>
      <c r="E291" s="222" t="s">
        <v>1846</v>
      </c>
      <c r="F291" s="702" t="s">
        <v>7774</v>
      </c>
    </row>
    <row r="292">
      <c r="C292" s="703" t="b">
        <v>0</v>
      </c>
      <c r="D292" s="51"/>
      <c r="E292" s="222" t="s">
        <v>1852</v>
      </c>
      <c r="F292" s="702" t="s">
        <v>7775</v>
      </c>
    </row>
    <row r="293">
      <c r="C293" s="703" t="b">
        <v>0</v>
      </c>
      <c r="D293" s="51"/>
      <c r="E293" s="222" t="s">
        <v>3607</v>
      </c>
      <c r="F293" s="702" t="s">
        <v>3609</v>
      </c>
    </row>
    <row r="294">
      <c r="C294" s="703" t="b">
        <v>0</v>
      </c>
      <c r="D294" s="51"/>
      <c r="E294" s="222" t="s">
        <v>5580</v>
      </c>
      <c r="F294" s="702">
        <v>64.0</v>
      </c>
    </row>
    <row r="295">
      <c r="C295" s="703" t="b">
        <v>0</v>
      </c>
      <c r="D295" s="51"/>
      <c r="E295" s="222" t="s">
        <v>5902</v>
      </c>
      <c r="F295" s="702">
        <v>64.0</v>
      </c>
    </row>
    <row r="296">
      <c r="C296" s="703" t="b">
        <v>0</v>
      </c>
      <c r="D296" s="51"/>
      <c r="E296" s="222" t="s">
        <v>5915</v>
      </c>
      <c r="F296" s="702">
        <v>64.0</v>
      </c>
    </row>
    <row r="297">
      <c r="C297" s="703" t="b">
        <v>0</v>
      </c>
      <c r="D297" s="51"/>
      <c r="E297" s="222" t="s">
        <v>6388</v>
      </c>
      <c r="F297" s="702">
        <v>1.0</v>
      </c>
    </row>
    <row r="298">
      <c r="C298" s="703" t="b">
        <v>0</v>
      </c>
      <c r="D298" s="51"/>
      <c r="E298" s="222" t="s">
        <v>6701</v>
      </c>
      <c r="F298" s="702">
        <v>1.0</v>
      </c>
    </row>
    <row r="299">
      <c r="C299" s="703" t="b">
        <v>0</v>
      </c>
      <c r="D299" s="51"/>
      <c r="E299" s="222" t="s">
        <v>6770</v>
      </c>
      <c r="F299" s="702">
        <v>64.0</v>
      </c>
    </row>
    <row r="300">
      <c r="C300" s="703" t="b">
        <v>0</v>
      </c>
      <c r="D300" s="51"/>
      <c r="E300" s="222" t="s">
        <v>6771</v>
      </c>
      <c r="F300" s="702">
        <v>64.0</v>
      </c>
    </row>
    <row r="301">
      <c r="C301" s="703" t="b">
        <v>0</v>
      </c>
      <c r="D301" s="51"/>
      <c r="E301" s="222" t="s">
        <v>6772</v>
      </c>
      <c r="F301" s="702">
        <v>64.0</v>
      </c>
    </row>
    <row r="302">
      <c r="C302" s="703" t="b">
        <v>0</v>
      </c>
      <c r="D302" s="51"/>
      <c r="E302" s="222" t="s">
        <v>6792</v>
      </c>
      <c r="F302" s="702">
        <v>1.0</v>
      </c>
    </row>
    <row r="303">
      <c r="C303" s="703" t="b">
        <v>0</v>
      </c>
      <c r="D303" s="51"/>
      <c r="E303" s="222" t="s">
        <v>6999</v>
      </c>
      <c r="F303" s="702">
        <v>1.0</v>
      </c>
    </row>
    <row r="304">
      <c r="C304" s="703" t="s">
        <v>194</v>
      </c>
      <c r="D304" s="51" t="s">
        <v>194</v>
      </c>
      <c r="E304" s="222" t="s">
        <v>194</v>
      </c>
      <c r="F304" s="702" t="s">
        <v>194</v>
      </c>
    </row>
    <row r="305">
      <c r="C305" s="703" t="s">
        <v>1863</v>
      </c>
      <c r="D305" s="51" t="s">
        <v>194</v>
      </c>
      <c r="E305" s="222" t="s">
        <v>7553</v>
      </c>
      <c r="F305" s="702" t="s">
        <v>182</v>
      </c>
    </row>
    <row r="306">
      <c r="C306" s="703" t="b">
        <v>0</v>
      </c>
      <c r="D306" s="51"/>
      <c r="E306" s="222" t="s">
        <v>1857</v>
      </c>
      <c r="F306" s="702" t="s">
        <v>7776</v>
      </c>
    </row>
    <row r="307">
      <c r="C307" s="703" t="b">
        <v>0</v>
      </c>
      <c r="D307" s="51"/>
      <c r="E307" s="222" t="s">
        <v>3018</v>
      </c>
      <c r="F307" s="702" t="s">
        <v>7777</v>
      </c>
    </row>
    <row r="308">
      <c r="C308" s="703" t="b">
        <v>0</v>
      </c>
      <c r="D308" s="51"/>
      <c r="E308" s="222" t="s">
        <v>3060</v>
      </c>
      <c r="F308" s="702" t="s">
        <v>7778</v>
      </c>
    </row>
    <row r="309">
      <c r="C309" s="703" t="b">
        <v>0</v>
      </c>
      <c r="D309" s="51"/>
      <c r="E309" s="222" t="s">
        <v>3066</v>
      </c>
      <c r="F309" s="702" t="s">
        <v>7779</v>
      </c>
    </row>
    <row r="310">
      <c r="C310" s="703" t="b">
        <v>0</v>
      </c>
      <c r="D310" s="51"/>
      <c r="E310" s="222" t="s">
        <v>4918</v>
      </c>
      <c r="F310" s="702" t="s">
        <v>7780</v>
      </c>
    </row>
    <row r="311">
      <c r="C311" s="703" t="s">
        <v>194</v>
      </c>
      <c r="D311" s="51" t="s">
        <v>194</v>
      </c>
      <c r="E311" s="222" t="s">
        <v>194</v>
      </c>
      <c r="F311" s="702" t="s">
        <v>194</v>
      </c>
    </row>
    <row r="312">
      <c r="C312" s="703" t="s">
        <v>1869</v>
      </c>
      <c r="D312" s="51" t="s">
        <v>194</v>
      </c>
      <c r="E312" s="222" t="s">
        <v>7553</v>
      </c>
      <c r="F312" s="702" t="s">
        <v>182</v>
      </c>
    </row>
    <row r="313">
      <c r="C313" s="703" t="b">
        <v>0</v>
      </c>
      <c r="D313" s="51"/>
      <c r="E313" s="222" t="s">
        <v>1864</v>
      </c>
      <c r="F313" s="702" t="s">
        <v>7781</v>
      </c>
    </row>
    <row r="314">
      <c r="C314" s="703" t="s">
        <v>194</v>
      </c>
      <c r="D314" s="51" t="s">
        <v>194</v>
      </c>
      <c r="E314" s="222" t="s">
        <v>194</v>
      </c>
      <c r="F314" s="702" t="s">
        <v>194</v>
      </c>
    </row>
    <row r="315">
      <c r="C315" s="703" t="s">
        <v>1948</v>
      </c>
      <c r="D315" s="51" t="s">
        <v>194</v>
      </c>
      <c r="E315" s="222" t="s">
        <v>7553</v>
      </c>
      <c r="F315" s="702" t="s">
        <v>182</v>
      </c>
    </row>
    <row r="316">
      <c r="C316" s="703" t="b">
        <v>0</v>
      </c>
      <c r="D316" s="51"/>
      <c r="E316" s="222" t="s">
        <v>1943</v>
      </c>
      <c r="F316" s="702" t="s">
        <v>7554</v>
      </c>
    </row>
    <row r="317">
      <c r="C317" s="703" t="b">
        <v>0</v>
      </c>
      <c r="D317" s="51"/>
      <c r="E317" s="222" t="s">
        <v>1966</v>
      </c>
      <c r="F317" s="702" t="s">
        <v>7555</v>
      </c>
    </row>
    <row r="318">
      <c r="C318" s="703" t="b">
        <v>0</v>
      </c>
      <c r="D318" s="51"/>
      <c r="E318" s="222" t="s">
        <v>2070</v>
      </c>
      <c r="F318" s="702" t="s">
        <v>7556</v>
      </c>
    </row>
    <row r="319">
      <c r="C319" s="703" t="b">
        <v>0</v>
      </c>
      <c r="D319" s="51"/>
      <c r="E319" s="222" t="s">
        <v>2075</v>
      </c>
      <c r="F319" s="702" t="s">
        <v>7557</v>
      </c>
    </row>
    <row r="320">
      <c r="C320" s="703" t="b">
        <v>0</v>
      </c>
      <c r="D320" s="51"/>
      <c r="E320" s="222" t="s">
        <v>2267</v>
      </c>
      <c r="F320" s="702" t="s">
        <v>7558</v>
      </c>
    </row>
    <row r="321">
      <c r="C321" s="703" t="b">
        <v>0</v>
      </c>
      <c r="D321" s="51"/>
      <c r="E321" s="222" t="s">
        <v>2271</v>
      </c>
      <c r="F321" s="702" t="s">
        <v>7559</v>
      </c>
    </row>
    <row r="322">
      <c r="C322" s="703" t="b">
        <v>0</v>
      </c>
      <c r="D322" s="51"/>
      <c r="E322" s="222" t="s">
        <v>2285</v>
      </c>
      <c r="F322" s="702" t="s">
        <v>2287</v>
      </c>
    </row>
    <row r="323">
      <c r="C323" s="703" t="b">
        <v>0</v>
      </c>
      <c r="D323" s="51"/>
      <c r="E323" s="222" t="s">
        <v>2289</v>
      </c>
      <c r="F323" s="702" t="s">
        <v>2290</v>
      </c>
    </row>
    <row r="324">
      <c r="C324" s="703" t="b">
        <v>0</v>
      </c>
      <c r="D324" s="51"/>
      <c r="E324" s="222" t="s">
        <v>2365</v>
      </c>
      <c r="F324" s="702" t="s">
        <v>7560</v>
      </c>
    </row>
    <row r="325">
      <c r="C325" s="703" t="b">
        <v>0</v>
      </c>
      <c r="D325" s="51"/>
      <c r="E325" s="222" t="s">
        <v>2397</v>
      </c>
      <c r="F325" s="702" t="s">
        <v>7561</v>
      </c>
    </row>
    <row r="326">
      <c r="C326" s="703" t="b">
        <v>0</v>
      </c>
      <c r="D326" s="51"/>
      <c r="E326" s="222" t="s">
        <v>2440</v>
      </c>
      <c r="F326" s="702" t="s">
        <v>7562</v>
      </c>
    </row>
    <row r="327">
      <c r="C327" s="703" t="b">
        <v>0</v>
      </c>
      <c r="D327" s="51"/>
      <c r="E327" s="222" t="s">
        <v>2605</v>
      </c>
      <c r="F327" s="702" t="s">
        <v>7563</v>
      </c>
    </row>
    <row r="328">
      <c r="C328" s="703" t="b">
        <v>0</v>
      </c>
      <c r="D328" s="51"/>
      <c r="E328" s="222" t="s">
        <v>2609</v>
      </c>
      <c r="F328" s="702" t="s">
        <v>7564</v>
      </c>
    </row>
    <row r="329">
      <c r="C329" s="703" t="b">
        <v>0</v>
      </c>
      <c r="D329" s="51"/>
      <c r="E329" s="222" t="s">
        <v>2613</v>
      </c>
      <c r="F329" s="702" t="s">
        <v>7565</v>
      </c>
    </row>
    <row r="330">
      <c r="C330" s="703" t="b">
        <v>0</v>
      </c>
      <c r="D330" s="51"/>
      <c r="E330" s="222" t="s">
        <v>2696</v>
      </c>
      <c r="F330" s="702" t="s">
        <v>7566</v>
      </c>
    </row>
    <row r="331">
      <c r="C331" s="703" t="b">
        <v>0</v>
      </c>
      <c r="D331" s="51"/>
      <c r="E331" s="222" t="s">
        <v>2704</v>
      </c>
      <c r="F331" s="702" t="s">
        <v>2705</v>
      </c>
    </row>
    <row r="332">
      <c r="C332" s="703" t="b">
        <v>0</v>
      </c>
      <c r="D332" s="51"/>
      <c r="E332" s="222" t="s">
        <v>2760</v>
      </c>
      <c r="F332" s="702" t="s">
        <v>7567</v>
      </c>
    </row>
    <row r="333">
      <c r="C333" s="703" t="b">
        <v>0</v>
      </c>
      <c r="D333" s="51"/>
      <c r="E333" s="222" t="s">
        <v>2766</v>
      </c>
      <c r="F333" s="702" t="s">
        <v>2768</v>
      </c>
    </row>
    <row r="334">
      <c r="C334" s="703" t="b">
        <v>0</v>
      </c>
      <c r="D334" s="51"/>
      <c r="E334" s="222" t="s">
        <v>2775</v>
      </c>
      <c r="F334" s="702" t="s">
        <v>7568</v>
      </c>
    </row>
    <row r="335">
      <c r="C335" s="703" t="b">
        <v>0</v>
      </c>
      <c r="D335" s="51"/>
      <c r="E335" s="222" t="s">
        <v>2793</v>
      </c>
      <c r="F335" s="702" t="s">
        <v>7569</v>
      </c>
    </row>
    <row r="336">
      <c r="C336" s="703" t="b">
        <v>0</v>
      </c>
      <c r="D336" s="51"/>
      <c r="E336" s="222" t="s">
        <v>3485</v>
      </c>
      <c r="F336" s="702" t="s">
        <v>7570</v>
      </c>
    </row>
    <row r="337">
      <c r="C337" s="703" t="b">
        <v>0</v>
      </c>
      <c r="D337" s="51"/>
      <c r="E337" s="222" t="s">
        <v>4179</v>
      </c>
      <c r="F337" s="702" t="s">
        <v>7571</v>
      </c>
    </row>
    <row r="338">
      <c r="C338" s="703" t="b">
        <v>0</v>
      </c>
      <c r="D338" s="51"/>
      <c r="E338" s="222" t="s">
        <v>4781</v>
      </c>
      <c r="F338" s="702" t="s">
        <v>4783</v>
      </c>
    </row>
    <row r="339">
      <c r="C339" s="703" t="b">
        <v>0</v>
      </c>
      <c r="D339" s="51"/>
      <c r="E339" s="222" t="s">
        <v>4822</v>
      </c>
      <c r="F339" s="702" t="s">
        <v>4823</v>
      </c>
    </row>
    <row r="340">
      <c r="C340" s="703" t="s">
        <v>194</v>
      </c>
      <c r="D340" s="51" t="s">
        <v>194</v>
      </c>
      <c r="E340" s="222" t="s">
        <v>194</v>
      </c>
      <c r="F340" s="702" t="s">
        <v>194</v>
      </c>
    </row>
    <row r="341">
      <c r="C341" s="703" t="s">
        <v>1991</v>
      </c>
      <c r="D341" s="51" t="s">
        <v>194</v>
      </c>
      <c r="E341" s="222" t="s">
        <v>7553</v>
      </c>
      <c r="F341" s="702" t="s">
        <v>182</v>
      </c>
    </row>
    <row r="342">
      <c r="C342" s="703" t="b">
        <v>0</v>
      </c>
      <c r="D342" s="51"/>
      <c r="E342" s="222" t="s">
        <v>1986</v>
      </c>
      <c r="F342" s="702" t="s">
        <v>7782</v>
      </c>
    </row>
    <row r="343">
      <c r="C343" s="703" t="b">
        <v>0</v>
      </c>
      <c r="D343" s="51"/>
      <c r="E343" s="222" t="s">
        <v>2930</v>
      </c>
      <c r="F343" s="702" t="s">
        <v>7783</v>
      </c>
    </row>
    <row r="344">
      <c r="C344" s="703" t="b">
        <v>0</v>
      </c>
      <c r="D344" s="51"/>
      <c r="E344" s="222" t="s">
        <v>3971</v>
      </c>
      <c r="F344" s="702" t="s">
        <v>3973</v>
      </c>
    </row>
    <row r="345">
      <c r="C345" s="703" t="b">
        <v>0</v>
      </c>
      <c r="D345" s="51"/>
      <c r="E345" s="222" t="s">
        <v>6559</v>
      </c>
      <c r="F345" s="702">
        <v>64.0</v>
      </c>
    </row>
    <row r="346">
      <c r="C346" s="703" t="b">
        <v>0</v>
      </c>
      <c r="D346" s="51"/>
      <c r="E346" s="222" t="s">
        <v>6561</v>
      </c>
      <c r="F346" s="702">
        <v>64.0</v>
      </c>
    </row>
    <row r="347">
      <c r="C347" s="703" t="b">
        <v>0</v>
      </c>
      <c r="D347" s="51"/>
      <c r="E347" s="222" t="s">
        <v>6687</v>
      </c>
      <c r="F347" s="702">
        <v>64.0</v>
      </c>
    </row>
    <row r="348">
      <c r="C348" s="703" t="b">
        <v>0</v>
      </c>
      <c r="D348" s="51"/>
      <c r="E348" s="222" t="s">
        <v>6688</v>
      </c>
      <c r="F348" s="702">
        <v>64.0</v>
      </c>
    </row>
    <row r="349">
      <c r="C349" s="703" t="b">
        <v>0</v>
      </c>
      <c r="D349" s="51"/>
      <c r="E349" s="222" t="s">
        <v>6689</v>
      </c>
      <c r="F349" s="702">
        <v>64.0</v>
      </c>
    </row>
    <row r="350">
      <c r="C350" s="703" t="b">
        <v>0</v>
      </c>
      <c r="D350" s="51"/>
      <c r="E350" s="222" t="s">
        <v>6830</v>
      </c>
      <c r="F350" s="702">
        <v>64.0</v>
      </c>
    </row>
    <row r="351">
      <c r="C351" s="703" t="b">
        <v>0</v>
      </c>
      <c r="D351" s="51"/>
      <c r="E351" s="222" t="s">
        <v>6963</v>
      </c>
      <c r="F351" s="702">
        <v>64.0</v>
      </c>
    </row>
    <row r="352">
      <c r="C352" s="703" t="b">
        <v>0</v>
      </c>
      <c r="D352" s="51"/>
      <c r="E352" s="222" t="s">
        <v>6964</v>
      </c>
      <c r="F352" s="702">
        <v>64.0</v>
      </c>
    </row>
    <row r="353">
      <c r="C353" s="703" t="s">
        <v>194</v>
      </c>
      <c r="D353" s="51" t="s">
        <v>194</v>
      </c>
      <c r="E353" s="222" t="s">
        <v>194</v>
      </c>
      <c r="F353" s="702" t="s">
        <v>194</v>
      </c>
    </row>
    <row r="354">
      <c r="C354" s="703" t="s">
        <v>2143</v>
      </c>
      <c r="D354" s="51" t="s">
        <v>194</v>
      </c>
      <c r="E354" s="222" t="s">
        <v>7553</v>
      </c>
      <c r="F354" s="702" t="s">
        <v>182</v>
      </c>
    </row>
    <row r="355">
      <c r="C355" s="703" t="b">
        <v>0</v>
      </c>
      <c r="D355" s="51"/>
      <c r="E355" s="222" t="s">
        <v>2139</v>
      </c>
      <c r="F355" s="702" t="s">
        <v>7784</v>
      </c>
    </row>
    <row r="356">
      <c r="C356" s="703" t="b">
        <v>0</v>
      </c>
      <c r="D356" s="51"/>
      <c r="E356" s="222" t="s">
        <v>2162</v>
      </c>
      <c r="F356" s="702" t="s">
        <v>2163</v>
      </c>
    </row>
    <row r="357">
      <c r="C357" s="703" t="b">
        <v>0</v>
      </c>
      <c r="D357" s="51"/>
      <c r="E357" s="222" t="s">
        <v>2166</v>
      </c>
      <c r="F357" s="702" t="s">
        <v>7785</v>
      </c>
    </row>
    <row r="358">
      <c r="C358" s="703" t="s">
        <v>194</v>
      </c>
      <c r="D358" s="51" t="s">
        <v>194</v>
      </c>
      <c r="E358" s="222" t="s">
        <v>194</v>
      </c>
      <c r="F358" s="702" t="s">
        <v>194</v>
      </c>
    </row>
    <row r="359">
      <c r="C359" s="703" t="s">
        <v>2531</v>
      </c>
      <c r="D359" s="51" t="s">
        <v>194</v>
      </c>
      <c r="E359" s="222" t="s">
        <v>7553</v>
      </c>
      <c r="F359" s="702" t="s">
        <v>182</v>
      </c>
    </row>
    <row r="360">
      <c r="C360" s="703" t="b">
        <v>0</v>
      </c>
      <c r="D360" s="51"/>
      <c r="E360" s="222" t="s">
        <v>2526</v>
      </c>
      <c r="F360" s="702" t="s">
        <v>7786</v>
      </c>
    </row>
    <row r="361">
      <c r="C361" s="703" t="b">
        <v>0</v>
      </c>
      <c r="D361" s="51"/>
      <c r="E361" s="222" t="s">
        <v>2532</v>
      </c>
      <c r="F361" s="702" t="s">
        <v>7787</v>
      </c>
    </row>
    <row r="362">
      <c r="C362" s="703" t="s">
        <v>194</v>
      </c>
      <c r="D362" s="51" t="s">
        <v>194</v>
      </c>
      <c r="E362" s="222" t="s">
        <v>194</v>
      </c>
      <c r="F362" s="702" t="s">
        <v>194</v>
      </c>
    </row>
    <row r="363">
      <c r="C363" s="703" t="s">
        <v>2559</v>
      </c>
      <c r="D363" s="51" t="s">
        <v>194</v>
      </c>
      <c r="E363" s="222" t="s">
        <v>7553</v>
      </c>
      <c r="F363" s="702" t="s">
        <v>182</v>
      </c>
    </row>
    <row r="364">
      <c r="C364" s="703" t="b">
        <v>0</v>
      </c>
      <c r="D364" s="51"/>
      <c r="E364" s="222" t="s">
        <v>2554</v>
      </c>
      <c r="F364" s="702" t="s">
        <v>7788</v>
      </c>
    </row>
    <row r="365">
      <c r="C365" s="703" t="b">
        <v>0</v>
      </c>
      <c r="D365" s="51"/>
      <c r="E365" s="222" t="s">
        <v>2560</v>
      </c>
      <c r="F365" s="702" t="s">
        <v>7789</v>
      </c>
    </row>
    <row r="366">
      <c r="C366" s="703" t="b">
        <v>0</v>
      </c>
      <c r="D366" s="51"/>
      <c r="E366" s="222" t="s">
        <v>2566</v>
      </c>
      <c r="F366" s="702" t="s">
        <v>7790</v>
      </c>
    </row>
    <row r="367">
      <c r="C367" s="703" t="b">
        <v>0</v>
      </c>
      <c r="D367" s="51"/>
      <c r="E367" s="222" t="s">
        <v>2571</v>
      </c>
      <c r="F367" s="702" t="s">
        <v>2573</v>
      </c>
    </row>
    <row r="368">
      <c r="C368" s="703" t="b">
        <v>0</v>
      </c>
      <c r="D368" s="51"/>
      <c r="E368" s="222" t="s">
        <v>2723</v>
      </c>
      <c r="F368" s="702" t="s">
        <v>7791</v>
      </c>
    </row>
    <row r="369">
      <c r="C369" s="703" t="b">
        <v>0</v>
      </c>
      <c r="D369" s="51"/>
      <c r="E369" s="222" t="s">
        <v>4915</v>
      </c>
      <c r="F369" s="702" t="s">
        <v>4916</v>
      </c>
    </row>
    <row r="370">
      <c r="C370" s="703" t="s">
        <v>194</v>
      </c>
      <c r="D370" s="51" t="s">
        <v>194</v>
      </c>
      <c r="E370" s="222" t="s">
        <v>194</v>
      </c>
      <c r="F370" s="702" t="s">
        <v>194</v>
      </c>
    </row>
    <row r="371">
      <c r="C371" s="703" t="s">
        <v>2822</v>
      </c>
      <c r="D371" s="51" t="s">
        <v>194</v>
      </c>
      <c r="E371" s="222" t="s">
        <v>7553</v>
      </c>
      <c r="F371" s="702" t="s">
        <v>182</v>
      </c>
    </row>
    <row r="372">
      <c r="C372" s="703" t="b">
        <v>0</v>
      </c>
      <c r="D372" s="51"/>
      <c r="E372" s="222" t="s">
        <v>2818</v>
      </c>
      <c r="F372" s="702" t="s">
        <v>2820</v>
      </c>
    </row>
    <row r="373">
      <c r="C373" s="703" t="b">
        <v>0</v>
      </c>
      <c r="D373" s="51"/>
      <c r="E373" s="222" t="s">
        <v>2823</v>
      </c>
      <c r="F373" s="702" t="s">
        <v>7593</v>
      </c>
    </row>
    <row r="374">
      <c r="C374" s="703" t="b">
        <v>0</v>
      </c>
      <c r="D374" s="51"/>
      <c r="E374" s="222" t="s">
        <v>2828</v>
      </c>
      <c r="F374" s="702" t="s">
        <v>7594</v>
      </c>
    </row>
    <row r="375">
      <c r="C375" s="703" t="b">
        <v>0</v>
      </c>
      <c r="D375" s="51"/>
      <c r="E375" s="222" t="s">
        <v>2833</v>
      </c>
      <c r="F375" s="702" t="s">
        <v>7595</v>
      </c>
    </row>
    <row r="376">
      <c r="C376" s="703" t="b">
        <v>0</v>
      </c>
      <c r="D376" s="51"/>
      <c r="E376" s="222" t="s">
        <v>2838</v>
      </c>
      <c r="F376" s="702" t="s">
        <v>7596</v>
      </c>
    </row>
    <row r="377">
      <c r="C377" s="703" t="b">
        <v>0</v>
      </c>
      <c r="D377" s="51"/>
      <c r="E377" s="222" t="s">
        <v>2844</v>
      </c>
      <c r="F377" s="702" t="s">
        <v>2845</v>
      </c>
    </row>
    <row r="378">
      <c r="C378" s="703" t="s">
        <v>194</v>
      </c>
      <c r="D378" s="51" t="s">
        <v>194</v>
      </c>
      <c r="E378" s="222" t="s">
        <v>194</v>
      </c>
      <c r="F378" s="702" t="s">
        <v>194</v>
      </c>
    </row>
    <row r="379">
      <c r="C379" s="703" t="s">
        <v>2861</v>
      </c>
      <c r="D379" s="51" t="s">
        <v>194</v>
      </c>
      <c r="E379" s="222" t="s">
        <v>7553</v>
      </c>
      <c r="F379" s="702" t="s">
        <v>182</v>
      </c>
    </row>
    <row r="380">
      <c r="C380" s="703" t="b">
        <v>0</v>
      </c>
      <c r="D380" s="51"/>
      <c r="E380" s="222" t="s">
        <v>2856</v>
      </c>
      <c r="F380" s="702" t="s">
        <v>7597</v>
      </c>
    </row>
    <row r="381">
      <c r="C381" s="703" t="b">
        <v>0</v>
      </c>
      <c r="D381" s="51"/>
      <c r="E381" s="222" t="s">
        <v>2862</v>
      </c>
      <c r="F381" s="702" t="s">
        <v>7598</v>
      </c>
    </row>
    <row r="382">
      <c r="C382" s="703" t="b">
        <v>0</v>
      </c>
      <c r="D382" s="51"/>
      <c r="E382" s="222" t="s">
        <v>3527</v>
      </c>
      <c r="F382" s="702" t="s">
        <v>3529</v>
      </c>
    </row>
    <row r="383">
      <c r="C383" s="703" t="b">
        <v>0</v>
      </c>
      <c r="D383" s="51"/>
      <c r="E383" s="222" t="s">
        <v>3531</v>
      </c>
      <c r="F383" s="702" t="s">
        <v>7599</v>
      </c>
    </row>
    <row r="384">
      <c r="C384" s="703" t="b">
        <v>0</v>
      </c>
      <c r="D384" s="51"/>
      <c r="E384" s="222" t="s">
        <v>3538</v>
      </c>
      <c r="F384" s="702" t="s">
        <v>7600</v>
      </c>
    </row>
    <row r="385">
      <c r="C385" s="703" t="b">
        <v>0</v>
      </c>
      <c r="D385" s="51"/>
      <c r="E385" s="222" t="s">
        <v>6370</v>
      </c>
      <c r="F385" s="702">
        <v>1.0</v>
      </c>
    </row>
    <row r="386">
      <c r="C386" s="703" t="b">
        <v>0</v>
      </c>
      <c r="D386" s="51"/>
      <c r="E386" s="222" t="s">
        <v>6372</v>
      </c>
      <c r="F386" s="702">
        <v>1.0</v>
      </c>
    </row>
    <row r="387">
      <c r="C387" s="703" t="b">
        <v>0</v>
      </c>
      <c r="D387" s="51"/>
      <c r="E387" s="222" t="s">
        <v>6374</v>
      </c>
      <c r="F387" s="702">
        <v>1.0</v>
      </c>
    </row>
    <row r="388">
      <c r="C388" s="703" t="b">
        <v>0</v>
      </c>
      <c r="D388" s="51"/>
      <c r="E388" s="222" t="s">
        <v>6375</v>
      </c>
      <c r="F388" s="702">
        <v>1.0</v>
      </c>
    </row>
    <row r="389">
      <c r="C389" s="703" t="b">
        <v>0</v>
      </c>
      <c r="D389" s="51"/>
      <c r="E389" s="222" t="s">
        <v>6377</v>
      </c>
      <c r="F389" s="702">
        <v>1.0</v>
      </c>
    </row>
    <row r="390">
      <c r="C390" s="703" t="b">
        <v>0</v>
      </c>
      <c r="D390" s="51"/>
      <c r="E390" s="222" t="s">
        <v>6378</v>
      </c>
      <c r="F390" s="702">
        <v>1.0</v>
      </c>
    </row>
    <row r="391">
      <c r="C391" s="703" t="b">
        <v>0</v>
      </c>
      <c r="D391" s="51"/>
      <c r="E391" s="222" t="s">
        <v>6382</v>
      </c>
      <c r="F391" s="702">
        <v>1.0</v>
      </c>
    </row>
    <row r="392">
      <c r="C392" s="703" t="b">
        <v>0</v>
      </c>
      <c r="D392" s="51"/>
      <c r="E392" s="222" t="s">
        <v>6384</v>
      </c>
      <c r="F392" s="702">
        <v>1.0</v>
      </c>
    </row>
    <row r="393">
      <c r="C393" s="703" t="b">
        <v>0</v>
      </c>
      <c r="D393" s="51"/>
      <c r="E393" s="222" t="s">
        <v>6386</v>
      </c>
      <c r="F393" s="702">
        <v>1.0</v>
      </c>
    </row>
    <row r="394">
      <c r="C394" s="703" t="b">
        <v>0</v>
      </c>
      <c r="D394" s="51"/>
      <c r="E394" s="222" t="s">
        <v>6394</v>
      </c>
      <c r="F394" s="702">
        <v>1.0</v>
      </c>
    </row>
    <row r="395">
      <c r="C395" s="703" t="b">
        <v>0</v>
      </c>
      <c r="D395" s="51"/>
      <c r="E395" s="222" t="s">
        <v>6396</v>
      </c>
      <c r="F395" s="702">
        <v>1.0</v>
      </c>
    </row>
    <row r="396">
      <c r="C396" s="703" t="b">
        <v>0</v>
      </c>
      <c r="D396" s="51"/>
      <c r="E396" s="222" t="s">
        <v>6398</v>
      </c>
      <c r="F396" s="702">
        <v>1.0</v>
      </c>
    </row>
    <row r="397">
      <c r="C397" s="703" t="b">
        <v>0</v>
      </c>
      <c r="D397" s="51"/>
      <c r="E397" s="222" t="s">
        <v>6400</v>
      </c>
      <c r="F397" s="702">
        <v>1.0</v>
      </c>
    </row>
    <row r="398">
      <c r="C398" s="703" t="s">
        <v>194</v>
      </c>
      <c r="D398" s="51" t="s">
        <v>194</v>
      </c>
      <c r="E398" s="222" t="s">
        <v>194</v>
      </c>
      <c r="F398" s="702" t="s">
        <v>194</v>
      </c>
    </row>
    <row r="399">
      <c r="C399" s="703" t="s">
        <v>2891</v>
      </c>
      <c r="D399" s="51" t="s">
        <v>194</v>
      </c>
      <c r="E399" s="222" t="s">
        <v>7553</v>
      </c>
      <c r="F399" s="702" t="s">
        <v>182</v>
      </c>
    </row>
    <row r="400">
      <c r="C400" s="703" t="b">
        <v>0</v>
      </c>
      <c r="D400" s="51"/>
      <c r="E400" s="222" t="s">
        <v>2887</v>
      </c>
      <c r="F400" s="702" t="s">
        <v>7792</v>
      </c>
    </row>
    <row r="401">
      <c r="C401" s="703" t="b">
        <v>0</v>
      </c>
      <c r="D401" s="51"/>
      <c r="E401" s="222" t="s">
        <v>3291</v>
      </c>
      <c r="F401" s="702" t="s">
        <v>7793</v>
      </c>
    </row>
    <row r="402">
      <c r="C402" s="703" t="b">
        <v>0</v>
      </c>
      <c r="D402" s="51"/>
      <c r="E402" s="222" t="s">
        <v>3302</v>
      </c>
      <c r="F402" s="702" t="s">
        <v>7794</v>
      </c>
    </row>
    <row r="403">
      <c r="C403" s="703" t="b">
        <v>0</v>
      </c>
      <c r="D403" s="51"/>
      <c r="E403" s="222" t="s">
        <v>123</v>
      </c>
      <c r="F403" s="702" t="s">
        <v>4002</v>
      </c>
    </row>
    <row r="404">
      <c r="C404" s="703" t="b">
        <v>0</v>
      </c>
      <c r="D404" s="51"/>
      <c r="E404" s="222" t="s">
        <v>40</v>
      </c>
      <c r="F404" s="702" t="s">
        <v>7795</v>
      </c>
    </row>
    <row r="405">
      <c r="C405" s="703" t="b">
        <v>0</v>
      </c>
      <c r="D405" s="51"/>
      <c r="E405" s="222" t="s">
        <v>5913</v>
      </c>
      <c r="F405" s="702">
        <v>1.0</v>
      </c>
    </row>
    <row r="406">
      <c r="C406" s="703" t="b">
        <v>0</v>
      </c>
      <c r="D406" s="51"/>
      <c r="E406" s="222" t="s">
        <v>5957</v>
      </c>
      <c r="F406" s="702">
        <v>1.0</v>
      </c>
    </row>
    <row r="407">
      <c r="C407" s="703" t="b">
        <v>0</v>
      </c>
      <c r="D407" s="51"/>
      <c r="E407" s="222" t="s">
        <v>6779</v>
      </c>
      <c r="F407" s="702">
        <v>1.0</v>
      </c>
    </row>
    <row r="408">
      <c r="C408" s="703" t="b">
        <v>0</v>
      </c>
      <c r="D408" s="51"/>
      <c r="E408" s="222" t="s">
        <v>6996</v>
      </c>
      <c r="F408" s="702">
        <v>1.0</v>
      </c>
    </row>
    <row r="409">
      <c r="C409" s="703" t="b">
        <v>0</v>
      </c>
      <c r="D409" s="51"/>
      <c r="E409" s="222" t="s">
        <v>7150</v>
      </c>
      <c r="F409" s="702">
        <v>1.0</v>
      </c>
    </row>
    <row r="410">
      <c r="C410" s="703" t="s">
        <v>194</v>
      </c>
      <c r="D410" s="51" t="s">
        <v>194</v>
      </c>
      <c r="E410" s="222" t="s">
        <v>194</v>
      </c>
      <c r="F410" s="702" t="s">
        <v>194</v>
      </c>
    </row>
    <row r="411">
      <c r="C411" s="703" t="s">
        <v>2905</v>
      </c>
      <c r="D411" s="51" t="s">
        <v>194</v>
      </c>
      <c r="E411" s="222" t="s">
        <v>7553</v>
      </c>
      <c r="F411" s="702" t="s">
        <v>182</v>
      </c>
    </row>
    <row r="412">
      <c r="C412" s="703" t="b">
        <v>0</v>
      </c>
      <c r="D412" s="51"/>
      <c r="E412" s="222" t="s">
        <v>2900</v>
      </c>
      <c r="F412" s="702" t="s">
        <v>7796</v>
      </c>
    </row>
    <row r="413">
      <c r="C413" s="703" t="b">
        <v>0</v>
      </c>
      <c r="D413" s="51"/>
      <c r="E413" s="222" t="s">
        <v>5351</v>
      </c>
      <c r="F413" s="702">
        <v>1.0</v>
      </c>
    </row>
    <row r="414">
      <c r="C414" s="703" t="b">
        <v>0</v>
      </c>
      <c r="D414" s="51"/>
      <c r="E414" s="222" t="s">
        <v>5355</v>
      </c>
      <c r="F414" s="702">
        <v>1.0</v>
      </c>
    </row>
    <row r="415">
      <c r="C415" s="703" t="b">
        <v>0</v>
      </c>
      <c r="D415" s="51"/>
      <c r="E415" s="222" t="s">
        <v>5359</v>
      </c>
      <c r="F415" s="702">
        <v>1.0</v>
      </c>
    </row>
    <row r="416">
      <c r="C416" s="703" t="b">
        <v>0</v>
      </c>
      <c r="D416" s="51"/>
      <c r="E416" s="222" t="s">
        <v>5476</v>
      </c>
      <c r="F416" s="702">
        <v>1.0</v>
      </c>
    </row>
    <row r="417">
      <c r="C417" s="703" t="b">
        <v>0</v>
      </c>
      <c r="D417" s="51"/>
      <c r="E417" s="222" t="s">
        <v>5526</v>
      </c>
      <c r="F417" s="702">
        <v>1.0</v>
      </c>
    </row>
    <row r="418">
      <c r="C418" s="703" t="b">
        <v>0</v>
      </c>
      <c r="D418" s="51"/>
      <c r="E418" s="222" t="s">
        <v>5573</v>
      </c>
      <c r="F418" s="702">
        <v>1.0</v>
      </c>
    </row>
    <row r="419">
      <c r="C419" s="703" t="b">
        <v>0</v>
      </c>
      <c r="D419" s="51"/>
      <c r="E419" s="222" t="s">
        <v>5782</v>
      </c>
      <c r="F419" s="702">
        <v>1.0</v>
      </c>
    </row>
    <row r="420">
      <c r="C420" s="703" t="b">
        <v>0</v>
      </c>
      <c r="D420" s="51"/>
      <c r="E420" s="222" t="s">
        <v>5938</v>
      </c>
      <c r="F420" s="702">
        <v>1.0</v>
      </c>
    </row>
    <row r="421">
      <c r="C421" s="703" t="b">
        <v>0</v>
      </c>
      <c r="D421" s="51"/>
      <c r="E421" s="222" t="s">
        <v>5988</v>
      </c>
      <c r="F421" s="702">
        <v>1.0</v>
      </c>
    </row>
    <row r="422">
      <c r="C422" s="703" t="b">
        <v>0</v>
      </c>
      <c r="D422" s="51"/>
      <c r="E422" s="222" t="s">
        <v>6096</v>
      </c>
      <c r="F422" s="702">
        <v>1.0</v>
      </c>
    </row>
    <row r="423">
      <c r="C423" s="703" t="b">
        <v>0</v>
      </c>
      <c r="D423" s="51"/>
      <c r="E423" s="222" t="s">
        <v>6098</v>
      </c>
      <c r="F423" s="702">
        <v>1.0</v>
      </c>
    </row>
    <row r="424">
      <c r="C424" s="703" t="b">
        <v>0</v>
      </c>
      <c r="D424" s="51"/>
      <c r="E424" s="222" t="s">
        <v>6115</v>
      </c>
      <c r="F424" s="702">
        <v>1.0</v>
      </c>
    </row>
    <row r="425">
      <c r="C425" s="703" t="b">
        <v>0</v>
      </c>
      <c r="D425" s="51"/>
      <c r="E425" s="222" t="s">
        <v>6117</v>
      </c>
      <c r="F425" s="702">
        <v>1.0</v>
      </c>
    </row>
    <row r="426">
      <c r="C426" s="703" t="b">
        <v>0</v>
      </c>
      <c r="D426" s="51"/>
      <c r="E426" s="222" t="s">
        <v>6335</v>
      </c>
      <c r="F426" s="702">
        <v>1.0</v>
      </c>
    </row>
    <row r="427">
      <c r="C427" s="703" t="b">
        <v>0</v>
      </c>
      <c r="D427" s="51"/>
      <c r="E427" s="222" t="s">
        <v>6355</v>
      </c>
      <c r="F427" s="702">
        <v>1.0</v>
      </c>
    </row>
    <row r="428">
      <c r="C428" s="703" t="b">
        <v>0</v>
      </c>
      <c r="D428" s="51"/>
      <c r="E428" s="222" t="s">
        <v>6393</v>
      </c>
      <c r="F428" s="702">
        <v>1.0</v>
      </c>
    </row>
    <row r="429">
      <c r="C429" s="703" t="b">
        <v>0</v>
      </c>
      <c r="D429" s="51"/>
      <c r="E429" s="222" t="s">
        <v>6562</v>
      </c>
      <c r="F429" s="702">
        <v>1.0</v>
      </c>
    </row>
    <row r="430">
      <c r="C430" s="703" t="b">
        <v>0</v>
      </c>
      <c r="D430" s="51"/>
      <c r="E430" s="222" t="s">
        <v>6641</v>
      </c>
      <c r="F430" s="702">
        <v>1.0</v>
      </c>
    </row>
    <row r="431">
      <c r="C431" s="703" t="b">
        <v>0</v>
      </c>
      <c r="D431" s="51"/>
      <c r="E431" s="222" t="s">
        <v>6692</v>
      </c>
      <c r="F431" s="702">
        <v>1.0</v>
      </c>
    </row>
    <row r="432">
      <c r="C432" s="703" t="b">
        <v>0</v>
      </c>
      <c r="D432" s="51"/>
      <c r="E432" s="222" t="s">
        <v>6781</v>
      </c>
      <c r="F432" s="702">
        <v>1.0</v>
      </c>
    </row>
    <row r="433">
      <c r="C433" s="703" t="b">
        <v>0</v>
      </c>
      <c r="D433" s="51"/>
      <c r="E433" s="222" t="s">
        <v>6783</v>
      </c>
      <c r="F433" s="702">
        <v>1.0</v>
      </c>
    </row>
    <row r="434">
      <c r="C434" s="703" t="b">
        <v>0</v>
      </c>
      <c r="D434" s="51"/>
      <c r="E434" s="222" t="s">
        <v>6786</v>
      </c>
      <c r="F434" s="702">
        <v>1.0</v>
      </c>
    </row>
    <row r="435">
      <c r="C435" s="703" t="b">
        <v>0</v>
      </c>
      <c r="D435" s="51"/>
      <c r="E435" s="222" t="s">
        <v>6796</v>
      </c>
      <c r="F435" s="702">
        <v>1.0</v>
      </c>
    </row>
    <row r="436">
      <c r="C436" s="703" t="b">
        <v>0</v>
      </c>
      <c r="D436" s="51"/>
      <c r="E436" s="222" t="s">
        <v>6831</v>
      </c>
      <c r="F436" s="702">
        <v>1.0</v>
      </c>
    </row>
    <row r="437">
      <c r="C437" s="703" t="b">
        <v>0</v>
      </c>
      <c r="D437" s="51"/>
      <c r="E437" s="222" t="s">
        <v>6945</v>
      </c>
      <c r="F437" s="702">
        <v>1.0</v>
      </c>
    </row>
    <row r="438">
      <c r="C438" s="703" t="b">
        <v>0</v>
      </c>
      <c r="D438" s="51"/>
      <c r="E438" s="222" t="s">
        <v>6946</v>
      </c>
      <c r="F438" s="702">
        <v>1.0</v>
      </c>
    </row>
    <row r="439">
      <c r="C439" s="703" t="b">
        <v>0</v>
      </c>
      <c r="D439" s="51"/>
      <c r="E439" s="222" t="s">
        <v>7104</v>
      </c>
      <c r="F439" s="702">
        <v>1.0</v>
      </c>
    </row>
    <row r="440">
      <c r="C440" s="703" t="s">
        <v>194</v>
      </c>
      <c r="D440" s="51" t="s">
        <v>194</v>
      </c>
      <c r="E440" s="222" t="s">
        <v>194</v>
      </c>
      <c r="F440" s="702" t="s">
        <v>194</v>
      </c>
    </row>
    <row r="441">
      <c r="C441" s="703" t="s">
        <v>3053</v>
      </c>
      <c r="D441" s="51" t="s">
        <v>194</v>
      </c>
      <c r="E441" s="222" t="s">
        <v>7553</v>
      </c>
      <c r="F441" s="702" t="s">
        <v>182</v>
      </c>
    </row>
    <row r="442">
      <c r="C442" s="703" t="b">
        <v>0</v>
      </c>
      <c r="D442" s="51"/>
      <c r="E442" s="222" t="s">
        <v>3048</v>
      </c>
      <c r="F442" s="702" t="s">
        <v>7797</v>
      </c>
    </row>
    <row r="443">
      <c r="C443" s="703" t="b">
        <v>0</v>
      </c>
      <c r="D443" s="51"/>
      <c r="E443" s="222" t="s">
        <v>44</v>
      </c>
      <c r="F443" s="702" t="s">
        <v>4901</v>
      </c>
    </row>
    <row r="444">
      <c r="C444" s="703" t="b">
        <v>0</v>
      </c>
      <c r="D444" s="51"/>
      <c r="E444" s="222" t="s">
        <v>4911</v>
      </c>
      <c r="F444" s="702" t="s">
        <v>7798</v>
      </c>
    </row>
    <row r="445">
      <c r="C445" s="703" t="s">
        <v>194</v>
      </c>
      <c r="D445" s="51" t="s">
        <v>194</v>
      </c>
      <c r="E445" s="222" t="s">
        <v>194</v>
      </c>
      <c r="F445" s="702" t="s">
        <v>194</v>
      </c>
    </row>
    <row r="446">
      <c r="C446" s="703" t="s">
        <v>3057</v>
      </c>
      <c r="D446" s="51" t="s">
        <v>194</v>
      </c>
      <c r="E446" s="222" t="s">
        <v>7553</v>
      </c>
      <c r="F446" s="702" t="s">
        <v>182</v>
      </c>
    </row>
    <row r="447">
      <c r="C447" s="703" t="b">
        <v>0</v>
      </c>
      <c r="D447" s="51"/>
      <c r="E447" s="222" t="s">
        <v>3057</v>
      </c>
      <c r="F447" s="702" t="s">
        <v>7799</v>
      </c>
    </row>
    <row r="448">
      <c r="C448" s="703" t="s">
        <v>194</v>
      </c>
      <c r="D448" s="51" t="s">
        <v>194</v>
      </c>
      <c r="E448" s="222" t="s">
        <v>194</v>
      </c>
      <c r="F448" s="702" t="s">
        <v>194</v>
      </c>
    </row>
    <row r="449">
      <c r="C449" s="703" t="s">
        <v>3086</v>
      </c>
      <c r="D449" s="51" t="s">
        <v>194</v>
      </c>
      <c r="E449" s="222" t="s">
        <v>7553</v>
      </c>
      <c r="F449" s="702" t="s">
        <v>182</v>
      </c>
    </row>
    <row r="450">
      <c r="C450" s="703" t="b">
        <v>0</v>
      </c>
      <c r="D450" s="51"/>
      <c r="E450" s="222" t="s">
        <v>3081</v>
      </c>
      <c r="F450" s="702" t="s">
        <v>7604</v>
      </c>
    </row>
    <row r="451">
      <c r="C451" s="703" t="b">
        <v>0</v>
      </c>
      <c r="D451" s="51"/>
      <c r="E451" s="222" t="s">
        <v>3087</v>
      </c>
      <c r="F451" s="702" t="s">
        <v>7605</v>
      </c>
    </row>
    <row r="452">
      <c r="C452" s="703" t="b">
        <v>0</v>
      </c>
      <c r="D452" s="51"/>
      <c r="E452" s="222" t="s">
        <v>3091</v>
      </c>
      <c r="F452" s="702" t="s">
        <v>7606</v>
      </c>
    </row>
    <row r="453">
      <c r="C453" s="703" t="b">
        <v>0</v>
      </c>
      <c r="D453" s="51"/>
      <c r="E453" s="222" t="s">
        <v>3095</v>
      </c>
      <c r="F453" s="702" t="s">
        <v>7607</v>
      </c>
    </row>
    <row r="454">
      <c r="C454" s="703" t="b">
        <v>0</v>
      </c>
      <c r="D454" s="51"/>
      <c r="E454" s="222" t="s">
        <v>3100</v>
      </c>
      <c r="F454" s="702" t="s">
        <v>3101</v>
      </c>
    </row>
    <row r="455">
      <c r="C455" s="703" t="s">
        <v>194</v>
      </c>
      <c r="D455" s="51" t="s">
        <v>194</v>
      </c>
      <c r="E455" s="222" t="s">
        <v>194</v>
      </c>
      <c r="F455" s="702" t="s">
        <v>194</v>
      </c>
    </row>
    <row r="456">
      <c r="C456" s="703" t="s">
        <v>3165</v>
      </c>
      <c r="D456" s="51" t="s">
        <v>194</v>
      </c>
      <c r="E456" s="222" t="s">
        <v>7553</v>
      </c>
      <c r="F456" s="702" t="s">
        <v>182</v>
      </c>
    </row>
    <row r="457">
      <c r="C457" s="703" t="b">
        <v>0</v>
      </c>
      <c r="D457" s="51"/>
      <c r="E457" s="222" t="s">
        <v>3162</v>
      </c>
      <c r="F457" s="702" t="s">
        <v>7800</v>
      </c>
    </row>
    <row r="458">
      <c r="C458" s="703" t="b">
        <v>0</v>
      </c>
      <c r="D458" s="51"/>
      <c r="E458" s="222" t="s">
        <v>4927</v>
      </c>
      <c r="F458" s="702" t="s">
        <v>7801</v>
      </c>
    </row>
    <row r="459">
      <c r="C459" s="703" t="b">
        <v>0</v>
      </c>
      <c r="D459" s="51"/>
      <c r="E459" s="222" t="s">
        <v>29</v>
      </c>
      <c r="F459" s="702" t="s">
        <v>4931</v>
      </c>
    </row>
    <row r="460">
      <c r="C460" s="703" t="s">
        <v>194</v>
      </c>
      <c r="D460" s="51" t="s">
        <v>194</v>
      </c>
      <c r="E460" s="222" t="s">
        <v>194</v>
      </c>
      <c r="F460" s="702" t="s">
        <v>194</v>
      </c>
    </row>
    <row r="461">
      <c r="C461" s="703" t="s">
        <v>3218</v>
      </c>
      <c r="D461" s="51" t="s">
        <v>194</v>
      </c>
      <c r="E461" s="222" t="s">
        <v>7553</v>
      </c>
      <c r="F461" s="702" t="s">
        <v>182</v>
      </c>
    </row>
    <row r="462">
      <c r="C462" s="703" t="b">
        <v>0</v>
      </c>
      <c r="D462" s="51"/>
      <c r="E462" s="222" t="s">
        <v>3215</v>
      </c>
      <c r="F462" s="702" t="s">
        <v>7802</v>
      </c>
    </row>
    <row r="463">
      <c r="C463" s="703" t="b">
        <v>0</v>
      </c>
      <c r="D463" s="51"/>
      <c r="E463" s="222" t="s">
        <v>5415</v>
      </c>
      <c r="F463" s="702">
        <v>64.0</v>
      </c>
    </row>
    <row r="464">
      <c r="C464" s="703" t="b">
        <v>0</v>
      </c>
      <c r="D464" s="51"/>
      <c r="E464" s="222" t="s">
        <v>5587</v>
      </c>
      <c r="F464" s="702">
        <v>1.0</v>
      </c>
    </row>
    <row r="465">
      <c r="C465" s="703" t="b">
        <v>0</v>
      </c>
      <c r="D465" s="51"/>
      <c r="E465" s="222" t="s">
        <v>5588</v>
      </c>
      <c r="F465" s="702">
        <v>1.0</v>
      </c>
    </row>
    <row r="466">
      <c r="C466" s="703" t="b">
        <v>0</v>
      </c>
      <c r="D466" s="51"/>
      <c r="E466" s="222" t="s">
        <v>5589</v>
      </c>
      <c r="F466" s="702">
        <v>1.0</v>
      </c>
    </row>
    <row r="467">
      <c r="C467" s="703" t="b">
        <v>0</v>
      </c>
      <c r="D467" s="51"/>
      <c r="E467" s="222" t="s">
        <v>5590</v>
      </c>
      <c r="F467" s="702">
        <v>1.0</v>
      </c>
    </row>
    <row r="468">
      <c r="C468" s="703" t="b">
        <v>0</v>
      </c>
      <c r="D468" s="51"/>
      <c r="E468" s="222" t="s">
        <v>5919</v>
      </c>
      <c r="F468" s="702">
        <v>64.0</v>
      </c>
    </row>
    <row r="469">
      <c r="C469" s="703" t="b">
        <v>0</v>
      </c>
      <c r="D469" s="51"/>
      <c r="E469" s="222" t="s">
        <v>5937</v>
      </c>
      <c r="F469" s="702">
        <v>64.0</v>
      </c>
    </row>
    <row r="470">
      <c r="C470" s="703" t="b">
        <v>0</v>
      </c>
      <c r="D470" s="51"/>
      <c r="E470" s="222" t="s">
        <v>5963</v>
      </c>
      <c r="F470" s="702">
        <v>64.0</v>
      </c>
    </row>
    <row r="471">
      <c r="C471" s="703" t="b">
        <v>0</v>
      </c>
      <c r="D471" s="51"/>
      <c r="E471" s="222" t="s">
        <v>6326</v>
      </c>
      <c r="F471" s="702">
        <v>64.0</v>
      </c>
    </row>
    <row r="472">
      <c r="C472" s="703" t="b">
        <v>0</v>
      </c>
      <c r="D472" s="51"/>
      <c r="E472" s="222" t="s">
        <v>2822</v>
      </c>
      <c r="F472" s="702">
        <v>64.0</v>
      </c>
    </row>
    <row r="473">
      <c r="C473" s="703" t="s">
        <v>194</v>
      </c>
      <c r="D473" s="51" t="s">
        <v>194</v>
      </c>
      <c r="E473" s="222" t="s">
        <v>194</v>
      </c>
      <c r="F473" s="702" t="s">
        <v>194</v>
      </c>
    </row>
    <row r="474">
      <c r="C474" s="703" t="s">
        <v>3641</v>
      </c>
      <c r="D474" s="51" t="s">
        <v>194</v>
      </c>
      <c r="E474" s="222" t="s">
        <v>7553</v>
      </c>
      <c r="F474" s="702" t="s">
        <v>182</v>
      </c>
    </row>
    <row r="475">
      <c r="C475" s="703" t="b">
        <v>0</v>
      </c>
      <c r="D475" s="51"/>
      <c r="E475" s="222" t="s">
        <v>3638</v>
      </c>
      <c r="F475" s="702" t="s">
        <v>3639</v>
      </c>
    </row>
    <row r="476">
      <c r="C476" s="703" t="b">
        <v>0</v>
      </c>
      <c r="D476" s="51"/>
      <c r="E476" s="222" t="s">
        <v>3667</v>
      </c>
      <c r="F476" s="702" t="s">
        <v>3669</v>
      </c>
    </row>
    <row r="477">
      <c r="C477" s="703" t="b">
        <v>0</v>
      </c>
      <c r="D477" s="51"/>
      <c r="E477" s="222" t="s">
        <v>3675</v>
      </c>
      <c r="F477" s="702" t="s">
        <v>7803</v>
      </c>
    </row>
    <row r="478">
      <c r="C478" s="703" t="b">
        <v>0</v>
      </c>
      <c r="D478" s="51"/>
      <c r="E478" s="222" t="s">
        <v>3680</v>
      </c>
      <c r="F478" s="702" t="s">
        <v>7804</v>
      </c>
    </row>
    <row r="479">
      <c r="C479" s="703" t="b">
        <v>0</v>
      </c>
      <c r="D479" s="51"/>
      <c r="E479" s="222" t="s">
        <v>3684</v>
      </c>
      <c r="F479" s="702" t="s">
        <v>7805</v>
      </c>
    </row>
    <row r="480">
      <c r="C480" s="703" t="b">
        <v>0</v>
      </c>
      <c r="D480" s="51"/>
      <c r="E480" s="222" t="s">
        <v>3688</v>
      </c>
      <c r="F480" s="702" t="s">
        <v>3689</v>
      </c>
    </row>
    <row r="481">
      <c r="C481" s="703" t="b">
        <v>0</v>
      </c>
      <c r="D481" s="51"/>
      <c r="E481" s="222" t="s">
        <v>3691</v>
      </c>
      <c r="F481" s="702" t="s">
        <v>3692</v>
      </c>
    </row>
    <row r="482">
      <c r="C482" s="703" t="b">
        <v>0</v>
      </c>
      <c r="D482" s="51"/>
      <c r="E482" s="222" t="s">
        <v>3694</v>
      </c>
      <c r="F482" s="702" t="s">
        <v>7806</v>
      </c>
    </row>
    <row r="483">
      <c r="C483" s="703" t="b">
        <v>0</v>
      </c>
      <c r="D483" s="51"/>
      <c r="E483" s="222" t="s">
        <v>3698</v>
      </c>
      <c r="F483" s="702" t="s">
        <v>3699</v>
      </c>
    </row>
    <row r="484">
      <c r="C484" s="703" t="b">
        <v>0</v>
      </c>
      <c r="D484" s="51"/>
      <c r="E484" s="222" t="s">
        <v>3738</v>
      </c>
      <c r="F484" s="702" t="s">
        <v>3739</v>
      </c>
    </row>
    <row r="485">
      <c r="C485" s="703" t="b">
        <v>0</v>
      </c>
      <c r="D485" s="51"/>
      <c r="E485" s="222" t="s">
        <v>3748</v>
      </c>
      <c r="F485" s="702" t="s">
        <v>7807</v>
      </c>
    </row>
    <row r="486">
      <c r="C486" s="703" t="b">
        <v>0</v>
      </c>
      <c r="D486" s="51"/>
      <c r="E486" s="222" t="s">
        <v>3773</v>
      </c>
      <c r="F486" s="702" t="s">
        <v>3775</v>
      </c>
    </row>
    <row r="487">
      <c r="C487" s="703" t="b">
        <v>0</v>
      </c>
      <c r="D487" s="51"/>
      <c r="E487" s="222" t="s">
        <v>3777</v>
      </c>
      <c r="F487" s="702" t="s">
        <v>7808</v>
      </c>
    </row>
    <row r="488">
      <c r="C488" s="703" t="b">
        <v>0</v>
      </c>
      <c r="D488" s="51"/>
      <c r="E488" s="222" t="s">
        <v>3782</v>
      </c>
      <c r="F488" s="702" t="s">
        <v>7809</v>
      </c>
    </row>
    <row r="489">
      <c r="C489" s="703" t="b">
        <v>0</v>
      </c>
      <c r="D489" s="51"/>
      <c r="E489" s="222" t="s">
        <v>3787</v>
      </c>
      <c r="F489" s="702" t="s">
        <v>7810</v>
      </c>
    </row>
    <row r="490">
      <c r="C490" s="703" t="b">
        <v>0</v>
      </c>
      <c r="D490" s="51"/>
      <c r="E490" s="222" t="s">
        <v>3793</v>
      </c>
      <c r="F490" s="702" t="s">
        <v>7811</v>
      </c>
    </row>
    <row r="491">
      <c r="C491" s="703" t="b">
        <v>0</v>
      </c>
      <c r="D491" s="51"/>
      <c r="E491" s="222" t="s">
        <v>3796</v>
      </c>
      <c r="F491" s="702" t="s">
        <v>7812</v>
      </c>
    </row>
    <row r="492">
      <c r="C492" s="703" t="b">
        <v>0</v>
      </c>
      <c r="D492" s="51"/>
      <c r="E492" s="222" t="s">
        <v>3799</v>
      </c>
      <c r="F492" s="702" t="s">
        <v>7813</v>
      </c>
    </row>
    <row r="493">
      <c r="C493" s="703" t="b">
        <v>0</v>
      </c>
      <c r="D493" s="51"/>
      <c r="E493" s="222" t="s">
        <v>3802</v>
      </c>
      <c r="F493" s="702" t="s">
        <v>7814</v>
      </c>
    </row>
    <row r="494">
      <c r="C494" s="703" t="b">
        <v>0</v>
      </c>
      <c r="D494" s="51"/>
      <c r="E494" s="222" t="s">
        <v>3805</v>
      </c>
      <c r="F494" s="702" t="s">
        <v>7815</v>
      </c>
    </row>
    <row r="495">
      <c r="C495" s="703" t="b">
        <v>0</v>
      </c>
      <c r="D495" s="51"/>
      <c r="E495" s="222" t="s">
        <v>3808</v>
      </c>
      <c r="F495" s="702" t="s">
        <v>7816</v>
      </c>
    </row>
    <row r="496">
      <c r="C496" s="703" t="b">
        <v>0</v>
      </c>
      <c r="D496" s="51"/>
      <c r="E496" s="222" t="s">
        <v>3811</v>
      </c>
      <c r="F496" s="702" t="s">
        <v>7817</v>
      </c>
    </row>
    <row r="497">
      <c r="C497" s="703" t="b">
        <v>0</v>
      </c>
      <c r="D497" s="51"/>
      <c r="E497" s="222" t="s">
        <v>3814</v>
      </c>
      <c r="F497" s="702" t="s">
        <v>7818</v>
      </c>
    </row>
    <row r="498">
      <c r="C498" s="703" t="b">
        <v>0</v>
      </c>
      <c r="D498" s="51"/>
      <c r="E498" s="222" t="s">
        <v>3817</v>
      </c>
      <c r="F498" s="702" t="s">
        <v>7819</v>
      </c>
    </row>
    <row r="499">
      <c r="C499" s="703" t="b">
        <v>0</v>
      </c>
      <c r="D499" s="51"/>
      <c r="E499" s="222" t="s">
        <v>3820</v>
      </c>
      <c r="F499" s="702" t="s">
        <v>7820</v>
      </c>
    </row>
    <row r="500">
      <c r="C500" s="703" t="b">
        <v>0</v>
      </c>
      <c r="D500" s="51"/>
      <c r="E500" s="222" t="s">
        <v>3823</v>
      </c>
      <c r="F500" s="702" t="s">
        <v>7821</v>
      </c>
    </row>
    <row r="501">
      <c r="C501" s="703" t="b">
        <v>0</v>
      </c>
      <c r="D501" s="51"/>
      <c r="E501" s="222" t="s">
        <v>109</v>
      </c>
      <c r="F501" s="702" t="s">
        <v>3961</v>
      </c>
    </row>
    <row r="502">
      <c r="C502" s="703" t="b">
        <v>0</v>
      </c>
      <c r="D502" s="51"/>
      <c r="E502" s="222" t="s">
        <v>115</v>
      </c>
      <c r="F502" s="702" t="s">
        <v>4013</v>
      </c>
    </row>
    <row r="503">
      <c r="C503" s="703" t="b">
        <v>0</v>
      </c>
      <c r="D503" s="51"/>
      <c r="E503" s="222" t="s">
        <v>4021</v>
      </c>
      <c r="F503" s="702" t="s">
        <v>4022</v>
      </c>
    </row>
    <row r="504">
      <c r="C504" s="703" t="b">
        <v>0</v>
      </c>
      <c r="D504" s="51"/>
      <c r="E504" s="222" t="s">
        <v>33</v>
      </c>
      <c r="F504" s="702" t="s">
        <v>7822</v>
      </c>
    </row>
    <row r="505">
      <c r="C505" s="703" t="s">
        <v>194</v>
      </c>
      <c r="D505" s="51" t="s">
        <v>194</v>
      </c>
      <c r="E505" s="222" t="s">
        <v>194</v>
      </c>
      <c r="F505" s="702" t="s">
        <v>194</v>
      </c>
    </row>
    <row r="506">
      <c r="C506" s="703" t="s">
        <v>3943</v>
      </c>
      <c r="D506" s="51" t="s">
        <v>194</v>
      </c>
      <c r="E506" s="222" t="s">
        <v>7553</v>
      </c>
      <c r="F506" s="702" t="s">
        <v>182</v>
      </c>
    </row>
    <row r="507">
      <c r="C507" s="703" t="b">
        <v>0</v>
      </c>
      <c r="D507" s="51"/>
      <c r="E507" s="222" t="s">
        <v>3939</v>
      </c>
      <c r="F507" s="702" t="s">
        <v>3941</v>
      </c>
    </row>
    <row r="508">
      <c r="C508" s="703" t="b">
        <v>0</v>
      </c>
      <c r="D508" s="51"/>
      <c r="E508" s="222" t="s">
        <v>3944</v>
      </c>
      <c r="F508" s="702" t="s">
        <v>3946</v>
      </c>
    </row>
    <row r="509">
      <c r="C509" s="703" t="b">
        <v>0</v>
      </c>
      <c r="D509" s="51"/>
      <c r="E509" s="222" t="s">
        <v>4647</v>
      </c>
      <c r="F509" s="702" t="s">
        <v>7823</v>
      </c>
    </row>
    <row r="510">
      <c r="C510" s="703" t="b">
        <v>0</v>
      </c>
      <c r="D510" s="51"/>
      <c r="E510" s="222" t="s">
        <v>4713</v>
      </c>
      <c r="F510" s="702" t="s">
        <v>7824</v>
      </c>
    </row>
    <row r="511">
      <c r="C511" s="703" t="b">
        <v>0</v>
      </c>
      <c r="D511" s="51"/>
      <c r="E511" s="222" t="s">
        <v>4727</v>
      </c>
      <c r="F511" s="702" t="s">
        <v>7825</v>
      </c>
    </row>
    <row r="512">
      <c r="C512" s="703" t="b">
        <v>0</v>
      </c>
      <c r="D512" s="51"/>
      <c r="E512" s="222" t="s">
        <v>4760</v>
      </c>
      <c r="F512" s="702" t="s">
        <v>7826</v>
      </c>
    </row>
    <row r="513">
      <c r="C513" s="703" t="b">
        <v>0</v>
      </c>
      <c r="D513" s="51"/>
      <c r="E513" s="222" t="s">
        <v>4769</v>
      </c>
      <c r="F513" s="702" t="s">
        <v>4771</v>
      </c>
    </row>
    <row r="514">
      <c r="C514" s="703" t="b">
        <v>0</v>
      </c>
      <c r="D514" s="51"/>
      <c r="E514" s="222" t="s">
        <v>4773</v>
      </c>
      <c r="F514" s="702" t="s">
        <v>4774</v>
      </c>
    </row>
    <row r="515">
      <c r="C515" s="703" t="b">
        <v>0</v>
      </c>
      <c r="D515" s="51"/>
      <c r="E515" s="222" t="s">
        <v>4817</v>
      </c>
      <c r="F515" s="702" t="s">
        <v>7827</v>
      </c>
    </row>
    <row r="516">
      <c r="C516" s="703" t="s">
        <v>194</v>
      </c>
      <c r="D516" s="51" t="s">
        <v>194</v>
      </c>
      <c r="E516" s="222" t="s">
        <v>194</v>
      </c>
      <c r="F516" s="702" t="s">
        <v>194</v>
      </c>
    </row>
    <row r="517">
      <c r="C517" s="703" t="s">
        <v>4104</v>
      </c>
      <c r="D517" s="51" t="s">
        <v>194</v>
      </c>
      <c r="E517" s="222" t="s">
        <v>7553</v>
      </c>
      <c r="F517" s="702" t="s">
        <v>182</v>
      </c>
    </row>
    <row r="518">
      <c r="C518" s="703" t="b">
        <v>0</v>
      </c>
      <c r="D518" s="51"/>
      <c r="E518" s="222" t="s">
        <v>4100</v>
      </c>
      <c r="F518" s="702" t="s">
        <v>4101</v>
      </c>
    </row>
    <row r="519">
      <c r="C519" s="703" t="b">
        <v>0</v>
      </c>
      <c r="D519" s="51"/>
      <c r="E519" s="222" t="s">
        <v>4122</v>
      </c>
      <c r="F519" s="702" t="s">
        <v>4124</v>
      </c>
    </row>
    <row r="520">
      <c r="C520" s="703" t="b">
        <v>0</v>
      </c>
      <c r="D520" s="51"/>
      <c r="E520" s="222" t="s">
        <v>4195</v>
      </c>
      <c r="F520" s="702" t="s">
        <v>7602</v>
      </c>
    </row>
    <row r="521">
      <c r="C521" s="703" t="b">
        <v>0</v>
      </c>
      <c r="D521" s="51"/>
      <c r="E521" s="222" t="s">
        <v>4200</v>
      </c>
      <c r="F521" s="702" t="s">
        <v>4202</v>
      </c>
    </row>
    <row r="522">
      <c r="C522" s="703" t="b">
        <v>0</v>
      </c>
      <c r="D522" s="51"/>
      <c r="E522" s="222" t="s">
        <v>4237</v>
      </c>
      <c r="F522" s="702" t="s">
        <v>7603</v>
      </c>
    </row>
    <row r="523">
      <c r="C523" s="703" t="s">
        <v>194</v>
      </c>
      <c r="D523" s="51" t="s">
        <v>194</v>
      </c>
      <c r="E523" s="222" t="s">
        <v>194</v>
      </c>
      <c r="F523" s="702" t="s">
        <v>194</v>
      </c>
    </row>
    <row r="524">
      <c r="C524" s="703" t="s">
        <v>4133</v>
      </c>
      <c r="D524" s="51" t="s">
        <v>194</v>
      </c>
      <c r="E524" s="222" t="s">
        <v>7553</v>
      </c>
      <c r="F524" s="702" t="s">
        <v>182</v>
      </c>
    </row>
    <row r="525">
      <c r="C525" s="703" t="b">
        <v>0</v>
      </c>
      <c r="D525" s="51"/>
      <c r="E525" s="222" t="s">
        <v>4129</v>
      </c>
      <c r="F525" s="702" t="s">
        <v>4131</v>
      </c>
    </row>
    <row r="526">
      <c r="C526" s="703" t="s">
        <v>194</v>
      </c>
      <c r="D526" s="51" t="s">
        <v>194</v>
      </c>
      <c r="E526" s="222" t="s">
        <v>194</v>
      </c>
      <c r="F526" s="702" t="s">
        <v>194</v>
      </c>
    </row>
    <row r="527">
      <c r="C527" s="703" t="s">
        <v>4425</v>
      </c>
      <c r="D527" s="51" t="s">
        <v>194</v>
      </c>
      <c r="E527" s="222" t="s">
        <v>7553</v>
      </c>
      <c r="F527" s="702" t="s">
        <v>182</v>
      </c>
    </row>
    <row r="528">
      <c r="C528" s="703" t="b">
        <v>0</v>
      </c>
      <c r="D528" s="51"/>
      <c r="E528" s="222" t="s">
        <v>4421</v>
      </c>
      <c r="F528" s="702" t="s">
        <v>7828</v>
      </c>
    </row>
    <row r="529">
      <c r="C529" s="703" t="s">
        <v>194</v>
      </c>
      <c r="D529" s="51" t="s">
        <v>194</v>
      </c>
      <c r="E529" s="222" t="s">
        <v>194</v>
      </c>
      <c r="F529" s="702" t="s">
        <v>194</v>
      </c>
    </row>
    <row r="530">
      <c r="C530" s="703" t="s">
        <v>4513</v>
      </c>
      <c r="D530" s="51" t="s">
        <v>194</v>
      </c>
      <c r="E530" s="222" t="s">
        <v>7553</v>
      </c>
      <c r="F530" s="702" t="s">
        <v>182</v>
      </c>
    </row>
    <row r="531">
      <c r="C531" s="703" t="b">
        <v>0</v>
      </c>
      <c r="D531" s="51"/>
      <c r="E531" s="222" t="s">
        <v>4509</v>
      </c>
      <c r="F531" s="702" t="s">
        <v>7829</v>
      </c>
    </row>
    <row r="532">
      <c r="C532" s="703" t="b">
        <v>0</v>
      </c>
      <c r="D532" s="51"/>
      <c r="E532" s="222" t="s">
        <v>4554</v>
      </c>
      <c r="F532" s="702" t="s">
        <v>7830</v>
      </c>
    </row>
    <row r="533">
      <c r="C533" s="703" t="b">
        <v>0</v>
      </c>
      <c r="D533" s="51"/>
      <c r="E533" s="222" t="s">
        <v>4561</v>
      </c>
      <c r="F533" s="702" t="s">
        <v>7831</v>
      </c>
    </row>
    <row r="534">
      <c r="C534" s="703" t="b">
        <v>0</v>
      </c>
      <c r="D534" s="51"/>
      <c r="E534" s="222" t="s">
        <v>4592</v>
      </c>
      <c r="F534" s="702" t="s">
        <v>7832</v>
      </c>
    </row>
    <row r="535">
      <c r="C535" s="703" t="b">
        <v>0</v>
      </c>
      <c r="D535" s="51"/>
      <c r="E535" s="222" t="s">
        <v>4617</v>
      </c>
      <c r="F535" s="702" t="s">
        <v>7833</v>
      </c>
    </row>
    <row r="536">
      <c r="C536" s="703" t="b">
        <v>0</v>
      </c>
      <c r="D536" s="51"/>
      <c r="E536" s="222" t="s">
        <v>4620</v>
      </c>
      <c r="F536" s="702" t="s">
        <v>7834</v>
      </c>
    </row>
    <row r="537">
      <c r="C537" s="703" t="s">
        <v>194</v>
      </c>
      <c r="D537" s="51" t="s">
        <v>194</v>
      </c>
      <c r="E537" s="222" t="s">
        <v>194</v>
      </c>
      <c r="F537" s="702" t="s">
        <v>194</v>
      </c>
    </row>
    <row r="538">
      <c r="C538" s="703" t="s">
        <v>4683</v>
      </c>
      <c r="D538" s="51" t="s">
        <v>194</v>
      </c>
      <c r="E538" s="222" t="s">
        <v>7553</v>
      </c>
      <c r="F538" s="702" t="s">
        <v>182</v>
      </c>
    </row>
    <row r="539">
      <c r="C539" s="703" t="b">
        <v>0</v>
      </c>
      <c r="D539" s="51"/>
      <c r="E539" s="222" t="s">
        <v>4678</v>
      </c>
      <c r="F539" s="702" t="s">
        <v>7835</v>
      </c>
    </row>
    <row r="540">
      <c r="C540" s="703" t="b">
        <v>0</v>
      </c>
      <c r="D540" s="51"/>
      <c r="E540" s="222" t="s">
        <v>4893</v>
      </c>
      <c r="F540" s="702" t="s">
        <v>7836</v>
      </c>
    </row>
    <row r="541">
      <c r="C541" s="703" t="b">
        <v>0</v>
      </c>
      <c r="D541" s="51"/>
      <c r="E541" s="222" t="s">
        <v>4897</v>
      </c>
      <c r="F541" s="702" t="s">
        <v>7837</v>
      </c>
    </row>
    <row r="542">
      <c r="C542" s="703" t="s">
        <v>194</v>
      </c>
      <c r="D542" s="51" t="s">
        <v>194</v>
      </c>
      <c r="E542" s="222" t="s">
        <v>194</v>
      </c>
      <c r="F542" s="702" t="s">
        <v>194</v>
      </c>
    </row>
    <row r="543">
      <c r="C543" s="703" t="s">
        <v>4907</v>
      </c>
      <c r="D543" s="51" t="s">
        <v>194</v>
      </c>
      <c r="E543" s="222" t="s">
        <v>7553</v>
      </c>
      <c r="F543" s="702" t="s">
        <v>182</v>
      </c>
    </row>
    <row r="544">
      <c r="C544" s="703" t="b">
        <v>0</v>
      </c>
      <c r="D544" s="51"/>
      <c r="E544" s="222" t="s">
        <v>4904</v>
      </c>
      <c r="F544" s="702" t="s">
        <v>4905</v>
      </c>
    </row>
    <row r="545">
      <c r="C545" s="703" t="s">
        <v>194</v>
      </c>
      <c r="D545" s="51" t="s">
        <v>194</v>
      </c>
      <c r="E545" s="222" t="s">
        <v>194</v>
      </c>
      <c r="F545" s="702" t="s">
        <v>194</v>
      </c>
    </row>
    <row r="546">
      <c r="C546" s="703" t="s">
        <v>4936</v>
      </c>
      <c r="D546" s="51" t="s">
        <v>194</v>
      </c>
      <c r="E546" s="222" t="s">
        <v>7553</v>
      </c>
      <c r="F546" s="702" t="s">
        <v>182</v>
      </c>
    </row>
    <row r="547">
      <c r="C547" s="703" t="b">
        <v>0</v>
      </c>
      <c r="D547" s="51"/>
      <c r="E547" s="222" t="s">
        <v>4933</v>
      </c>
      <c r="F547" s="702" t="s">
        <v>7838</v>
      </c>
    </row>
    <row r="548">
      <c r="C548" s="703" t="s">
        <v>194</v>
      </c>
      <c r="D548" s="51" t="s">
        <v>194</v>
      </c>
      <c r="E548" s="222" t="s">
        <v>194</v>
      </c>
      <c r="F548" s="702" t="s">
        <v>194</v>
      </c>
    </row>
    <row r="549">
      <c r="C549" s="703" t="s">
        <v>4942</v>
      </c>
      <c r="D549" s="51" t="s">
        <v>194</v>
      </c>
      <c r="E549" s="222" t="s">
        <v>7553</v>
      </c>
      <c r="F549" s="702" t="s">
        <v>182</v>
      </c>
    </row>
    <row r="550">
      <c r="C550" s="703" t="b">
        <v>0</v>
      </c>
      <c r="D550" s="51"/>
      <c r="E550" s="222" t="s">
        <v>4937</v>
      </c>
      <c r="F550" s="702" t="s">
        <v>7601</v>
      </c>
    </row>
    <row r="551">
      <c r="C551" s="703" t="b">
        <v>0</v>
      </c>
      <c r="D551" s="51"/>
      <c r="E551" s="222" t="s">
        <v>4949</v>
      </c>
      <c r="F551" s="702" t="s">
        <v>4950</v>
      </c>
    </row>
    <row r="552">
      <c r="C552" s="703" t="s">
        <v>194</v>
      </c>
      <c r="D552" s="51" t="s">
        <v>194</v>
      </c>
      <c r="E552" s="222" t="s">
        <v>194</v>
      </c>
      <c r="F552" s="702" t="s">
        <v>194</v>
      </c>
    </row>
    <row r="553">
      <c r="C553" s="703" t="s">
        <v>5110</v>
      </c>
      <c r="D553" s="51" t="s">
        <v>194</v>
      </c>
      <c r="E553" s="222" t="s">
        <v>7553</v>
      </c>
      <c r="F553" s="702" t="s">
        <v>182</v>
      </c>
    </row>
    <row r="554">
      <c r="C554" s="703" t="b">
        <v>0</v>
      </c>
      <c r="D554" s="51"/>
      <c r="E554" s="222" t="s">
        <v>5105</v>
      </c>
      <c r="F554" s="702" t="s">
        <v>7839</v>
      </c>
    </row>
    <row r="555">
      <c r="C555" s="703" t="b">
        <v>0</v>
      </c>
      <c r="D555" s="51"/>
      <c r="E555" s="222" t="s">
        <v>5653</v>
      </c>
      <c r="F555" s="702">
        <v>64.0</v>
      </c>
    </row>
    <row r="556">
      <c r="C556" s="703" t="b">
        <v>0</v>
      </c>
      <c r="D556" s="51"/>
      <c r="E556" s="222" t="s">
        <v>5654</v>
      </c>
      <c r="F556" s="702">
        <v>64.0</v>
      </c>
    </row>
    <row r="557">
      <c r="C557" s="703" t="b">
        <v>0</v>
      </c>
      <c r="D557" s="51"/>
      <c r="E557" s="222" t="s">
        <v>5698</v>
      </c>
      <c r="F557" s="702">
        <v>64.0</v>
      </c>
    </row>
    <row r="558">
      <c r="C558" s="703" t="b">
        <v>0</v>
      </c>
      <c r="D558" s="51"/>
      <c r="E558" s="222" t="s">
        <v>5861</v>
      </c>
      <c r="F558" s="702">
        <v>64.0</v>
      </c>
    </row>
    <row r="559">
      <c r="C559" s="703" t="b">
        <v>0</v>
      </c>
      <c r="D559" s="51"/>
      <c r="E559" s="222" t="s">
        <v>5863</v>
      </c>
      <c r="F559" s="702">
        <v>64.0</v>
      </c>
    </row>
    <row r="560">
      <c r="C560" s="703" t="b">
        <v>0</v>
      </c>
      <c r="D560" s="51"/>
      <c r="E560" s="222" t="s">
        <v>5865</v>
      </c>
      <c r="F560" s="702">
        <v>64.0</v>
      </c>
    </row>
    <row r="561">
      <c r="C561" s="703" t="b">
        <v>0</v>
      </c>
      <c r="D561" s="51"/>
      <c r="E561" s="222" t="s">
        <v>5867</v>
      </c>
      <c r="F561" s="702">
        <v>64.0</v>
      </c>
    </row>
    <row r="562">
      <c r="C562" s="703" t="b">
        <v>0</v>
      </c>
      <c r="D562" s="51"/>
      <c r="E562" s="222" t="s">
        <v>5869</v>
      </c>
      <c r="F562" s="702">
        <v>64.0</v>
      </c>
    </row>
    <row r="563">
      <c r="C563" s="703" t="b">
        <v>0</v>
      </c>
      <c r="D563" s="51"/>
      <c r="E563" s="222" t="s">
        <v>5871</v>
      </c>
      <c r="F563" s="702">
        <v>64.0</v>
      </c>
    </row>
    <row r="564">
      <c r="C564" s="703" t="b">
        <v>0</v>
      </c>
      <c r="D564" s="51"/>
      <c r="E564" s="222" t="s">
        <v>5882</v>
      </c>
      <c r="F564" s="702">
        <v>64.0</v>
      </c>
    </row>
    <row r="565">
      <c r="C565" s="703" t="b">
        <v>0</v>
      </c>
      <c r="D565" s="51"/>
      <c r="E565" s="222" t="s">
        <v>6135</v>
      </c>
      <c r="F565" s="702">
        <v>64.0</v>
      </c>
    </row>
    <row r="566">
      <c r="C566" s="703" t="b">
        <v>0</v>
      </c>
      <c r="D566" s="51"/>
      <c r="E566" s="222" t="s">
        <v>6178</v>
      </c>
      <c r="F566" s="702">
        <v>64.0</v>
      </c>
    </row>
    <row r="567">
      <c r="C567" s="703" t="b">
        <v>0</v>
      </c>
      <c r="D567" s="51"/>
      <c r="E567" s="222" t="s">
        <v>6180</v>
      </c>
      <c r="F567" s="702">
        <v>64.0</v>
      </c>
    </row>
    <row r="568">
      <c r="C568" s="703" t="b">
        <v>0</v>
      </c>
      <c r="D568" s="51"/>
      <c r="E568" s="222" t="s">
        <v>6417</v>
      </c>
      <c r="F568" s="702">
        <v>64.0</v>
      </c>
    </row>
    <row r="569">
      <c r="C569" s="703" t="b">
        <v>0</v>
      </c>
      <c r="D569" s="51"/>
      <c r="E569" s="222" t="s">
        <v>6418</v>
      </c>
      <c r="F569" s="702">
        <v>64.0</v>
      </c>
    </row>
    <row r="570">
      <c r="C570" s="703" t="b">
        <v>0</v>
      </c>
      <c r="D570" s="51"/>
      <c r="E570" s="222" t="s">
        <v>6695</v>
      </c>
      <c r="F570" s="702">
        <v>64.0</v>
      </c>
    </row>
    <row r="571">
      <c r="C571" s="703" t="b">
        <v>0</v>
      </c>
      <c r="D571" s="51"/>
      <c r="E571" s="222" t="s">
        <v>6697</v>
      </c>
      <c r="F571" s="702">
        <v>64.0</v>
      </c>
    </row>
    <row r="572">
      <c r="C572" s="703" t="b">
        <v>0</v>
      </c>
      <c r="D572" s="51"/>
      <c r="E572" s="222" t="s">
        <v>6699</v>
      </c>
      <c r="F572" s="702">
        <v>64.0</v>
      </c>
    </row>
    <row r="573">
      <c r="C573" s="703" t="b">
        <v>0</v>
      </c>
      <c r="D573" s="51"/>
      <c r="E573" s="222" t="s">
        <v>6743</v>
      </c>
      <c r="F573" s="702">
        <v>64.0</v>
      </c>
    </row>
    <row r="574">
      <c r="C574" s="703" t="b">
        <v>0</v>
      </c>
      <c r="D574" s="51"/>
      <c r="E574" s="222" t="s">
        <v>6745</v>
      </c>
      <c r="F574" s="702">
        <v>64.0</v>
      </c>
    </row>
    <row r="575">
      <c r="C575" s="703" t="s">
        <v>194</v>
      </c>
      <c r="D575" s="51" t="s">
        <v>194</v>
      </c>
      <c r="E575" s="222" t="s">
        <v>194</v>
      </c>
      <c r="F575" s="702" t="s">
        <v>194</v>
      </c>
    </row>
    <row r="576">
      <c r="C576" s="703" t="s">
        <v>5341</v>
      </c>
      <c r="D576" s="51" t="s">
        <v>194</v>
      </c>
      <c r="E576" s="222" t="s">
        <v>7553</v>
      </c>
      <c r="F576" s="702" t="s">
        <v>182</v>
      </c>
    </row>
    <row r="577">
      <c r="C577" s="703" t="s">
        <v>194</v>
      </c>
      <c r="D577" s="51" t="s">
        <v>194</v>
      </c>
      <c r="E577" s="222" t="s">
        <v>194</v>
      </c>
      <c r="F577" s="702" t="s">
        <v>194</v>
      </c>
    </row>
    <row r="578">
      <c r="C578" s="703" t="b">
        <v>0</v>
      </c>
      <c r="D578" s="51"/>
      <c r="E578" s="222" t="s">
        <v>5342</v>
      </c>
      <c r="F578" s="702">
        <v>64.0</v>
      </c>
    </row>
    <row r="579">
      <c r="C579" s="703" t="b">
        <v>0</v>
      </c>
      <c r="D579" s="51"/>
      <c r="E579" s="222" t="s">
        <v>6269</v>
      </c>
      <c r="F579" s="702">
        <v>64.0</v>
      </c>
    </row>
    <row r="580">
      <c r="C580" s="703" t="b">
        <v>0</v>
      </c>
      <c r="D580" s="51"/>
      <c r="E580" s="222" t="s">
        <v>6427</v>
      </c>
      <c r="F580" s="702">
        <v>1.0</v>
      </c>
    </row>
    <row r="581">
      <c r="C581" s="703" t="b">
        <v>0</v>
      </c>
      <c r="D581" s="51"/>
      <c r="E581" s="222" t="s">
        <v>6433</v>
      </c>
      <c r="F581" s="702">
        <v>64.0</v>
      </c>
    </row>
    <row r="582">
      <c r="C582" s="703" t="b">
        <v>0</v>
      </c>
      <c r="D582" s="51"/>
      <c r="E582" s="222" t="s">
        <v>6437</v>
      </c>
      <c r="F582" s="702">
        <v>64.0</v>
      </c>
    </row>
    <row r="583">
      <c r="C583" s="703" t="s">
        <v>194</v>
      </c>
      <c r="D583" s="51" t="s">
        <v>194</v>
      </c>
      <c r="E583" s="222" t="s">
        <v>194</v>
      </c>
      <c r="F583" s="702" t="s">
        <v>194</v>
      </c>
    </row>
    <row r="584">
      <c r="C584" s="703" t="s">
        <v>5510</v>
      </c>
      <c r="D584" s="51" t="s">
        <v>194</v>
      </c>
      <c r="E584" s="222" t="s">
        <v>7553</v>
      </c>
      <c r="F584" s="702" t="s">
        <v>182</v>
      </c>
    </row>
    <row r="585">
      <c r="C585" s="703" t="s">
        <v>194</v>
      </c>
      <c r="D585" s="51" t="s">
        <v>194</v>
      </c>
      <c r="E585" s="222" t="s">
        <v>194</v>
      </c>
      <c r="F585" s="702" t="s">
        <v>194</v>
      </c>
    </row>
    <row r="586">
      <c r="C586" s="703" t="b">
        <v>0</v>
      </c>
      <c r="D586" s="51"/>
      <c r="E586" s="222" t="s">
        <v>5511</v>
      </c>
      <c r="F586" s="702">
        <v>64.0</v>
      </c>
    </row>
    <row r="587">
      <c r="C587" s="703" t="b">
        <v>0</v>
      </c>
      <c r="D587" s="51"/>
      <c r="E587" s="222" t="s">
        <v>6422</v>
      </c>
      <c r="F587" s="702">
        <v>64.0</v>
      </c>
    </row>
    <row r="588">
      <c r="C588" s="703" t="b">
        <v>0</v>
      </c>
      <c r="D588" s="51"/>
      <c r="E588" s="222" t="s">
        <v>7153</v>
      </c>
      <c r="F588" s="702">
        <v>64.0</v>
      </c>
    </row>
    <row r="589">
      <c r="C589" s="703" t="b">
        <v>0</v>
      </c>
      <c r="D589" s="51"/>
      <c r="E589" s="222" t="s">
        <v>7154</v>
      </c>
      <c r="F589" s="702">
        <v>64.0</v>
      </c>
    </row>
    <row r="590">
      <c r="C590" s="703" t="s">
        <v>194</v>
      </c>
      <c r="D590" s="51" t="s">
        <v>194</v>
      </c>
      <c r="E590" s="222" t="s">
        <v>194</v>
      </c>
      <c r="F590" s="702" t="s">
        <v>194</v>
      </c>
    </row>
    <row r="591">
      <c r="C591" s="703" t="s">
        <v>5518</v>
      </c>
      <c r="D591" s="51" t="s">
        <v>194</v>
      </c>
      <c r="E591" s="222" t="s">
        <v>7553</v>
      </c>
      <c r="F591" s="702" t="s">
        <v>182</v>
      </c>
    </row>
    <row r="592">
      <c r="C592" s="703" t="s">
        <v>194</v>
      </c>
      <c r="D592" s="51" t="s">
        <v>194</v>
      </c>
      <c r="E592" s="222" t="s">
        <v>194</v>
      </c>
      <c r="F592" s="702" t="s">
        <v>194</v>
      </c>
    </row>
    <row r="593">
      <c r="C593" s="703" t="b">
        <v>0</v>
      </c>
      <c r="D593" s="51"/>
      <c r="E593" s="222" t="s">
        <v>5519</v>
      </c>
      <c r="F593" s="702">
        <v>64.0</v>
      </c>
    </row>
    <row r="594">
      <c r="C594" s="703" t="b">
        <v>0</v>
      </c>
      <c r="D594" s="51"/>
      <c r="E594" s="222" t="s">
        <v>5520</v>
      </c>
      <c r="F594" s="702">
        <v>64.0</v>
      </c>
    </row>
    <row r="595">
      <c r="C595" s="703" t="b">
        <v>0</v>
      </c>
      <c r="D595" s="51"/>
      <c r="E595" s="222" t="s">
        <v>5522</v>
      </c>
      <c r="F595" s="702">
        <v>64.0</v>
      </c>
    </row>
    <row r="596">
      <c r="C596" s="703" t="b">
        <v>0</v>
      </c>
      <c r="D596" s="51"/>
      <c r="E596" s="222" t="s">
        <v>5566</v>
      </c>
      <c r="F596" s="702">
        <v>64.0</v>
      </c>
    </row>
    <row r="597">
      <c r="C597" s="703" t="b">
        <v>0</v>
      </c>
      <c r="D597" s="51"/>
      <c r="E597" s="222" t="s">
        <v>5568</v>
      </c>
      <c r="F597" s="702">
        <v>64.0</v>
      </c>
    </row>
    <row r="598">
      <c r="C598" s="703" t="b">
        <v>0</v>
      </c>
      <c r="D598" s="51"/>
      <c r="E598" s="222" t="s">
        <v>5570</v>
      </c>
      <c r="F598" s="702">
        <v>64.0</v>
      </c>
    </row>
    <row r="599">
      <c r="C599" s="703" t="b">
        <v>0</v>
      </c>
      <c r="D599" s="51"/>
      <c r="E599" s="222" t="s">
        <v>5965</v>
      </c>
      <c r="F599" s="702">
        <v>64.0</v>
      </c>
    </row>
    <row r="600">
      <c r="C600" s="703" t="b">
        <v>0</v>
      </c>
      <c r="D600" s="51"/>
      <c r="E600" s="222" t="s">
        <v>5967</v>
      </c>
      <c r="F600" s="702">
        <v>64.0</v>
      </c>
    </row>
    <row r="601">
      <c r="C601" s="703" t="b">
        <v>0</v>
      </c>
      <c r="D601" s="51"/>
      <c r="E601" s="222" t="s">
        <v>5969</v>
      </c>
      <c r="F601" s="702">
        <v>64.0</v>
      </c>
    </row>
    <row r="602">
      <c r="C602" s="703" t="b">
        <v>0</v>
      </c>
      <c r="D602" s="51"/>
      <c r="E602" s="222" t="s">
        <v>6109</v>
      </c>
      <c r="F602" s="702">
        <v>64.0</v>
      </c>
    </row>
    <row r="603">
      <c r="C603" s="703" t="b">
        <v>0</v>
      </c>
      <c r="D603" s="51"/>
      <c r="E603" s="222" t="s">
        <v>6111</v>
      </c>
      <c r="F603" s="702">
        <v>64.0</v>
      </c>
    </row>
    <row r="604">
      <c r="C604" s="703" t="b">
        <v>0</v>
      </c>
      <c r="D604" s="51"/>
      <c r="E604" s="222" t="s">
        <v>6113</v>
      </c>
      <c r="F604" s="702">
        <v>64.0</v>
      </c>
    </row>
    <row r="605">
      <c r="C605" s="703" t="b">
        <v>0</v>
      </c>
      <c r="D605" s="51"/>
      <c r="E605" s="222" t="s">
        <v>6642</v>
      </c>
      <c r="F605" s="702">
        <v>64.0</v>
      </c>
    </row>
    <row r="606">
      <c r="C606" s="703" t="b">
        <v>0</v>
      </c>
      <c r="D606" s="51"/>
      <c r="E606" s="222" t="s">
        <v>6643</v>
      </c>
      <c r="F606" s="702">
        <v>1.0</v>
      </c>
    </row>
    <row r="607">
      <c r="C607" s="703" t="b">
        <v>0</v>
      </c>
      <c r="D607" s="51"/>
      <c r="E607" s="222" t="s">
        <v>6777</v>
      </c>
      <c r="F607" s="702">
        <v>64.0</v>
      </c>
    </row>
    <row r="608">
      <c r="C608" s="703" t="b">
        <v>0</v>
      </c>
      <c r="D608" s="51"/>
      <c r="E608" s="222" t="s">
        <v>6972</v>
      </c>
      <c r="F608" s="702">
        <v>64.0</v>
      </c>
    </row>
    <row r="609">
      <c r="C609" s="703" t="b">
        <v>0</v>
      </c>
      <c r="D609" s="51"/>
      <c r="E609" s="222" t="s">
        <v>6974</v>
      </c>
      <c r="F609" s="702">
        <v>64.0</v>
      </c>
    </row>
    <row r="610">
      <c r="C610" s="703" t="b">
        <v>0</v>
      </c>
      <c r="D610" s="51"/>
      <c r="E610" s="222" t="s">
        <v>6975</v>
      </c>
      <c r="F610" s="702">
        <v>64.0</v>
      </c>
    </row>
    <row r="611">
      <c r="C611" s="703" t="s">
        <v>194</v>
      </c>
      <c r="D611" s="51" t="s">
        <v>194</v>
      </c>
      <c r="E611" s="222" t="s">
        <v>194</v>
      </c>
      <c r="F611" s="702" t="s">
        <v>194</v>
      </c>
    </row>
    <row r="612">
      <c r="C612" s="703" t="s">
        <v>5645</v>
      </c>
      <c r="D612" s="51" t="s">
        <v>194</v>
      </c>
      <c r="E612" s="222" t="s">
        <v>7553</v>
      </c>
      <c r="F612" s="702" t="s">
        <v>182</v>
      </c>
    </row>
    <row r="613">
      <c r="C613" s="703" t="s">
        <v>194</v>
      </c>
      <c r="D613" s="51" t="s">
        <v>194</v>
      </c>
      <c r="E613" s="222" t="s">
        <v>194</v>
      </c>
      <c r="F613" s="702" t="s">
        <v>194</v>
      </c>
    </row>
    <row r="614">
      <c r="C614" s="703" t="b">
        <v>0</v>
      </c>
      <c r="D614" s="51"/>
      <c r="E614" s="222" t="s">
        <v>5646</v>
      </c>
      <c r="F614" s="702">
        <v>64.0</v>
      </c>
    </row>
    <row r="615">
      <c r="C615" s="703" t="b">
        <v>0</v>
      </c>
      <c r="D615" s="51"/>
      <c r="E615" s="222" t="s">
        <v>5647</v>
      </c>
      <c r="F615" s="702">
        <v>64.0</v>
      </c>
    </row>
    <row r="616">
      <c r="C616" s="703" t="b">
        <v>0</v>
      </c>
      <c r="D616" s="51"/>
      <c r="E616" s="222" t="s">
        <v>5907</v>
      </c>
      <c r="F616" s="702">
        <v>64.0</v>
      </c>
    </row>
    <row r="617">
      <c r="C617" s="703" t="b">
        <v>0</v>
      </c>
      <c r="D617" s="51"/>
      <c r="E617" s="222" t="s">
        <v>5925</v>
      </c>
      <c r="F617" s="702">
        <v>64.0</v>
      </c>
    </row>
    <row r="618">
      <c r="C618" s="703" t="b">
        <v>0</v>
      </c>
      <c r="D618" s="51"/>
      <c r="E618" s="222" t="s">
        <v>5926</v>
      </c>
      <c r="F618" s="702">
        <v>64.0</v>
      </c>
    </row>
    <row r="619">
      <c r="C619" s="703" t="b">
        <v>0</v>
      </c>
      <c r="D619" s="51"/>
      <c r="E619" s="222" t="s">
        <v>5927</v>
      </c>
      <c r="F619" s="702">
        <v>64.0</v>
      </c>
    </row>
    <row r="620">
      <c r="C620" s="703" t="b">
        <v>0</v>
      </c>
      <c r="D620" s="51"/>
      <c r="E620" s="222" t="s">
        <v>5929</v>
      </c>
      <c r="F620" s="702">
        <v>64.0</v>
      </c>
    </row>
    <row r="621">
      <c r="C621" s="703" t="b">
        <v>0</v>
      </c>
      <c r="D621" s="51"/>
      <c r="E621" s="222" t="s">
        <v>5931</v>
      </c>
      <c r="F621" s="702">
        <v>64.0</v>
      </c>
    </row>
    <row r="622">
      <c r="C622" s="703" t="b">
        <v>0</v>
      </c>
      <c r="D622" s="51"/>
      <c r="E622" s="222" t="s">
        <v>5933</v>
      </c>
      <c r="F622" s="702">
        <v>64.0</v>
      </c>
    </row>
    <row r="623">
      <c r="C623" s="703" t="b">
        <v>0</v>
      </c>
      <c r="D623" s="51"/>
      <c r="E623" s="222" t="s">
        <v>5934</v>
      </c>
      <c r="F623" s="702">
        <v>64.0</v>
      </c>
    </row>
    <row r="624">
      <c r="C624" s="703" t="b">
        <v>0</v>
      </c>
      <c r="D624" s="51"/>
      <c r="E624" s="222" t="s">
        <v>6671</v>
      </c>
      <c r="F624" s="702">
        <v>64.0</v>
      </c>
    </row>
    <row r="625">
      <c r="C625" s="703" t="b">
        <v>0</v>
      </c>
      <c r="D625" s="51"/>
      <c r="E625" s="222" t="s">
        <v>6672</v>
      </c>
      <c r="F625" s="702">
        <v>64.0</v>
      </c>
    </row>
    <row r="626">
      <c r="C626" s="703" t="b">
        <v>0</v>
      </c>
      <c r="D626" s="51"/>
      <c r="E626" s="222" t="s">
        <v>6673</v>
      </c>
      <c r="F626" s="702">
        <v>64.0</v>
      </c>
    </row>
    <row r="627">
      <c r="C627" s="703" t="b">
        <v>0</v>
      </c>
      <c r="D627" s="51"/>
      <c r="E627" s="222" t="s">
        <v>6675</v>
      </c>
      <c r="F627" s="702">
        <v>64.0</v>
      </c>
    </row>
    <row r="628">
      <c r="C628" s="703" t="b">
        <v>0</v>
      </c>
      <c r="D628" s="51"/>
      <c r="E628" s="222" t="s">
        <v>6791</v>
      </c>
      <c r="F628" s="702">
        <v>64.0</v>
      </c>
    </row>
    <row r="629">
      <c r="C629" s="703" t="b">
        <v>0</v>
      </c>
      <c r="D629" s="51"/>
      <c r="E629" s="222" t="s">
        <v>6845</v>
      </c>
      <c r="F629" s="702">
        <v>1.0</v>
      </c>
    </row>
    <row r="630">
      <c r="C630" s="703" t="s">
        <v>194</v>
      </c>
      <c r="D630" s="51" t="s">
        <v>194</v>
      </c>
      <c r="E630" s="222" t="s">
        <v>194</v>
      </c>
      <c r="F630" s="702" t="s">
        <v>194</v>
      </c>
    </row>
    <row r="631">
      <c r="C631" s="703" t="s">
        <v>5909</v>
      </c>
      <c r="D631" s="51" t="s">
        <v>194</v>
      </c>
      <c r="E631" s="222" t="s">
        <v>7553</v>
      </c>
      <c r="F631" s="702" t="s">
        <v>182</v>
      </c>
    </row>
    <row r="632">
      <c r="C632" s="703" t="s">
        <v>194</v>
      </c>
      <c r="D632" s="51" t="s">
        <v>194</v>
      </c>
      <c r="E632" s="222" t="s">
        <v>194</v>
      </c>
      <c r="F632" s="702" t="s">
        <v>194</v>
      </c>
    </row>
    <row r="633">
      <c r="C633" s="703" t="b">
        <v>0</v>
      </c>
      <c r="D633" s="51"/>
      <c r="E633" s="222" t="s">
        <v>5910</v>
      </c>
      <c r="F633" s="702">
        <v>64.0</v>
      </c>
    </row>
    <row r="634">
      <c r="C634" s="703" t="s">
        <v>194</v>
      </c>
      <c r="D634" s="51" t="s">
        <v>194</v>
      </c>
      <c r="E634" s="222" t="s">
        <v>194</v>
      </c>
      <c r="F634" s="702" t="s">
        <v>194</v>
      </c>
    </row>
    <row r="635">
      <c r="C635" s="703" t="s">
        <v>5992</v>
      </c>
      <c r="D635" s="51" t="s">
        <v>194</v>
      </c>
      <c r="E635" s="222" t="s">
        <v>7553</v>
      </c>
      <c r="F635" s="702" t="s">
        <v>182</v>
      </c>
    </row>
    <row r="636">
      <c r="C636" s="703" t="s">
        <v>194</v>
      </c>
      <c r="D636" s="51" t="s">
        <v>194</v>
      </c>
      <c r="E636" s="222" t="s">
        <v>194</v>
      </c>
      <c r="F636" s="702" t="s">
        <v>194</v>
      </c>
    </row>
    <row r="637">
      <c r="C637" s="703" t="b">
        <v>0</v>
      </c>
      <c r="D637" s="51"/>
      <c r="E637" s="222" t="s">
        <v>5993</v>
      </c>
      <c r="F637" s="702">
        <v>64.0</v>
      </c>
    </row>
    <row r="638">
      <c r="C638" s="703" t="b">
        <v>0</v>
      </c>
      <c r="D638" s="51"/>
      <c r="E638" s="222" t="s">
        <v>5994</v>
      </c>
      <c r="F638" s="702">
        <v>64.0</v>
      </c>
    </row>
    <row r="639">
      <c r="C639" s="703" t="b">
        <v>0</v>
      </c>
      <c r="D639" s="51"/>
      <c r="E639" s="222" t="s">
        <v>6390</v>
      </c>
      <c r="F639" s="702">
        <v>1.0</v>
      </c>
    </row>
    <row r="640">
      <c r="C640" s="703" t="b">
        <v>0</v>
      </c>
      <c r="D640" s="51"/>
      <c r="E640" s="222" t="s">
        <v>6750</v>
      </c>
      <c r="F640" s="702">
        <v>1.0</v>
      </c>
    </row>
    <row r="641">
      <c r="C641" s="703" t="b">
        <v>0</v>
      </c>
      <c r="D641" s="51"/>
      <c r="E641" s="222" t="s">
        <v>6833</v>
      </c>
      <c r="F641" s="702">
        <v>1.0</v>
      </c>
    </row>
    <row r="642">
      <c r="C642" s="703" t="s">
        <v>194</v>
      </c>
      <c r="D642" s="51" t="s">
        <v>194</v>
      </c>
      <c r="E642" s="222" t="s">
        <v>194</v>
      </c>
      <c r="F642" s="702" t="s">
        <v>194</v>
      </c>
    </row>
    <row r="643">
      <c r="C643" s="703" t="s">
        <v>6802</v>
      </c>
      <c r="D643" s="51" t="s">
        <v>194</v>
      </c>
      <c r="E643" s="222" t="s">
        <v>7553</v>
      </c>
      <c r="F643" s="702" t="s">
        <v>182</v>
      </c>
    </row>
    <row r="644">
      <c r="C644" s="703" t="b">
        <v>0</v>
      </c>
      <c r="D644" s="51"/>
      <c r="E644" s="222" t="s">
        <v>1339</v>
      </c>
      <c r="F644" s="702" t="s">
        <v>1341</v>
      </c>
    </row>
    <row r="645">
      <c r="C645" s="703" t="b">
        <v>0</v>
      </c>
      <c r="D645" s="51"/>
      <c r="E645" s="222" t="s">
        <v>1834</v>
      </c>
      <c r="F645" s="702" t="s">
        <v>1835</v>
      </c>
    </row>
    <row r="646">
      <c r="C646" s="703" t="b">
        <v>0</v>
      </c>
      <c r="D646" s="51"/>
      <c r="E646" s="222" t="s">
        <v>1992</v>
      </c>
      <c r="F646" s="702" t="s">
        <v>7755</v>
      </c>
    </row>
    <row r="647">
      <c r="C647" s="703" t="b">
        <v>0</v>
      </c>
      <c r="D647" s="51"/>
      <c r="E647" s="222" t="s">
        <v>2067</v>
      </c>
      <c r="F647" s="702" t="s">
        <v>2068</v>
      </c>
    </row>
    <row r="648">
      <c r="C648" s="703" t="b">
        <v>0</v>
      </c>
      <c r="D648" s="51"/>
      <c r="E648" s="222" t="s">
        <v>2308</v>
      </c>
      <c r="F648" s="702" t="s">
        <v>2310</v>
      </c>
    </row>
    <row r="649">
      <c r="C649" s="703" t="b">
        <v>0</v>
      </c>
      <c r="D649" s="51"/>
      <c r="E649" s="222" t="s">
        <v>5025</v>
      </c>
      <c r="F649" s="702" t="s">
        <v>7756</v>
      </c>
    </row>
    <row r="650">
      <c r="C650" s="703" t="b">
        <v>0</v>
      </c>
      <c r="D650" s="51"/>
      <c r="E650" s="222" t="s">
        <v>5042</v>
      </c>
      <c r="F650" s="702" t="s">
        <v>7757</v>
      </c>
    </row>
    <row r="651">
      <c r="C651" s="703" t="b">
        <v>0</v>
      </c>
      <c r="D651" s="51"/>
      <c r="E651" s="222" t="s">
        <v>5146</v>
      </c>
      <c r="F651" s="702" t="s">
        <v>5148</v>
      </c>
    </row>
    <row r="652">
      <c r="C652" s="703" t="b">
        <v>0</v>
      </c>
      <c r="D652" s="51"/>
      <c r="E652" s="222" t="s">
        <v>5162</v>
      </c>
      <c r="F652" s="702" t="s">
        <v>7758</v>
      </c>
    </row>
    <row r="653">
      <c r="C653" s="703" t="b">
        <v>0</v>
      </c>
      <c r="D653" s="51"/>
      <c r="E653" s="222" t="s">
        <v>5339</v>
      </c>
      <c r="F653" s="702">
        <v>64.0</v>
      </c>
    </row>
    <row r="654">
      <c r="C654" s="703" t="b">
        <v>0</v>
      </c>
      <c r="D654" s="51"/>
      <c r="E654" s="222" t="s">
        <v>5408</v>
      </c>
      <c r="F654" s="702">
        <v>64.0</v>
      </c>
    </row>
    <row r="655">
      <c r="C655" s="703" t="b">
        <v>0</v>
      </c>
      <c r="D655" s="51"/>
      <c r="E655" s="222" t="s">
        <v>5658</v>
      </c>
      <c r="F655" s="702">
        <v>64.0</v>
      </c>
    </row>
    <row r="656">
      <c r="C656" s="703" t="b">
        <v>0</v>
      </c>
      <c r="D656" s="51"/>
      <c r="E656" s="222" t="s">
        <v>5859</v>
      </c>
      <c r="F656" s="702">
        <v>64.0</v>
      </c>
    </row>
    <row r="657">
      <c r="C657" s="703" t="b">
        <v>0</v>
      </c>
      <c r="D657" s="51"/>
      <c r="E657" s="222" t="s">
        <v>5889</v>
      </c>
      <c r="F657" s="702">
        <v>64.0</v>
      </c>
    </row>
    <row r="658">
      <c r="C658" s="703" t="b">
        <v>0</v>
      </c>
      <c r="D658" s="51"/>
      <c r="E658" s="222" t="s">
        <v>5920</v>
      </c>
      <c r="F658" s="702">
        <v>64.0</v>
      </c>
    </row>
    <row r="659">
      <c r="C659" s="703" t="b">
        <v>0</v>
      </c>
      <c r="D659" s="51"/>
      <c r="E659" s="222" t="s">
        <v>5922</v>
      </c>
      <c r="F659" s="702">
        <v>64.0</v>
      </c>
    </row>
    <row r="660">
      <c r="C660" s="703" t="b">
        <v>0</v>
      </c>
      <c r="D660" s="51"/>
      <c r="E660" s="222" t="s">
        <v>6095</v>
      </c>
      <c r="F660" s="702">
        <v>64.0</v>
      </c>
    </row>
    <row r="661">
      <c r="C661" s="703" t="b">
        <v>0</v>
      </c>
      <c r="D661" s="51"/>
      <c r="E661" s="222" t="s">
        <v>6182</v>
      </c>
      <c r="F661" s="702">
        <v>64.0</v>
      </c>
    </row>
    <row r="662">
      <c r="C662" s="703" t="b">
        <v>0</v>
      </c>
      <c r="D662" s="51"/>
      <c r="E662" s="222" t="s">
        <v>6184</v>
      </c>
      <c r="F662" s="702">
        <v>1.0</v>
      </c>
    </row>
    <row r="663">
      <c r="C663" s="703" t="b">
        <v>0</v>
      </c>
      <c r="D663" s="51"/>
      <c r="E663" s="222" t="s">
        <v>6327</v>
      </c>
      <c r="F663" s="702">
        <v>64.0</v>
      </c>
    </row>
    <row r="664">
      <c r="C664" s="703" t="b">
        <v>0</v>
      </c>
      <c r="D664" s="51"/>
      <c r="E664" s="222" t="s">
        <v>6566</v>
      </c>
      <c r="F664" s="702">
        <v>64.0</v>
      </c>
    </row>
    <row r="665">
      <c r="C665" s="703" t="b">
        <v>0</v>
      </c>
      <c r="D665" s="51"/>
      <c r="E665" s="222" t="s">
        <v>6800</v>
      </c>
      <c r="F665" s="702">
        <v>64.0</v>
      </c>
    </row>
    <row r="666">
      <c r="C666" s="703" t="b">
        <v>0</v>
      </c>
      <c r="D666" s="51"/>
      <c r="E666" s="222" t="s">
        <v>6803</v>
      </c>
      <c r="F666" s="702">
        <v>64.0</v>
      </c>
    </row>
    <row r="667">
      <c r="C667" s="703" t="b">
        <v>0</v>
      </c>
      <c r="D667" s="51"/>
      <c r="E667" s="222" t="s">
        <v>6849</v>
      </c>
      <c r="F667" s="702">
        <v>64.0</v>
      </c>
    </row>
    <row r="668">
      <c r="C668" s="703" t="b">
        <v>0</v>
      </c>
      <c r="D668" s="51"/>
      <c r="E668" s="222" t="s">
        <v>6950</v>
      </c>
      <c r="F668" s="702">
        <v>1.0</v>
      </c>
    </row>
    <row r="669">
      <c r="C669" s="703" t="s">
        <v>194</v>
      </c>
      <c r="D669" s="51" t="s">
        <v>194</v>
      </c>
      <c r="E669" s="222" t="s">
        <v>194</v>
      </c>
      <c r="F669" s="702" t="s">
        <v>194</v>
      </c>
    </row>
    <row r="670">
      <c r="C670" s="703" t="s">
        <v>6955</v>
      </c>
      <c r="D670" s="51" t="s">
        <v>194</v>
      </c>
      <c r="E670" s="222" t="s">
        <v>7553</v>
      </c>
      <c r="F670" s="702" t="s">
        <v>182</v>
      </c>
    </row>
    <row r="671">
      <c r="C671" s="703" t="s">
        <v>194</v>
      </c>
      <c r="D671" s="51" t="s">
        <v>194</v>
      </c>
      <c r="E671" s="222" t="s">
        <v>194</v>
      </c>
      <c r="F671" s="702" t="s">
        <v>194</v>
      </c>
    </row>
    <row r="672">
      <c r="C672" s="703" t="b">
        <v>0</v>
      </c>
      <c r="D672" s="51"/>
      <c r="E672" s="222" t="s">
        <v>6956</v>
      </c>
      <c r="F672" s="702">
        <v>1.0</v>
      </c>
    </row>
    <row r="673">
      <c r="C673" s="703" t="b">
        <v>0</v>
      </c>
      <c r="D673" s="51"/>
      <c r="E673" s="222" t="s">
        <v>7124</v>
      </c>
      <c r="F673" s="702">
        <v>64.0</v>
      </c>
    </row>
    <row r="674">
      <c r="C674" s="703" t="s">
        <v>194</v>
      </c>
      <c r="D674" s="51" t="s">
        <v>194</v>
      </c>
      <c r="E674" s="222" t="s">
        <v>194</v>
      </c>
      <c r="F674" s="702" t="s">
        <v>194</v>
      </c>
    </row>
    <row r="675">
      <c r="C675" s="703" t="s">
        <v>194</v>
      </c>
      <c r="D675" s="51" t="s">
        <v>194</v>
      </c>
      <c r="E675" s="222" t="s">
        <v>194</v>
      </c>
      <c r="F675" s="702" t="s">
        <v>194</v>
      </c>
    </row>
    <row r="676">
      <c r="C676" s="703" t="s">
        <v>194</v>
      </c>
      <c r="D676" s="51" t="s">
        <v>194</v>
      </c>
      <c r="E676" s="222" t="s">
        <v>194</v>
      </c>
      <c r="F676" s="702" t="s">
        <v>194</v>
      </c>
    </row>
    <row r="677">
      <c r="C677" s="703" t="s">
        <v>194</v>
      </c>
      <c r="D677" s="51" t="s">
        <v>194</v>
      </c>
      <c r="E677" s="222" t="s">
        <v>194</v>
      </c>
      <c r="F677" s="702" t="s">
        <v>194</v>
      </c>
    </row>
    <row r="678">
      <c r="C678" s="703" t="s">
        <v>194</v>
      </c>
      <c r="D678" s="51" t="s">
        <v>194</v>
      </c>
      <c r="E678" s="222" t="s">
        <v>194</v>
      </c>
      <c r="F678" s="702" t="s">
        <v>194</v>
      </c>
    </row>
    <row r="679">
      <c r="C679" s="703" t="s">
        <v>194</v>
      </c>
      <c r="D679" s="51" t="s">
        <v>194</v>
      </c>
      <c r="E679" s="222" t="s">
        <v>194</v>
      </c>
      <c r="F679" s="702" t="s">
        <v>194</v>
      </c>
    </row>
    <row r="680">
      <c r="C680" s="703" t="s">
        <v>194</v>
      </c>
      <c r="D680" s="51" t="s">
        <v>194</v>
      </c>
      <c r="E680" s="222" t="s">
        <v>194</v>
      </c>
      <c r="F680" s="702" t="s">
        <v>194</v>
      </c>
    </row>
    <row r="681">
      <c r="C681" s="703" t="s">
        <v>194</v>
      </c>
      <c r="D681" s="51" t="s">
        <v>194</v>
      </c>
      <c r="E681" s="222" t="s">
        <v>194</v>
      </c>
      <c r="F681" s="702" t="s">
        <v>194</v>
      </c>
    </row>
    <row r="682">
      <c r="C682" s="703" t="s">
        <v>194</v>
      </c>
      <c r="D682" s="51" t="s">
        <v>194</v>
      </c>
      <c r="E682" s="222" t="s">
        <v>194</v>
      </c>
      <c r="F682" s="702" t="s">
        <v>194</v>
      </c>
    </row>
    <row r="683">
      <c r="C683" s="703" t="s">
        <v>194</v>
      </c>
      <c r="D683" s="51" t="s">
        <v>194</v>
      </c>
      <c r="E683" s="222" t="s">
        <v>194</v>
      </c>
      <c r="F683" s="702" t="s">
        <v>194</v>
      </c>
    </row>
    <row r="684">
      <c r="C684" s="703" t="s">
        <v>194</v>
      </c>
      <c r="D684" s="51" t="s">
        <v>194</v>
      </c>
      <c r="E684" s="222" t="s">
        <v>194</v>
      </c>
      <c r="F684" s="702" t="s">
        <v>194</v>
      </c>
    </row>
    <row r="685">
      <c r="C685" s="703" t="s">
        <v>194</v>
      </c>
      <c r="D685" s="51" t="s">
        <v>194</v>
      </c>
      <c r="E685" s="222" t="s">
        <v>194</v>
      </c>
      <c r="F685" s="702" t="s">
        <v>194</v>
      </c>
    </row>
    <row r="686">
      <c r="C686" s="703" t="s">
        <v>194</v>
      </c>
      <c r="D686" s="51" t="s">
        <v>194</v>
      </c>
      <c r="E686" s="222" t="s">
        <v>194</v>
      </c>
      <c r="F686" s="702" t="s">
        <v>194</v>
      </c>
    </row>
    <row r="687">
      <c r="C687" s="703" t="s">
        <v>194</v>
      </c>
      <c r="D687" s="51" t="s">
        <v>194</v>
      </c>
      <c r="E687" s="222" t="s">
        <v>194</v>
      </c>
      <c r="F687" s="702" t="s">
        <v>194</v>
      </c>
    </row>
    <row r="688">
      <c r="C688" s="703" t="s">
        <v>194</v>
      </c>
      <c r="D688" s="51" t="s">
        <v>194</v>
      </c>
      <c r="E688" s="222" t="s">
        <v>194</v>
      </c>
      <c r="F688" s="702" t="s">
        <v>194</v>
      </c>
    </row>
    <row r="689">
      <c r="C689" s="703" t="s">
        <v>194</v>
      </c>
      <c r="D689" s="51" t="s">
        <v>194</v>
      </c>
      <c r="E689" s="222" t="s">
        <v>194</v>
      </c>
      <c r="F689" s="702" t="s">
        <v>194</v>
      </c>
    </row>
    <row r="690">
      <c r="C690" s="703" t="s">
        <v>194</v>
      </c>
      <c r="D690" s="51" t="s">
        <v>194</v>
      </c>
      <c r="E690" s="222" t="s">
        <v>194</v>
      </c>
      <c r="F690" s="702" t="s">
        <v>194</v>
      </c>
    </row>
    <row r="691">
      <c r="C691" s="703" t="s">
        <v>194</v>
      </c>
      <c r="D691" s="51" t="s">
        <v>194</v>
      </c>
      <c r="E691" s="222" t="s">
        <v>194</v>
      </c>
      <c r="F691" s="702" t="s">
        <v>194</v>
      </c>
    </row>
    <row r="692">
      <c r="C692" s="703" t="s">
        <v>194</v>
      </c>
      <c r="D692" s="51" t="s">
        <v>194</v>
      </c>
      <c r="E692" s="222" t="s">
        <v>194</v>
      </c>
      <c r="F692" s="702" t="s">
        <v>194</v>
      </c>
    </row>
    <row r="693">
      <c r="C693" s="703" t="s">
        <v>194</v>
      </c>
      <c r="D693" s="51" t="s">
        <v>194</v>
      </c>
      <c r="E693" s="222" t="s">
        <v>194</v>
      </c>
      <c r="F693" s="702" t="s">
        <v>194</v>
      </c>
    </row>
    <row r="694">
      <c r="C694" s="703" t="s">
        <v>194</v>
      </c>
      <c r="D694" s="51" t="s">
        <v>194</v>
      </c>
      <c r="E694" s="222" t="s">
        <v>194</v>
      </c>
      <c r="F694" s="702" t="s">
        <v>194</v>
      </c>
    </row>
    <row r="695">
      <c r="C695" s="703" t="s">
        <v>194</v>
      </c>
      <c r="D695" s="51" t="s">
        <v>194</v>
      </c>
      <c r="E695" s="222" t="s">
        <v>194</v>
      </c>
      <c r="F695" s="702" t="s">
        <v>194</v>
      </c>
    </row>
    <row r="696">
      <c r="C696" s="703" t="s">
        <v>194</v>
      </c>
      <c r="D696" s="51" t="s">
        <v>194</v>
      </c>
      <c r="E696" s="222" t="s">
        <v>194</v>
      </c>
      <c r="F696" s="702" t="s">
        <v>194</v>
      </c>
    </row>
    <row r="697">
      <c r="C697" s="703" t="s">
        <v>194</v>
      </c>
      <c r="D697" s="51" t="s">
        <v>194</v>
      </c>
      <c r="E697" s="222" t="s">
        <v>194</v>
      </c>
      <c r="F697" s="702" t="s">
        <v>194</v>
      </c>
    </row>
    <row r="698">
      <c r="C698" s="703" t="s">
        <v>194</v>
      </c>
      <c r="D698" s="51" t="s">
        <v>194</v>
      </c>
      <c r="E698" s="222" t="s">
        <v>194</v>
      </c>
      <c r="F698" s="702" t="s">
        <v>194</v>
      </c>
    </row>
    <row r="699">
      <c r="C699" s="703" t="s">
        <v>194</v>
      </c>
      <c r="D699" s="51" t="s">
        <v>194</v>
      </c>
      <c r="E699" s="222" t="s">
        <v>194</v>
      </c>
      <c r="F699" s="702" t="s">
        <v>194</v>
      </c>
    </row>
    <row r="700">
      <c r="C700" s="703" t="s">
        <v>194</v>
      </c>
      <c r="D700" s="51" t="s">
        <v>194</v>
      </c>
      <c r="E700" s="222" t="s">
        <v>194</v>
      </c>
      <c r="F700" s="702" t="s">
        <v>194</v>
      </c>
    </row>
    <row r="701">
      <c r="C701" s="703" t="s">
        <v>194</v>
      </c>
      <c r="D701" s="51" t="s">
        <v>194</v>
      </c>
      <c r="E701" s="222" t="s">
        <v>194</v>
      </c>
      <c r="F701" s="702" t="s">
        <v>194</v>
      </c>
    </row>
    <row r="702">
      <c r="C702" s="703" t="s">
        <v>194</v>
      </c>
      <c r="D702" s="51" t="s">
        <v>194</v>
      </c>
      <c r="E702" s="222" t="s">
        <v>194</v>
      </c>
      <c r="F702" s="702" t="s">
        <v>194</v>
      </c>
    </row>
    <row r="703">
      <c r="C703" s="703" t="s">
        <v>194</v>
      </c>
      <c r="D703" s="51" t="s">
        <v>194</v>
      </c>
      <c r="E703" s="222" t="s">
        <v>194</v>
      </c>
      <c r="F703" s="702" t="s">
        <v>194</v>
      </c>
    </row>
    <row r="704">
      <c r="C704" s="703" t="s">
        <v>194</v>
      </c>
      <c r="D704" s="51" t="s">
        <v>194</v>
      </c>
      <c r="E704" s="222" t="s">
        <v>194</v>
      </c>
      <c r="F704" s="702" t="s">
        <v>194</v>
      </c>
    </row>
    <row r="705">
      <c r="C705" s="703" t="s">
        <v>194</v>
      </c>
      <c r="D705" s="51" t="s">
        <v>194</v>
      </c>
      <c r="E705" s="222" t="s">
        <v>194</v>
      </c>
      <c r="F705" s="702" t="s">
        <v>194</v>
      </c>
    </row>
    <row r="706">
      <c r="C706" s="703" t="s">
        <v>194</v>
      </c>
      <c r="D706" s="51" t="s">
        <v>194</v>
      </c>
      <c r="E706" s="222" t="s">
        <v>194</v>
      </c>
      <c r="F706" s="702" t="s">
        <v>194</v>
      </c>
    </row>
    <row r="707">
      <c r="C707" s="703" t="s">
        <v>194</v>
      </c>
      <c r="D707" s="51" t="s">
        <v>194</v>
      </c>
      <c r="E707" s="222" t="s">
        <v>194</v>
      </c>
      <c r="F707" s="702" t="s">
        <v>194</v>
      </c>
    </row>
    <row r="708">
      <c r="C708" s="703" t="s">
        <v>194</v>
      </c>
      <c r="D708" s="51" t="s">
        <v>194</v>
      </c>
      <c r="E708" s="222" t="s">
        <v>194</v>
      </c>
      <c r="F708" s="702" t="s">
        <v>194</v>
      </c>
    </row>
    <row r="709">
      <c r="C709" s="703" t="s">
        <v>194</v>
      </c>
      <c r="D709" s="51" t="s">
        <v>194</v>
      </c>
      <c r="E709" s="222" t="s">
        <v>194</v>
      </c>
      <c r="F709" s="702" t="s">
        <v>194</v>
      </c>
    </row>
    <row r="710">
      <c r="C710" s="703" t="s">
        <v>194</v>
      </c>
      <c r="D710" s="51" t="s">
        <v>194</v>
      </c>
      <c r="E710" s="222" t="s">
        <v>194</v>
      </c>
      <c r="F710" s="702" t="s">
        <v>194</v>
      </c>
    </row>
    <row r="711">
      <c r="C711" s="703" t="s">
        <v>194</v>
      </c>
      <c r="D711" s="51" t="s">
        <v>194</v>
      </c>
      <c r="E711" s="222" t="s">
        <v>194</v>
      </c>
      <c r="F711" s="702" t="s">
        <v>194</v>
      </c>
    </row>
    <row r="712">
      <c r="C712" s="703" t="s">
        <v>194</v>
      </c>
      <c r="D712" s="51" t="s">
        <v>194</v>
      </c>
      <c r="E712" s="222" t="s">
        <v>194</v>
      </c>
      <c r="F712" s="702" t="s">
        <v>194</v>
      </c>
    </row>
    <row r="713">
      <c r="C713" s="703" t="s">
        <v>194</v>
      </c>
      <c r="D713" s="51" t="s">
        <v>194</v>
      </c>
      <c r="E713" s="222" t="s">
        <v>194</v>
      </c>
      <c r="F713" s="702" t="s">
        <v>194</v>
      </c>
    </row>
    <row r="714">
      <c r="C714" s="703" t="s">
        <v>194</v>
      </c>
      <c r="D714" s="51" t="s">
        <v>194</v>
      </c>
      <c r="E714" s="222" t="s">
        <v>194</v>
      </c>
      <c r="F714" s="702" t="s">
        <v>194</v>
      </c>
    </row>
    <row r="715">
      <c r="C715" s="703" t="s">
        <v>194</v>
      </c>
      <c r="D715" s="51" t="s">
        <v>194</v>
      </c>
      <c r="E715" s="222" t="s">
        <v>194</v>
      </c>
      <c r="F715" s="702" t="s">
        <v>194</v>
      </c>
    </row>
    <row r="716">
      <c r="C716" s="703" t="s">
        <v>194</v>
      </c>
      <c r="D716" s="51" t="s">
        <v>194</v>
      </c>
      <c r="E716" s="222" t="s">
        <v>194</v>
      </c>
      <c r="F716" s="702" t="s">
        <v>194</v>
      </c>
    </row>
    <row r="717">
      <c r="C717" s="703" t="s">
        <v>194</v>
      </c>
      <c r="D717" s="51" t="s">
        <v>194</v>
      </c>
      <c r="E717" s="222" t="s">
        <v>194</v>
      </c>
      <c r="F717" s="702" t="s">
        <v>194</v>
      </c>
    </row>
    <row r="718">
      <c r="C718" s="703" t="s">
        <v>194</v>
      </c>
      <c r="D718" s="51" t="s">
        <v>194</v>
      </c>
      <c r="E718" s="222" t="s">
        <v>194</v>
      </c>
      <c r="F718" s="702" t="s">
        <v>194</v>
      </c>
    </row>
    <row r="719">
      <c r="C719" s="703" t="s">
        <v>194</v>
      </c>
      <c r="D719" s="51" t="s">
        <v>194</v>
      </c>
      <c r="E719" s="222" t="s">
        <v>194</v>
      </c>
      <c r="F719" s="702" t="s">
        <v>194</v>
      </c>
    </row>
    <row r="720">
      <c r="C720" s="703" t="s">
        <v>194</v>
      </c>
      <c r="D720" s="51" t="s">
        <v>194</v>
      </c>
      <c r="E720" s="222" t="s">
        <v>194</v>
      </c>
      <c r="F720" s="702" t="s">
        <v>194</v>
      </c>
    </row>
    <row r="721">
      <c r="C721" s="703"/>
      <c r="E721" s="222"/>
      <c r="F721" s="702"/>
    </row>
    <row r="722">
      <c r="C722" s="703"/>
      <c r="E722" s="222"/>
      <c r="F722" s="702"/>
    </row>
    <row r="723">
      <c r="C723" s="703"/>
      <c r="E723" s="222"/>
      <c r="F723" s="702"/>
    </row>
    <row r="724">
      <c r="C724" s="703"/>
      <c r="E724" s="222"/>
      <c r="F724" s="702"/>
    </row>
    <row r="725">
      <c r="C725" s="703"/>
      <c r="E725" s="222"/>
      <c r="F725" s="702"/>
    </row>
    <row r="726">
      <c r="C726" s="703"/>
      <c r="E726" s="222"/>
      <c r="F726" s="702"/>
    </row>
    <row r="727">
      <c r="C727" s="703"/>
      <c r="E727" s="222"/>
      <c r="F727" s="702"/>
    </row>
    <row r="728">
      <c r="C728" s="703"/>
      <c r="E728" s="222"/>
      <c r="F728" s="702"/>
    </row>
    <row r="729">
      <c r="C729" s="703"/>
      <c r="E729" s="222"/>
      <c r="F729" s="702"/>
    </row>
    <row r="730">
      <c r="C730" s="703"/>
      <c r="E730" s="222"/>
      <c r="F730" s="702"/>
    </row>
    <row r="731">
      <c r="C731" s="703"/>
      <c r="E731" s="222"/>
      <c r="F731" s="702"/>
    </row>
    <row r="732">
      <c r="C732" s="703"/>
      <c r="E732" s="222"/>
      <c r="F732" s="702"/>
    </row>
    <row r="733">
      <c r="C733" s="703"/>
      <c r="E733" s="222"/>
      <c r="F733" s="702"/>
    </row>
    <row r="734">
      <c r="C734" s="703"/>
      <c r="E734" s="222"/>
      <c r="F734" s="702"/>
    </row>
    <row r="735">
      <c r="C735" s="703"/>
      <c r="E735" s="222"/>
      <c r="F735" s="702"/>
    </row>
    <row r="736">
      <c r="C736" s="703"/>
      <c r="E736" s="222"/>
      <c r="F736" s="702"/>
    </row>
    <row r="737">
      <c r="C737" s="703"/>
      <c r="E737" s="222"/>
      <c r="F737" s="702"/>
    </row>
    <row r="738">
      <c r="C738" s="703"/>
      <c r="E738" s="222"/>
      <c r="F738" s="702"/>
    </row>
    <row r="739">
      <c r="C739" s="703"/>
      <c r="E739" s="222"/>
      <c r="F739" s="702"/>
    </row>
    <row r="740">
      <c r="C740" s="703"/>
      <c r="E740" s="222"/>
      <c r="F740" s="702"/>
    </row>
    <row r="741">
      <c r="C741" s="703"/>
      <c r="E741" s="222"/>
      <c r="F741" s="702"/>
    </row>
    <row r="742">
      <c r="C742" s="703"/>
      <c r="E742" s="222"/>
      <c r="F742" s="702"/>
    </row>
    <row r="743">
      <c r="C743" s="703"/>
      <c r="E743" s="222"/>
      <c r="F743" s="702"/>
    </row>
    <row r="744">
      <c r="C744" s="703"/>
      <c r="E744" s="222"/>
      <c r="F744" s="702"/>
    </row>
    <row r="745">
      <c r="C745" s="703"/>
      <c r="E745" s="222"/>
      <c r="F745" s="702"/>
    </row>
    <row r="746">
      <c r="C746" s="703"/>
      <c r="E746" s="222"/>
      <c r="F746" s="702"/>
    </row>
    <row r="747">
      <c r="C747" s="703"/>
      <c r="E747" s="222"/>
      <c r="F747" s="702"/>
    </row>
    <row r="748">
      <c r="C748" s="703"/>
      <c r="E748" s="222"/>
      <c r="F748" s="702"/>
    </row>
    <row r="749">
      <c r="C749" s="703"/>
      <c r="E749" s="222"/>
      <c r="F749" s="702"/>
    </row>
    <row r="750">
      <c r="C750" s="703"/>
      <c r="E750" s="222"/>
      <c r="F750" s="702"/>
    </row>
    <row r="751">
      <c r="C751" s="703"/>
      <c r="E751" s="222"/>
      <c r="F751" s="702"/>
    </row>
    <row r="752">
      <c r="C752" s="703"/>
      <c r="E752" s="222"/>
      <c r="F752" s="702"/>
    </row>
    <row r="753">
      <c r="C753" s="703"/>
      <c r="E753" s="222"/>
      <c r="F753" s="702"/>
    </row>
    <row r="754">
      <c r="C754" s="703"/>
      <c r="E754" s="222"/>
      <c r="F754" s="702"/>
    </row>
    <row r="755">
      <c r="C755" s="703"/>
      <c r="E755" s="222"/>
      <c r="F755" s="702"/>
    </row>
    <row r="756">
      <c r="C756" s="703"/>
      <c r="E756" s="222"/>
      <c r="F756" s="702"/>
    </row>
    <row r="757">
      <c r="C757" s="703"/>
      <c r="E757" s="222"/>
      <c r="F757" s="702"/>
    </row>
    <row r="758">
      <c r="C758" s="703"/>
      <c r="E758" s="222"/>
      <c r="F758" s="702"/>
    </row>
    <row r="759">
      <c r="C759" s="703"/>
      <c r="E759" s="222"/>
      <c r="F759" s="702"/>
    </row>
    <row r="760">
      <c r="C760" s="703"/>
      <c r="E760" s="222"/>
      <c r="F760" s="702"/>
    </row>
    <row r="761">
      <c r="C761" s="703"/>
      <c r="E761" s="222"/>
      <c r="F761" s="702"/>
    </row>
    <row r="762">
      <c r="C762" s="703"/>
      <c r="E762" s="222"/>
      <c r="F762" s="702"/>
    </row>
    <row r="763">
      <c r="C763" s="703"/>
      <c r="E763" s="222"/>
      <c r="F763" s="702"/>
    </row>
    <row r="764">
      <c r="C764" s="703"/>
      <c r="E764" s="222"/>
      <c r="F764" s="702"/>
    </row>
    <row r="765">
      <c r="C765" s="703"/>
      <c r="E765" s="222"/>
      <c r="F765" s="702"/>
    </row>
    <row r="766">
      <c r="C766" s="703"/>
      <c r="E766" s="222"/>
      <c r="F766" s="702"/>
    </row>
    <row r="767">
      <c r="C767" s="703"/>
      <c r="E767" s="222"/>
      <c r="F767" s="702"/>
    </row>
    <row r="768">
      <c r="C768" s="703"/>
      <c r="E768" s="222"/>
      <c r="F768" s="702"/>
    </row>
    <row r="769">
      <c r="C769" s="703"/>
      <c r="E769" s="222"/>
      <c r="F769" s="702"/>
    </row>
    <row r="770">
      <c r="C770" s="703"/>
      <c r="E770" s="222"/>
      <c r="F770" s="702"/>
    </row>
    <row r="771">
      <c r="C771" s="703"/>
      <c r="E771" s="222"/>
      <c r="F771" s="702"/>
    </row>
    <row r="772">
      <c r="C772" s="703"/>
      <c r="E772" s="222"/>
      <c r="F772" s="702"/>
    </row>
    <row r="773">
      <c r="C773" s="703"/>
      <c r="E773" s="222"/>
      <c r="F773" s="702"/>
    </row>
    <row r="774">
      <c r="C774" s="703"/>
      <c r="E774" s="222"/>
      <c r="F774" s="702"/>
    </row>
    <row r="775">
      <c r="C775" s="703"/>
      <c r="E775" s="222"/>
      <c r="F775" s="702"/>
    </row>
    <row r="776">
      <c r="C776" s="703"/>
      <c r="E776" s="222"/>
      <c r="F776" s="702"/>
    </row>
    <row r="777">
      <c r="C777" s="703"/>
      <c r="E777" s="222"/>
      <c r="F777" s="702"/>
    </row>
    <row r="778">
      <c r="C778" s="703"/>
      <c r="E778" s="222"/>
      <c r="F778" s="702"/>
    </row>
    <row r="779">
      <c r="C779" s="703"/>
      <c r="E779" s="222"/>
      <c r="F779" s="702"/>
    </row>
    <row r="780">
      <c r="C780" s="703"/>
      <c r="E780" s="222"/>
      <c r="F780" s="702"/>
    </row>
    <row r="781">
      <c r="C781" s="703"/>
      <c r="E781" s="222"/>
      <c r="F781" s="702"/>
    </row>
    <row r="782">
      <c r="C782" s="703"/>
      <c r="E782" s="222"/>
      <c r="F782" s="702"/>
    </row>
    <row r="783">
      <c r="C783" s="703"/>
      <c r="E783" s="222"/>
      <c r="F783" s="702"/>
    </row>
    <row r="784">
      <c r="C784" s="703"/>
      <c r="E784" s="222"/>
      <c r="F784" s="702"/>
    </row>
    <row r="785">
      <c r="C785" s="703"/>
      <c r="E785" s="222"/>
      <c r="F785" s="702"/>
    </row>
    <row r="786">
      <c r="C786" s="703"/>
      <c r="E786" s="222"/>
      <c r="F786" s="702"/>
    </row>
    <row r="787">
      <c r="C787" s="703"/>
      <c r="E787" s="222"/>
      <c r="F787" s="702"/>
    </row>
    <row r="788">
      <c r="C788" s="703"/>
      <c r="E788" s="222"/>
      <c r="F788" s="702"/>
    </row>
    <row r="789">
      <c r="C789" s="703"/>
      <c r="E789" s="222"/>
      <c r="F789" s="702"/>
    </row>
    <row r="790">
      <c r="C790" s="703"/>
      <c r="E790" s="222"/>
      <c r="F790" s="702"/>
    </row>
    <row r="791">
      <c r="C791" s="703"/>
      <c r="E791" s="222"/>
      <c r="F791" s="702"/>
    </row>
    <row r="792">
      <c r="C792" s="703"/>
      <c r="E792" s="222"/>
      <c r="F792" s="702"/>
    </row>
    <row r="793">
      <c r="C793" s="703"/>
      <c r="E793" s="222"/>
      <c r="F793" s="702"/>
    </row>
    <row r="794">
      <c r="C794" s="703"/>
      <c r="E794" s="222"/>
      <c r="F794" s="702"/>
    </row>
    <row r="795">
      <c r="C795" s="703"/>
      <c r="E795" s="222"/>
      <c r="F795" s="702"/>
    </row>
    <row r="796">
      <c r="C796" s="703"/>
      <c r="E796" s="222"/>
      <c r="F796" s="702"/>
    </row>
    <row r="797">
      <c r="C797" s="703"/>
      <c r="E797" s="222"/>
      <c r="F797" s="702"/>
    </row>
    <row r="798">
      <c r="C798" s="703"/>
      <c r="E798" s="222"/>
      <c r="F798" s="702"/>
    </row>
    <row r="799">
      <c r="C799" s="703"/>
      <c r="E799" s="222"/>
      <c r="F799" s="702"/>
    </row>
    <row r="800">
      <c r="C800" s="703"/>
      <c r="E800" s="222"/>
      <c r="F800" s="702"/>
    </row>
    <row r="801">
      <c r="C801" s="703"/>
      <c r="E801" s="222"/>
      <c r="F801" s="702"/>
    </row>
    <row r="802">
      <c r="C802" s="703"/>
      <c r="E802" s="222"/>
      <c r="F802" s="702"/>
    </row>
    <row r="803">
      <c r="C803" s="703"/>
      <c r="E803" s="222"/>
      <c r="F803" s="702"/>
    </row>
    <row r="804">
      <c r="C804" s="703"/>
      <c r="E804" s="222"/>
      <c r="F804" s="702"/>
    </row>
    <row r="805">
      <c r="C805" s="703"/>
      <c r="E805" s="222"/>
      <c r="F805" s="702"/>
    </row>
    <row r="806">
      <c r="C806" s="703"/>
      <c r="E806" s="222"/>
      <c r="F806" s="702"/>
    </row>
    <row r="807">
      <c r="C807" s="703"/>
      <c r="E807" s="222"/>
      <c r="F807" s="702"/>
    </row>
    <row r="808">
      <c r="C808" s="703"/>
      <c r="E808" s="222"/>
      <c r="F808" s="702"/>
    </row>
    <row r="809">
      <c r="C809" s="703"/>
      <c r="E809" s="222"/>
      <c r="F809" s="702"/>
    </row>
    <row r="810">
      <c r="C810" s="703"/>
      <c r="E810" s="222"/>
      <c r="F810" s="702"/>
    </row>
    <row r="811">
      <c r="C811" s="703"/>
      <c r="E811" s="222"/>
      <c r="F811" s="702"/>
    </row>
    <row r="812">
      <c r="C812" s="703"/>
      <c r="E812" s="222"/>
      <c r="F812" s="702"/>
    </row>
    <row r="813">
      <c r="C813" s="703"/>
      <c r="E813" s="222"/>
      <c r="F813" s="702"/>
    </row>
    <row r="814">
      <c r="C814" s="703"/>
      <c r="E814" s="222"/>
      <c r="F814" s="702"/>
    </row>
    <row r="815">
      <c r="C815" s="703"/>
      <c r="E815" s="222"/>
      <c r="F815" s="702"/>
    </row>
    <row r="816">
      <c r="C816" s="703"/>
      <c r="E816" s="222"/>
      <c r="F816" s="702"/>
    </row>
    <row r="817">
      <c r="C817" s="703"/>
      <c r="E817" s="222"/>
      <c r="F817" s="702"/>
    </row>
    <row r="818">
      <c r="C818" s="703"/>
      <c r="E818" s="222"/>
      <c r="F818" s="702"/>
    </row>
    <row r="819">
      <c r="C819" s="703"/>
      <c r="E819" s="222"/>
      <c r="F819" s="702"/>
    </row>
    <row r="820">
      <c r="C820" s="703"/>
      <c r="E820" s="222"/>
      <c r="F820" s="702"/>
    </row>
    <row r="821">
      <c r="C821" s="703"/>
      <c r="E821" s="222"/>
      <c r="F821" s="702"/>
    </row>
    <row r="822">
      <c r="C822" s="703"/>
      <c r="E822" s="222"/>
      <c r="F822" s="702"/>
    </row>
    <row r="823">
      <c r="C823" s="703"/>
      <c r="E823" s="222"/>
      <c r="F823" s="702"/>
    </row>
    <row r="824">
      <c r="C824" s="703"/>
      <c r="E824" s="222"/>
      <c r="F824" s="702"/>
    </row>
    <row r="825">
      <c r="C825" s="703"/>
      <c r="E825" s="222"/>
      <c r="F825" s="702"/>
    </row>
    <row r="826">
      <c r="C826" s="703"/>
      <c r="E826" s="222"/>
      <c r="F826" s="702"/>
    </row>
    <row r="827">
      <c r="C827" s="703"/>
      <c r="E827" s="222"/>
      <c r="F827" s="702"/>
    </row>
    <row r="828">
      <c r="C828" s="703"/>
      <c r="E828" s="222"/>
      <c r="F828" s="702"/>
    </row>
    <row r="829">
      <c r="C829" s="703"/>
      <c r="E829" s="222"/>
      <c r="F829" s="702"/>
    </row>
    <row r="830">
      <c r="C830" s="703"/>
      <c r="E830" s="222"/>
      <c r="F830" s="702"/>
    </row>
    <row r="831">
      <c r="C831" s="703"/>
      <c r="E831" s="222"/>
      <c r="F831" s="702"/>
    </row>
    <row r="832">
      <c r="C832" s="703"/>
      <c r="E832" s="222"/>
      <c r="F832" s="702"/>
    </row>
    <row r="833">
      <c r="C833" s="703"/>
      <c r="E833" s="222"/>
      <c r="F833" s="702"/>
    </row>
    <row r="834">
      <c r="C834" s="703"/>
      <c r="E834" s="222"/>
      <c r="F834" s="702"/>
    </row>
    <row r="835">
      <c r="C835" s="703"/>
      <c r="E835" s="222"/>
      <c r="F835" s="702"/>
    </row>
    <row r="836">
      <c r="C836" s="703"/>
      <c r="E836" s="222"/>
      <c r="F836" s="702"/>
    </row>
    <row r="837">
      <c r="C837" s="703"/>
      <c r="E837" s="222"/>
      <c r="F837" s="702"/>
    </row>
    <row r="838">
      <c r="C838" s="703"/>
      <c r="E838" s="222"/>
      <c r="F838" s="702"/>
    </row>
    <row r="839">
      <c r="C839" s="703"/>
      <c r="E839" s="222"/>
      <c r="F839" s="702"/>
    </row>
    <row r="840">
      <c r="C840" s="703"/>
      <c r="E840" s="222"/>
      <c r="F840" s="702"/>
    </row>
    <row r="841">
      <c r="C841" s="703"/>
      <c r="E841" s="222"/>
      <c r="F841" s="702"/>
    </row>
    <row r="842">
      <c r="C842" s="703"/>
      <c r="E842" s="222"/>
      <c r="F842" s="702"/>
    </row>
    <row r="843">
      <c r="C843" s="703"/>
      <c r="E843" s="222"/>
      <c r="F843" s="702"/>
    </row>
    <row r="844">
      <c r="C844" s="703"/>
      <c r="E844" s="222"/>
      <c r="F844" s="702"/>
    </row>
    <row r="845">
      <c r="C845" s="703"/>
      <c r="E845" s="222"/>
      <c r="F845" s="702"/>
    </row>
    <row r="846">
      <c r="C846" s="703"/>
      <c r="E846" s="222"/>
      <c r="F846" s="702"/>
    </row>
    <row r="847">
      <c r="C847" s="703"/>
      <c r="E847" s="222"/>
      <c r="F847" s="702"/>
    </row>
    <row r="848">
      <c r="C848" s="703"/>
      <c r="E848" s="222"/>
      <c r="F848" s="702"/>
    </row>
    <row r="849">
      <c r="C849" s="703"/>
      <c r="E849" s="222"/>
      <c r="F849" s="702"/>
    </row>
    <row r="850">
      <c r="C850" s="703"/>
      <c r="E850" s="222"/>
      <c r="F850" s="702"/>
    </row>
    <row r="851">
      <c r="C851" s="703"/>
      <c r="E851" s="222"/>
      <c r="F851" s="702"/>
    </row>
    <row r="852">
      <c r="C852" s="703"/>
      <c r="E852" s="222"/>
      <c r="F852" s="702"/>
    </row>
    <row r="853">
      <c r="C853" s="703"/>
      <c r="E853" s="222"/>
      <c r="F853" s="702"/>
    </row>
    <row r="854">
      <c r="C854" s="703"/>
      <c r="E854" s="222"/>
      <c r="F854" s="702"/>
    </row>
    <row r="855">
      <c r="C855" s="703"/>
      <c r="E855" s="222"/>
      <c r="F855" s="702"/>
    </row>
    <row r="856">
      <c r="C856" s="703"/>
      <c r="E856" s="222"/>
      <c r="F856" s="702"/>
    </row>
    <row r="857">
      <c r="C857" s="703"/>
      <c r="E857" s="222"/>
      <c r="F857" s="702"/>
    </row>
    <row r="858">
      <c r="C858" s="703"/>
      <c r="E858" s="222"/>
      <c r="F858" s="702"/>
    </row>
    <row r="859">
      <c r="C859" s="703"/>
      <c r="E859" s="222"/>
      <c r="F859" s="702"/>
    </row>
    <row r="860">
      <c r="C860" s="703"/>
      <c r="E860" s="222"/>
      <c r="F860" s="702"/>
    </row>
    <row r="861">
      <c r="C861" s="703"/>
      <c r="E861" s="222"/>
      <c r="F861" s="702"/>
    </row>
    <row r="862">
      <c r="C862" s="703"/>
      <c r="E862" s="222"/>
      <c r="F862" s="702"/>
    </row>
    <row r="863">
      <c r="C863" s="703"/>
      <c r="E863" s="222"/>
      <c r="F863" s="702"/>
    </row>
    <row r="864">
      <c r="C864" s="703"/>
      <c r="E864" s="222"/>
      <c r="F864" s="702"/>
    </row>
    <row r="865">
      <c r="C865" s="703"/>
      <c r="E865" s="222"/>
      <c r="F865" s="702"/>
    </row>
    <row r="866">
      <c r="C866" s="703"/>
      <c r="E866" s="222"/>
      <c r="F866" s="702"/>
    </row>
    <row r="867">
      <c r="C867" s="703"/>
      <c r="E867" s="222"/>
      <c r="F867" s="702"/>
    </row>
    <row r="868">
      <c r="C868" s="703"/>
      <c r="E868" s="222"/>
      <c r="F868" s="702"/>
    </row>
    <row r="869">
      <c r="C869" s="703"/>
      <c r="E869" s="222"/>
      <c r="F869" s="702"/>
    </row>
    <row r="870">
      <c r="C870" s="703"/>
      <c r="E870" s="222"/>
      <c r="F870" s="702"/>
    </row>
    <row r="871">
      <c r="C871" s="703"/>
      <c r="E871" s="222"/>
      <c r="F871" s="702"/>
    </row>
    <row r="872">
      <c r="C872" s="703"/>
      <c r="E872" s="222"/>
      <c r="F872" s="702"/>
    </row>
    <row r="873">
      <c r="C873" s="703"/>
      <c r="E873" s="222"/>
      <c r="F873" s="702"/>
    </row>
    <row r="874">
      <c r="C874" s="703"/>
      <c r="E874" s="222"/>
      <c r="F874" s="702"/>
    </row>
    <row r="875">
      <c r="C875" s="703"/>
      <c r="E875" s="222"/>
      <c r="F875" s="702"/>
    </row>
    <row r="876">
      <c r="C876" s="703"/>
      <c r="E876" s="222"/>
      <c r="F876" s="702"/>
    </row>
    <row r="877">
      <c r="C877" s="703"/>
      <c r="E877" s="222"/>
      <c r="F877" s="702"/>
    </row>
    <row r="878">
      <c r="C878" s="703"/>
      <c r="E878" s="222"/>
      <c r="F878" s="702"/>
    </row>
    <row r="879">
      <c r="C879" s="703"/>
      <c r="E879" s="222"/>
      <c r="F879" s="702"/>
    </row>
    <row r="880">
      <c r="C880" s="703"/>
      <c r="E880" s="222"/>
      <c r="F880" s="702"/>
    </row>
    <row r="881">
      <c r="C881" s="703"/>
      <c r="E881" s="222"/>
      <c r="F881" s="702"/>
    </row>
    <row r="882">
      <c r="C882" s="703"/>
      <c r="E882" s="222"/>
      <c r="F882" s="702"/>
    </row>
    <row r="883">
      <c r="C883" s="703"/>
      <c r="E883" s="222"/>
      <c r="F883" s="702"/>
    </row>
    <row r="884">
      <c r="C884" s="703"/>
      <c r="E884" s="222"/>
      <c r="F884" s="702"/>
    </row>
    <row r="885">
      <c r="C885" s="703"/>
      <c r="E885" s="222"/>
      <c r="F885" s="702"/>
    </row>
    <row r="886">
      <c r="C886" s="703"/>
      <c r="E886" s="222"/>
      <c r="F886" s="702"/>
    </row>
    <row r="887">
      <c r="C887" s="703"/>
      <c r="E887" s="222"/>
      <c r="F887" s="702"/>
    </row>
    <row r="888">
      <c r="C888" s="703"/>
      <c r="E888" s="222"/>
      <c r="F888" s="702"/>
    </row>
    <row r="889">
      <c r="C889" s="703"/>
      <c r="E889" s="222"/>
      <c r="F889" s="702"/>
    </row>
    <row r="890">
      <c r="C890" s="703"/>
      <c r="E890" s="222"/>
      <c r="F890" s="702"/>
    </row>
    <row r="891">
      <c r="C891" s="703"/>
      <c r="E891" s="222"/>
      <c r="F891" s="702"/>
    </row>
    <row r="892">
      <c r="C892" s="703"/>
      <c r="E892" s="222"/>
      <c r="F892" s="702"/>
    </row>
    <row r="893">
      <c r="C893" s="703"/>
      <c r="E893" s="222"/>
      <c r="F893" s="702"/>
    </row>
    <row r="894">
      <c r="C894" s="703"/>
      <c r="E894" s="222"/>
      <c r="F894" s="702"/>
    </row>
    <row r="895">
      <c r="C895" s="703"/>
      <c r="E895" s="222"/>
      <c r="F895" s="702"/>
    </row>
    <row r="896">
      <c r="C896" s="703"/>
      <c r="E896" s="222"/>
      <c r="F896" s="702"/>
    </row>
    <row r="897">
      <c r="C897" s="703"/>
      <c r="E897" s="222"/>
      <c r="F897" s="702"/>
    </row>
    <row r="898">
      <c r="C898" s="703"/>
      <c r="E898" s="222"/>
      <c r="F898" s="702"/>
    </row>
    <row r="899">
      <c r="C899" s="703"/>
      <c r="E899" s="222"/>
      <c r="F899" s="702"/>
    </row>
    <row r="900">
      <c r="C900" s="703"/>
      <c r="E900" s="222"/>
      <c r="F900" s="702"/>
    </row>
    <row r="901">
      <c r="C901" s="703"/>
      <c r="E901" s="222"/>
      <c r="F901" s="702"/>
    </row>
    <row r="902">
      <c r="C902" s="703"/>
      <c r="E902" s="222"/>
      <c r="F902" s="702"/>
    </row>
    <row r="903">
      <c r="C903" s="703"/>
      <c r="E903" s="222"/>
      <c r="F903" s="702"/>
    </row>
    <row r="904">
      <c r="C904" s="703"/>
      <c r="E904" s="222"/>
      <c r="F904" s="702"/>
    </row>
    <row r="905">
      <c r="C905" s="703"/>
      <c r="E905" s="222"/>
      <c r="F905" s="702"/>
    </row>
    <row r="906">
      <c r="C906" s="703"/>
      <c r="E906" s="222"/>
      <c r="F906" s="702"/>
    </row>
    <row r="907">
      <c r="C907" s="703"/>
      <c r="E907" s="222"/>
      <c r="F907" s="702"/>
    </row>
    <row r="908">
      <c r="C908" s="703"/>
      <c r="E908" s="222"/>
      <c r="F908" s="702"/>
    </row>
    <row r="909">
      <c r="C909" s="703"/>
      <c r="E909" s="222"/>
      <c r="F909" s="702"/>
    </row>
    <row r="910">
      <c r="C910" s="703"/>
      <c r="E910" s="222"/>
      <c r="F910" s="702"/>
    </row>
    <row r="911">
      <c r="C911" s="703"/>
      <c r="E911" s="222"/>
      <c r="F911" s="702"/>
    </row>
    <row r="912">
      <c r="C912" s="703"/>
      <c r="E912" s="222"/>
      <c r="F912" s="702"/>
    </row>
    <row r="913">
      <c r="C913" s="703"/>
      <c r="E913" s="222"/>
      <c r="F913" s="702"/>
    </row>
    <row r="914">
      <c r="C914" s="703"/>
      <c r="E914" s="222"/>
      <c r="F914" s="702"/>
    </row>
    <row r="915">
      <c r="C915" s="703"/>
      <c r="E915" s="222"/>
      <c r="F915" s="702"/>
    </row>
    <row r="916">
      <c r="C916" s="703"/>
      <c r="E916" s="222"/>
      <c r="F916" s="702"/>
    </row>
    <row r="917">
      <c r="C917" s="703"/>
      <c r="E917" s="222"/>
      <c r="F917" s="702"/>
    </row>
    <row r="918">
      <c r="C918" s="703"/>
      <c r="E918" s="222"/>
      <c r="F918" s="702"/>
    </row>
    <row r="919">
      <c r="C919" s="703"/>
      <c r="E919" s="222"/>
      <c r="F919" s="702"/>
    </row>
    <row r="920">
      <c r="C920" s="703"/>
      <c r="E920" s="222"/>
      <c r="F920" s="702"/>
    </row>
    <row r="921">
      <c r="C921" s="703"/>
      <c r="E921" s="222"/>
      <c r="F921" s="702"/>
    </row>
    <row r="922">
      <c r="C922" s="703"/>
      <c r="E922" s="222"/>
      <c r="F922" s="702"/>
    </row>
    <row r="923">
      <c r="C923" s="703"/>
      <c r="E923" s="222"/>
      <c r="F923" s="702"/>
    </row>
    <row r="924">
      <c r="C924" s="703"/>
      <c r="E924" s="222"/>
      <c r="F924" s="702"/>
    </row>
    <row r="925">
      <c r="C925" s="703"/>
      <c r="E925" s="222"/>
      <c r="F925" s="702"/>
    </row>
    <row r="926">
      <c r="C926" s="703"/>
      <c r="E926" s="222"/>
      <c r="F926" s="702"/>
    </row>
    <row r="927">
      <c r="C927" s="703"/>
      <c r="E927" s="222"/>
      <c r="F927" s="702"/>
    </row>
    <row r="928">
      <c r="C928" s="703"/>
      <c r="E928" s="222"/>
      <c r="F928" s="702"/>
    </row>
    <row r="929">
      <c r="C929" s="703"/>
      <c r="E929" s="222"/>
      <c r="F929" s="702"/>
    </row>
    <row r="930">
      <c r="C930" s="703"/>
      <c r="E930" s="222"/>
      <c r="F930" s="702"/>
    </row>
    <row r="931">
      <c r="C931" s="703"/>
      <c r="E931" s="222"/>
      <c r="F931" s="702"/>
    </row>
    <row r="932">
      <c r="C932" s="703"/>
      <c r="E932" s="222"/>
      <c r="F932" s="702"/>
    </row>
    <row r="933">
      <c r="C933" s="703"/>
      <c r="E933" s="222"/>
      <c r="F933" s="702"/>
    </row>
    <row r="934">
      <c r="C934" s="703"/>
      <c r="E934" s="222"/>
      <c r="F934" s="702"/>
    </row>
    <row r="935">
      <c r="C935" s="703"/>
      <c r="E935" s="222"/>
      <c r="F935" s="702"/>
    </row>
    <row r="936">
      <c r="C936" s="703"/>
      <c r="E936" s="222"/>
      <c r="F936" s="702"/>
    </row>
    <row r="937">
      <c r="C937" s="703"/>
      <c r="E937" s="222"/>
      <c r="F937" s="702"/>
    </row>
    <row r="938">
      <c r="C938" s="703"/>
      <c r="E938" s="222"/>
      <c r="F938" s="702"/>
    </row>
    <row r="939">
      <c r="C939" s="703"/>
      <c r="E939" s="222"/>
      <c r="F939" s="702"/>
    </row>
    <row r="940">
      <c r="C940" s="703"/>
      <c r="E940" s="222"/>
      <c r="F940" s="702"/>
    </row>
    <row r="941">
      <c r="C941" s="703"/>
      <c r="E941" s="222"/>
      <c r="F941" s="702"/>
    </row>
    <row r="942">
      <c r="C942" s="703"/>
      <c r="E942" s="222"/>
      <c r="F942" s="702"/>
    </row>
    <row r="943">
      <c r="C943" s="703"/>
      <c r="E943" s="222"/>
      <c r="F943" s="702"/>
    </row>
    <row r="944">
      <c r="C944" s="703"/>
      <c r="E944" s="222"/>
      <c r="F944" s="702"/>
    </row>
    <row r="945">
      <c r="C945" s="703"/>
      <c r="E945" s="222"/>
      <c r="F945" s="702"/>
    </row>
    <row r="946">
      <c r="C946" s="703"/>
      <c r="E946" s="222"/>
      <c r="F946" s="702"/>
    </row>
    <row r="947">
      <c r="C947" s="703"/>
      <c r="E947" s="222"/>
      <c r="F947" s="702"/>
    </row>
    <row r="948">
      <c r="C948" s="703"/>
      <c r="E948" s="222"/>
      <c r="F948" s="702"/>
    </row>
    <row r="949">
      <c r="C949" s="703"/>
      <c r="E949" s="222"/>
      <c r="F949" s="702"/>
    </row>
    <row r="950">
      <c r="C950" s="703"/>
      <c r="E950" s="222"/>
      <c r="F950" s="702"/>
    </row>
    <row r="951">
      <c r="C951" s="703"/>
      <c r="E951" s="222"/>
      <c r="F951" s="702"/>
    </row>
    <row r="952">
      <c r="C952" s="703"/>
      <c r="E952" s="222"/>
      <c r="F952" s="702"/>
    </row>
    <row r="953">
      <c r="C953" s="703"/>
      <c r="E953" s="222"/>
      <c r="F953" s="702"/>
    </row>
    <row r="954">
      <c r="C954" s="703"/>
      <c r="E954" s="222"/>
      <c r="F954" s="702"/>
    </row>
    <row r="955">
      <c r="C955" s="703"/>
      <c r="E955" s="222"/>
      <c r="F955" s="702"/>
    </row>
    <row r="956">
      <c r="C956" s="703"/>
      <c r="E956" s="222"/>
      <c r="F956" s="702"/>
    </row>
    <row r="957">
      <c r="C957" s="703"/>
      <c r="E957" s="222"/>
      <c r="F957" s="702"/>
    </row>
    <row r="958">
      <c r="C958" s="703"/>
      <c r="E958" s="222"/>
      <c r="F958" s="702"/>
    </row>
    <row r="959">
      <c r="C959" s="703"/>
      <c r="E959" s="222"/>
      <c r="F959" s="702"/>
    </row>
    <row r="960">
      <c r="C960" s="703"/>
      <c r="E960" s="222"/>
      <c r="F960" s="702"/>
    </row>
    <row r="961">
      <c r="C961" s="703"/>
      <c r="E961" s="222"/>
      <c r="F961" s="702"/>
    </row>
    <row r="962">
      <c r="C962" s="703"/>
      <c r="E962" s="222"/>
      <c r="F962" s="702"/>
    </row>
    <row r="963">
      <c r="C963" s="703"/>
      <c r="E963" s="222"/>
      <c r="F963" s="702"/>
    </row>
    <row r="964">
      <c r="C964" s="703"/>
      <c r="E964" s="222"/>
      <c r="F964" s="702"/>
    </row>
    <row r="965">
      <c r="C965" s="703"/>
      <c r="E965" s="222"/>
      <c r="F965" s="702"/>
    </row>
    <row r="966">
      <c r="C966" s="703"/>
      <c r="E966" s="222"/>
      <c r="F966" s="702"/>
    </row>
    <row r="967">
      <c r="C967" s="703"/>
      <c r="E967" s="222"/>
      <c r="F967" s="702"/>
    </row>
    <row r="968">
      <c r="C968" s="703"/>
      <c r="E968" s="222"/>
      <c r="F968" s="702"/>
    </row>
    <row r="969">
      <c r="C969" s="703"/>
      <c r="E969" s="222"/>
      <c r="F969" s="702"/>
    </row>
    <row r="970">
      <c r="C970" s="703"/>
      <c r="E970" s="222"/>
      <c r="F970" s="702"/>
    </row>
    <row r="971">
      <c r="C971" s="703"/>
      <c r="E971" s="222"/>
      <c r="F971" s="702"/>
    </row>
    <row r="972">
      <c r="C972" s="703"/>
      <c r="E972" s="222"/>
      <c r="F972" s="702"/>
    </row>
    <row r="973">
      <c r="C973" s="703"/>
      <c r="E973" s="222"/>
      <c r="F973" s="702"/>
    </row>
    <row r="974">
      <c r="C974" s="703"/>
      <c r="E974" s="222"/>
      <c r="F974" s="702"/>
    </row>
    <row r="975">
      <c r="C975" s="703"/>
      <c r="E975" s="222"/>
      <c r="F975" s="702"/>
    </row>
    <row r="976">
      <c r="C976" s="703"/>
      <c r="E976" s="222"/>
      <c r="F976" s="702"/>
    </row>
    <row r="977">
      <c r="C977" s="703"/>
      <c r="E977" s="222"/>
      <c r="F977" s="702"/>
    </row>
    <row r="978">
      <c r="C978" s="703"/>
      <c r="E978" s="222"/>
      <c r="F978" s="702"/>
    </row>
    <row r="979">
      <c r="C979" s="703"/>
      <c r="E979" s="222"/>
      <c r="F979" s="702"/>
    </row>
    <row r="980">
      <c r="C980" s="703"/>
      <c r="E980" s="222"/>
      <c r="F980" s="702"/>
    </row>
    <row r="981">
      <c r="C981" s="703"/>
      <c r="E981" s="222"/>
      <c r="F981" s="702"/>
    </row>
    <row r="982">
      <c r="C982" s="703"/>
      <c r="E982" s="222"/>
      <c r="F982" s="702"/>
    </row>
    <row r="983">
      <c r="C983" s="703"/>
      <c r="E983" s="222"/>
      <c r="F983" s="702"/>
    </row>
    <row r="984">
      <c r="C984" s="703"/>
      <c r="E984" s="222"/>
      <c r="F984" s="702"/>
    </row>
    <row r="985">
      <c r="C985" s="703"/>
      <c r="E985" s="222"/>
      <c r="F985" s="702"/>
    </row>
    <row r="986">
      <c r="C986" s="703"/>
      <c r="E986" s="222"/>
      <c r="F986" s="702"/>
    </row>
    <row r="987">
      <c r="C987" s="703"/>
      <c r="E987" s="222"/>
      <c r="F987" s="702"/>
    </row>
    <row r="988">
      <c r="C988" s="703"/>
      <c r="E988" s="222"/>
      <c r="F988" s="702"/>
    </row>
    <row r="989">
      <c r="C989" s="703"/>
      <c r="E989" s="222"/>
      <c r="F989" s="702"/>
    </row>
    <row r="990">
      <c r="C990" s="703"/>
      <c r="E990" s="222"/>
      <c r="F990" s="702"/>
    </row>
    <row r="991">
      <c r="C991" s="703"/>
      <c r="E991" s="222"/>
      <c r="F991" s="702"/>
    </row>
    <row r="992">
      <c r="C992" s="703"/>
      <c r="E992" s="222"/>
      <c r="F992" s="702"/>
    </row>
    <row r="993">
      <c r="C993" s="703"/>
      <c r="E993" s="222"/>
      <c r="F993" s="702"/>
    </row>
    <row r="994">
      <c r="C994" s="703"/>
      <c r="E994" s="222"/>
      <c r="F994" s="702"/>
    </row>
    <row r="995">
      <c r="C995" s="703"/>
      <c r="E995" s="222"/>
      <c r="F995" s="702"/>
    </row>
    <row r="996">
      <c r="C996" s="703"/>
      <c r="E996" s="222"/>
      <c r="F996" s="702"/>
    </row>
    <row r="997">
      <c r="C997" s="703"/>
      <c r="E997" s="222"/>
      <c r="F997" s="702"/>
    </row>
    <row r="998">
      <c r="C998" s="703"/>
      <c r="E998" s="222"/>
      <c r="F998" s="702"/>
    </row>
    <row r="999">
      <c r="C999" s="703"/>
      <c r="E999" s="222"/>
      <c r="F999" s="702"/>
    </row>
    <row r="1000">
      <c r="C1000" s="703"/>
      <c r="E1000" s="222"/>
      <c r="F1000" s="702"/>
    </row>
    <row r="1001">
      <c r="C1001" s="703"/>
      <c r="E1001" s="222"/>
      <c r="F1001" s="702"/>
    </row>
    <row r="1002">
      <c r="C1002" s="703"/>
      <c r="E1002" s="222"/>
      <c r="F1002" s="702"/>
    </row>
    <row r="1003">
      <c r="C1003" s="703"/>
      <c r="E1003" s="222"/>
      <c r="F1003" s="702"/>
    </row>
    <row r="1004">
      <c r="C1004" s="703"/>
      <c r="E1004" s="222"/>
      <c r="F1004" s="702"/>
    </row>
    <row r="1005">
      <c r="C1005" s="703"/>
      <c r="E1005" s="222"/>
      <c r="F1005" s="702"/>
    </row>
    <row r="1006">
      <c r="C1006" s="703"/>
      <c r="E1006" s="222"/>
      <c r="F1006" s="702"/>
    </row>
    <row r="1007">
      <c r="C1007" s="703"/>
      <c r="E1007" s="222"/>
      <c r="F1007" s="702"/>
    </row>
    <row r="1008">
      <c r="C1008" s="703"/>
      <c r="E1008" s="222"/>
      <c r="F1008" s="702"/>
    </row>
    <row r="1009">
      <c r="C1009" s="703"/>
      <c r="E1009" s="222"/>
      <c r="F1009" s="702"/>
    </row>
    <row r="1010">
      <c r="C1010" s="703"/>
      <c r="E1010" s="222"/>
      <c r="F1010" s="702"/>
    </row>
    <row r="1011">
      <c r="C1011" s="703"/>
      <c r="E1011" s="222"/>
      <c r="F1011" s="702"/>
    </row>
    <row r="1012">
      <c r="C1012" s="703"/>
      <c r="E1012" s="222"/>
      <c r="F1012" s="702"/>
    </row>
    <row r="1013">
      <c r="C1013" s="703"/>
      <c r="E1013" s="222"/>
      <c r="F1013" s="702"/>
    </row>
    <row r="1014">
      <c r="C1014" s="703"/>
      <c r="E1014" s="222"/>
      <c r="F1014" s="702"/>
    </row>
    <row r="1015">
      <c r="C1015" s="703"/>
      <c r="E1015" s="222"/>
      <c r="F1015" s="702"/>
    </row>
    <row r="1016">
      <c r="C1016" s="703"/>
      <c r="E1016" s="222"/>
      <c r="F1016" s="702"/>
    </row>
    <row r="1017">
      <c r="C1017" s="703"/>
      <c r="E1017" s="222"/>
      <c r="F1017" s="702"/>
    </row>
    <row r="1018">
      <c r="C1018" s="703"/>
      <c r="E1018" s="222"/>
      <c r="F1018" s="702"/>
    </row>
    <row r="1019">
      <c r="C1019" s="703"/>
      <c r="E1019" s="222"/>
      <c r="F1019" s="702"/>
    </row>
    <row r="1020">
      <c r="C1020" s="703"/>
      <c r="E1020" s="222"/>
      <c r="F1020" s="702"/>
    </row>
    <row r="1021">
      <c r="C1021" s="703"/>
      <c r="E1021" s="222"/>
      <c r="F1021" s="702"/>
    </row>
    <row r="1022">
      <c r="C1022" s="703"/>
      <c r="E1022" s="222"/>
      <c r="F1022" s="702"/>
    </row>
    <row r="1023">
      <c r="C1023" s="703"/>
      <c r="E1023" s="222"/>
      <c r="F1023" s="702"/>
    </row>
    <row r="1024">
      <c r="C1024" s="703"/>
      <c r="E1024" s="222"/>
      <c r="F1024" s="702"/>
    </row>
    <row r="1025">
      <c r="C1025" s="703"/>
      <c r="E1025" s="222"/>
      <c r="F1025" s="702"/>
    </row>
    <row r="1026">
      <c r="C1026" s="703"/>
      <c r="E1026" s="222"/>
      <c r="F1026" s="702"/>
    </row>
    <row r="1027">
      <c r="C1027" s="703"/>
      <c r="E1027" s="222"/>
      <c r="F1027" s="702"/>
    </row>
    <row r="1028">
      <c r="C1028" s="703"/>
      <c r="E1028" s="222"/>
      <c r="F1028" s="702"/>
    </row>
    <row r="1029">
      <c r="C1029" s="703"/>
      <c r="E1029" s="222"/>
      <c r="F1029" s="702"/>
    </row>
    <row r="1030">
      <c r="C1030" s="703"/>
      <c r="E1030" s="222"/>
      <c r="F1030" s="702"/>
    </row>
    <row r="1031">
      <c r="C1031" s="703"/>
      <c r="E1031" s="222"/>
      <c r="F1031" s="702"/>
    </row>
    <row r="1032">
      <c r="C1032" s="703"/>
      <c r="E1032" s="222"/>
      <c r="F1032" s="702"/>
    </row>
    <row r="1033">
      <c r="C1033" s="703"/>
      <c r="E1033" s="222"/>
      <c r="F1033" s="702"/>
    </row>
    <row r="1034">
      <c r="C1034" s="703"/>
      <c r="E1034" s="222"/>
      <c r="F1034" s="702"/>
    </row>
    <row r="1035">
      <c r="C1035" s="703"/>
      <c r="E1035" s="222"/>
      <c r="F1035" s="702"/>
    </row>
    <row r="1036">
      <c r="C1036" s="703"/>
      <c r="E1036" s="222"/>
      <c r="F1036" s="702"/>
    </row>
    <row r="1037">
      <c r="C1037" s="703"/>
      <c r="E1037" s="222"/>
      <c r="F1037" s="702"/>
    </row>
    <row r="1038">
      <c r="C1038" s="703"/>
      <c r="E1038" s="222"/>
      <c r="F1038" s="702"/>
    </row>
    <row r="1039">
      <c r="C1039" s="703"/>
      <c r="E1039" s="222"/>
      <c r="F1039" s="702"/>
    </row>
    <row r="1040">
      <c r="C1040" s="703"/>
      <c r="E1040" s="222"/>
      <c r="F1040" s="702"/>
    </row>
    <row r="1041">
      <c r="C1041" s="703"/>
      <c r="E1041" s="222"/>
      <c r="F1041" s="702"/>
    </row>
    <row r="1042">
      <c r="C1042" s="703"/>
      <c r="E1042" s="222"/>
      <c r="F1042" s="702"/>
    </row>
    <row r="1043">
      <c r="C1043" s="703"/>
      <c r="E1043" s="222"/>
      <c r="F1043" s="702"/>
    </row>
    <row r="1044">
      <c r="C1044" s="703"/>
      <c r="E1044" s="222"/>
      <c r="F1044" s="702"/>
    </row>
    <row r="1045">
      <c r="C1045" s="703"/>
      <c r="E1045" s="222"/>
      <c r="F1045" s="702"/>
    </row>
    <row r="1046">
      <c r="C1046" s="703"/>
      <c r="E1046" s="222"/>
      <c r="F1046" s="702"/>
    </row>
    <row r="1047">
      <c r="C1047" s="703"/>
      <c r="E1047" s="222"/>
      <c r="F1047" s="702"/>
    </row>
    <row r="1048">
      <c r="C1048" s="703"/>
      <c r="E1048" s="222"/>
      <c r="F1048" s="702"/>
    </row>
    <row r="1049">
      <c r="C1049" s="703"/>
      <c r="E1049" s="222"/>
      <c r="F1049" s="702"/>
    </row>
    <row r="1050">
      <c r="C1050" s="703"/>
      <c r="E1050" s="222"/>
      <c r="F1050" s="702"/>
    </row>
    <row r="1051">
      <c r="C1051" s="703"/>
      <c r="E1051" s="222"/>
      <c r="F1051" s="702"/>
    </row>
    <row r="1052">
      <c r="C1052" s="703"/>
      <c r="E1052" s="222"/>
      <c r="F1052" s="702"/>
    </row>
    <row r="1053">
      <c r="C1053" s="703"/>
      <c r="E1053" s="222"/>
      <c r="F1053" s="702"/>
    </row>
    <row r="1054">
      <c r="C1054" s="703"/>
      <c r="E1054" s="222"/>
      <c r="F1054" s="702"/>
    </row>
    <row r="1055">
      <c r="C1055" s="703"/>
      <c r="E1055" s="222"/>
      <c r="F1055" s="702"/>
    </row>
    <row r="1056">
      <c r="C1056" s="703"/>
      <c r="E1056" s="222"/>
      <c r="F1056" s="702"/>
    </row>
    <row r="1057">
      <c r="C1057" s="703"/>
      <c r="E1057" s="222"/>
      <c r="F1057" s="702"/>
    </row>
    <row r="1058">
      <c r="C1058" s="703"/>
      <c r="E1058" s="222"/>
      <c r="F1058" s="702"/>
    </row>
    <row r="1059">
      <c r="C1059" s="703"/>
      <c r="E1059" s="222"/>
      <c r="F1059" s="702"/>
    </row>
    <row r="1060">
      <c r="C1060" s="703"/>
      <c r="E1060" s="222"/>
      <c r="F1060" s="702"/>
    </row>
    <row r="1061">
      <c r="C1061" s="703"/>
      <c r="E1061" s="222"/>
      <c r="F1061" s="702"/>
    </row>
    <row r="1062">
      <c r="C1062" s="703"/>
      <c r="E1062" s="222"/>
      <c r="F1062" s="702"/>
    </row>
    <row r="1063">
      <c r="C1063" s="703"/>
      <c r="E1063" s="222"/>
      <c r="F1063" s="702"/>
    </row>
    <row r="1064">
      <c r="C1064" s="703"/>
      <c r="E1064" s="222"/>
      <c r="F1064" s="702"/>
    </row>
    <row r="1065">
      <c r="C1065" s="703"/>
      <c r="E1065" s="222"/>
      <c r="F1065" s="702"/>
    </row>
    <row r="1066">
      <c r="C1066" s="703"/>
      <c r="E1066" s="222"/>
      <c r="F1066" s="702"/>
    </row>
    <row r="1067">
      <c r="C1067" s="703"/>
      <c r="E1067" s="222"/>
      <c r="F1067" s="702"/>
    </row>
    <row r="1068">
      <c r="C1068" s="703"/>
      <c r="E1068" s="222"/>
      <c r="F1068" s="702"/>
    </row>
    <row r="1069">
      <c r="C1069" s="703"/>
      <c r="E1069" s="222"/>
      <c r="F1069" s="702"/>
    </row>
    <row r="1070">
      <c r="C1070" s="703"/>
      <c r="E1070" s="222"/>
      <c r="F1070" s="702"/>
    </row>
    <row r="1071">
      <c r="C1071" s="703"/>
      <c r="E1071" s="222"/>
      <c r="F1071" s="702"/>
    </row>
    <row r="1072">
      <c r="C1072" s="703"/>
      <c r="E1072" s="222"/>
      <c r="F1072" s="702"/>
    </row>
    <row r="1073">
      <c r="C1073" s="703"/>
      <c r="E1073" s="222"/>
      <c r="F1073" s="702"/>
    </row>
    <row r="1074">
      <c r="C1074" s="703"/>
      <c r="E1074" s="222"/>
      <c r="F1074" s="702"/>
    </row>
    <row r="1075">
      <c r="C1075" s="703"/>
      <c r="E1075" s="222"/>
      <c r="F1075" s="702"/>
    </row>
    <row r="1076">
      <c r="C1076" s="703"/>
      <c r="E1076" s="222"/>
      <c r="F1076" s="702"/>
    </row>
    <row r="1077">
      <c r="C1077" s="703"/>
      <c r="E1077" s="222"/>
      <c r="F1077" s="702"/>
    </row>
    <row r="1078">
      <c r="C1078" s="703"/>
      <c r="E1078" s="222"/>
      <c r="F1078" s="702"/>
    </row>
    <row r="1079">
      <c r="C1079" s="703"/>
      <c r="E1079" s="222"/>
      <c r="F1079" s="702"/>
    </row>
    <row r="1080">
      <c r="C1080" s="703"/>
      <c r="E1080" s="222"/>
      <c r="F1080" s="702"/>
    </row>
    <row r="1081">
      <c r="C1081" s="703"/>
      <c r="E1081" s="222"/>
      <c r="F1081" s="702"/>
    </row>
    <row r="1082">
      <c r="C1082" s="703"/>
      <c r="E1082" s="222"/>
      <c r="F1082" s="702"/>
    </row>
    <row r="1083">
      <c r="C1083" s="703"/>
      <c r="E1083" s="222"/>
      <c r="F1083" s="702"/>
    </row>
    <row r="1084">
      <c r="C1084" s="703"/>
      <c r="E1084" s="222"/>
      <c r="F1084" s="702"/>
    </row>
    <row r="1085">
      <c r="C1085" s="703"/>
      <c r="E1085" s="222"/>
      <c r="F1085" s="702"/>
    </row>
    <row r="1086">
      <c r="C1086" s="703"/>
      <c r="E1086" s="222"/>
      <c r="F1086" s="702"/>
    </row>
    <row r="1087">
      <c r="C1087" s="703"/>
      <c r="E1087" s="222"/>
      <c r="F1087" s="702"/>
    </row>
    <row r="1088">
      <c r="C1088" s="703"/>
      <c r="E1088" s="222"/>
      <c r="F1088" s="702"/>
    </row>
    <row r="1089">
      <c r="C1089" s="703"/>
      <c r="E1089" s="222"/>
      <c r="F1089" s="702"/>
    </row>
    <row r="1090">
      <c r="C1090" s="703"/>
      <c r="E1090" s="222"/>
      <c r="F1090" s="702"/>
    </row>
    <row r="1091">
      <c r="C1091" s="703"/>
      <c r="E1091" s="222"/>
      <c r="F1091" s="702"/>
    </row>
    <row r="1092">
      <c r="C1092" s="703"/>
      <c r="E1092" s="222"/>
      <c r="F1092" s="702"/>
    </row>
    <row r="1093">
      <c r="C1093" s="703"/>
      <c r="E1093" s="222"/>
      <c r="F1093" s="702"/>
    </row>
    <row r="1094">
      <c r="C1094" s="703"/>
      <c r="E1094" s="222"/>
      <c r="F1094" s="702"/>
    </row>
    <row r="1095">
      <c r="C1095" s="703"/>
      <c r="E1095" s="222"/>
      <c r="F1095" s="702"/>
    </row>
    <row r="1096">
      <c r="C1096" s="703"/>
      <c r="E1096" s="222"/>
      <c r="F1096" s="702"/>
    </row>
    <row r="1097">
      <c r="C1097" s="703"/>
      <c r="E1097" s="222"/>
      <c r="F1097" s="702"/>
    </row>
    <row r="1098">
      <c r="C1098" s="703"/>
      <c r="E1098" s="222"/>
      <c r="F1098" s="702"/>
    </row>
    <row r="1099">
      <c r="C1099" s="703"/>
      <c r="E1099" s="222"/>
      <c r="F1099" s="702"/>
    </row>
    <row r="1100">
      <c r="C1100" s="703"/>
      <c r="E1100" s="222"/>
      <c r="F1100" s="702"/>
    </row>
    <row r="1101">
      <c r="C1101" s="703"/>
      <c r="E1101" s="222"/>
      <c r="F1101" s="702"/>
    </row>
    <row r="1102">
      <c r="C1102" s="703"/>
      <c r="E1102" s="222"/>
      <c r="F1102" s="702"/>
    </row>
    <row r="1103">
      <c r="C1103" s="703"/>
      <c r="E1103" s="222"/>
      <c r="F1103" s="702"/>
    </row>
    <row r="1104">
      <c r="C1104" s="703"/>
      <c r="E1104" s="222"/>
      <c r="F1104" s="702"/>
    </row>
    <row r="1105">
      <c r="C1105" s="703"/>
      <c r="E1105" s="222"/>
      <c r="F1105" s="702"/>
    </row>
    <row r="1106">
      <c r="C1106" s="703"/>
      <c r="E1106" s="222"/>
      <c r="F1106" s="702"/>
    </row>
    <row r="1107">
      <c r="C1107" s="703"/>
      <c r="E1107" s="222"/>
      <c r="F1107" s="702"/>
    </row>
    <row r="1108">
      <c r="C1108" s="703"/>
      <c r="E1108" s="222"/>
      <c r="F1108" s="702"/>
    </row>
    <row r="1109">
      <c r="C1109" s="703"/>
      <c r="E1109" s="222"/>
      <c r="F1109" s="702"/>
    </row>
    <row r="1110">
      <c r="C1110" s="703"/>
      <c r="E1110" s="222"/>
      <c r="F1110" s="702"/>
    </row>
    <row r="1111">
      <c r="C1111" s="703"/>
      <c r="E1111" s="222"/>
      <c r="F1111" s="702"/>
    </row>
    <row r="1112">
      <c r="C1112" s="703"/>
      <c r="E1112" s="222"/>
      <c r="F1112" s="702"/>
    </row>
    <row r="1113">
      <c r="C1113" s="703"/>
      <c r="E1113" s="222"/>
      <c r="F1113" s="702"/>
    </row>
    <row r="1114">
      <c r="C1114" s="703"/>
      <c r="E1114" s="222"/>
      <c r="F1114" s="702"/>
    </row>
    <row r="1115">
      <c r="C1115" s="703"/>
      <c r="E1115" s="222"/>
      <c r="F1115" s="702"/>
    </row>
    <row r="1116">
      <c r="C1116" s="703"/>
      <c r="E1116" s="222"/>
      <c r="F1116" s="702"/>
    </row>
    <row r="1117">
      <c r="C1117" s="703"/>
      <c r="E1117" s="222"/>
      <c r="F1117" s="702"/>
    </row>
    <row r="1118">
      <c r="C1118" s="703"/>
      <c r="E1118" s="222"/>
      <c r="F1118" s="702"/>
    </row>
    <row r="1119">
      <c r="C1119" s="703"/>
      <c r="E1119" s="222"/>
      <c r="F1119" s="702"/>
    </row>
    <row r="1120">
      <c r="C1120" s="703"/>
      <c r="E1120" s="222"/>
      <c r="F1120" s="702"/>
    </row>
    <row r="1121">
      <c r="C1121" s="703"/>
      <c r="E1121" s="222"/>
      <c r="F1121" s="702"/>
    </row>
    <row r="1122">
      <c r="C1122" s="703"/>
      <c r="E1122" s="222"/>
      <c r="F1122" s="702"/>
    </row>
    <row r="1123">
      <c r="C1123" s="703"/>
      <c r="E1123" s="222"/>
      <c r="F1123" s="702"/>
    </row>
    <row r="1124">
      <c r="C1124" s="703"/>
      <c r="E1124" s="222"/>
      <c r="F1124" s="702"/>
    </row>
    <row r="1125">
      <c r="C1125" s="703"/>
      <c r="E1125" s="222"/>
      <c r="F1125" s="702"/>
    </row>
    <row r="1126">
      <c r="C1126" s="703"/>
      <c r="E1126" s="222"/>
      <c r="F1126" s="702"/>
    </row>
    <row r="1127">
      <c r="C1127" s="703"/>
      <c r="E1127" s="222"/>
      <c r="F1127" s="702"/>
    </row>
    <row r="1128">
      <c r="C1128" s="703"/>
      <c r="E1128" s="222"/>
      <c r="F1128" s="702"/>
    </row>
    <row r="1129">
      <c r="C1129" s="703"/>
      <c r="E1129" s="222"/>
      <c r="F1129" s="702"/>
    </row>
    <row r="1130">
      <c r="C1130" s="703"/>
      <c r="E1130" s="222"/>
      <c r="F1130" s="702"/>
    </row>
    <row r="1131">
      <c r="C1131" s="703"/>
      <c r="E1131" s="222"/>
      <c r="F1131" s="702"/>
    </row>
    <row r="1132">
      <c r="C1132" s="703"/>
      <c r="E1132" s="222"/>
      <c r="F1132" s="702"/>
    </row>
    <row r="1133">
      <c r="C1133" s="703"/>
      <c r="E1133" s="222"/>
      <c r="F1133" s="702"/>
    </row>
    <row r="1134">
      <c r="C1134" s="703"/>
      <c r="E1134" s="222"/>
      <c r="F1134" s="702"/>
    </row>
    <row r="1135">
      <c r="C1135" s="703"/>
      <c r="E1135" s="222"/>
      <c r="F1135" s="702"/>
    </row>
    <row r="1136">
      <c r="C1136" s="703"/>
      <c r="E1136" s="222"/>
      <c r="F1136" s="702"/>
    </row>
    <row r="1137">
      <c r="C1137" s="703"/>
      <c r="E1137" s="222"/>
      <c r="F1137" s="702"/>
    </row>
    <row r="1138">
      <c r="C1138" s="703"/>
      <c r="E1138" s="222"/>
      <c r="F1138" s="702"/>
    </row>
    <row r="1139">
      <c r="C1139" s="703"/>
      <c r="E1139" s="222"/>
      <c r="F1139" s="702"/>
    </row>
    <row r="1140">
      <c r="C1140" s="703"/>
      <c r="E1140" s="222"/>
      <c r="F1140" s="702"/>
    </row>
    <row r="1141">
      <c r="C1141" s="703"/>
      <c r="E1141" s="222"/>
      <c r="F1141" s="702"/>
    </row>
    <row r="1142">
      <c r="C1142" s="703"/>
      <c r="E1142" s="222"/>
      <c r="F1142" s="702"/>
    </row>
    <row r="1143">
      <c r="C1143" s="703"/>
      <c r="E1143" s="222"/>
      <c r="F1143" s="702"/>
    </row>
    <row r="1144">
      <c r="C1144" s="703"/>
      <c r="E1144" s="222"/>
      <c r="F1144" s="702"/>
    </row>
    <row r="1145">
      <c r="C1145" s="703"/>
      <c r="E1145" s="222"/>
      <c r="F1145" s="702"/>
    </row>
    <row r="1146">
      <c r="C1146" s="703"/>
      <c r="E1146" s="222"/>
      <c r="F1146" s="702"/>
    </row>
    <row r="1147">
      <c r="C1147" s="703"/>
      <c r="E1147" s="222"/>
      <c r="F1147" s="702"/>
    </row>
    <row r="1148">
      <c r="C1148" s="703"/>
      <c r="E1148" s="222"/>
      <c r="F1148" s="702"/>
    </row>
    <row r="1149">
      <c r="C1149" s="703"/>
      <c r="E1149" s="222"/>
      <c r="F1149" s="702"/>
    </row>
    <row r="1150">
      <c r="C1150" s="703"/>
      <c r="E1150" s="222"/>
      <c r="F1150" s="702"/>
    </row>
    <row r="1151">
      <c r="C1151" s="703"/>
      <c r="E1151" s="222"/>
      <c r="F1151" s="702"/>
    </row>
    <row r="1152">
      <c r="C1152" s="703"/>
      <c r="E1152" s="222"/>
      <c r="F1152" s="702"/>
    </row>
    <row r="1153">
      <c r="C1153" s="703"/>
      <c r="E1153" s="222"/>
      <c r="F1153" s="702"/>
    </row>
    <row r="1154">
      <c r="C1154" s="703"/>
      <c r="E1154" s="222"/>
      <c r="F1154" s="702"/>
    </row>
    <row r="1155">
      <c r="C1155" s="703"/>
      <c r="E1155" s="222"/>
      <c r="F1155" s="702"/>
    </row>
    <row r="1156">
      <c r="C1156" s="703"/>
      <c r="E1156" s="222"/>
      <c r="F1156" s="702"/>
    </row>
    <row r="1157">
      <c r="C1157" s="703"/>
      <c r="E1157" s="222"/>
      <c r="F1157" s="702"/>
    </row>
    <row r="1158">
      <c r="C1158" s="703"/>
      <c r="E1158" s="222"/>
      <c r="F1158" s="702"/>
    </row>
    <row r="1159">
      <c r="C1159" s="703"/>
      <c r="E1159" s="222"/>
      <c r="F1159" s="702"/>
    </row>
    <row r="1160">
      <c r="C1160" s="703"/>
      <c r="E1160" s="222"/>
      <c r="F1160" s="702"/>
    </row>
    <row r="1161">
      <c r="C1161" s="703"/>
      <c r="E1161" s="222"/>
      <c r="F1161" s="702"/>
    </row>
    <row r="1162">
      <c r="C1162" s="703"/>
      <c r="E1162" s="222"/>
      <c r="F1162" s="702"/>
    </row>
    <row r="1163">
      <c r="C1163" s="703"/>
      <c r="E1163" s="222"/>
      <c r="F1163" s="702"/>
    </row>
    <row r="1164">
      <c r="C1164" s="703"/>
      <c r="E1164" s="222"/>
      <c r="F1164" s="702"/>
    </row>
    <row r="1165">
      <c r="C1165" s="703"/>
      <c r="E1165" s="222"/>
      <c r="F1165" s="702"/>
    </row>
    <row r="1166">
      <c r="C1166" s="703"/>
      <c r="E1166" s="222"/>
      <c r="F1166" s="702"/>
    </row>
    <row r="1167">
      <c r="C1167" s="703"/>
      <c r="E1167" s="222"/>
      <c r="F1167" s="702"/>
    </row>
    <row r="1168">
      <c r="C1168" s="703"/>
      <c r="E1168" s="222"/>
      <c r="F1168" s="702"/>
    </row>
    <row r="1169">
      <c r="C1169" s="703"/>
      <c r="E1169" s="222"/>
      <c r="F1169" s="702"/>
    </row>
    <row r="1170">
      <c r="C1170" s="703"/>
      <c r="E1170" s="222"/>
      <c r="F1170" s="702"/>
    </row>
    <row r="1171">
      <c r="C1171" s="703"/>
      <c r="E1171" s="222"/>
      <c r="F1171" s="702"/>
    </row>
    <row r="1172">
      <c r="C1172" s="703"/>
      <c r="E1172" s="222"/>
      <c r="F1172" s="702"/>
    </row>
    <row r="1173">
      <c r="C1173" s="703"/>
      <c r="E1173" s="222"/>
      <c r="F1173" s="702"/>
    </row>
    <row r="1174">
      <c r="C1174" s="703"/>
      <c r="E1174" s="222"/>
      <c r="F1174" s="702"/>
    </row>
    <row r="1175">
      <c r="C1175" s="703"/>
      <c r="E1175" s="222"/>
      <c r="F1175" s="702"/>
    </row>
    <row r="1176">
      <c r="C1176" s="703"/>
      <c r="E1176" s="222"/>
      <c r="F1176" s="702"/>
    </row>
    <row r="1177">
      <c r="C1177" s="703"/>
      <c r="E1177" s="222"/>
      <c r="F1177" s="702"/>
    </row>
    <row r="1178">
      <c r="C1178" s="703"/>
      <c r="E1178" s="222"/>
      <c r="F1178" s="702"/>
    </row>
    <row r="1179">
      <c r="C1179" s="703"/>
      <c r="E1179" s="222"/>
      <c r="F1179" s="702"/>
    </row>
    <row r="1180">
      <c r="C1180" s="703"/>
      <c r="E1180" s="222"/>
      <c r="F1180" s="702"/>
    </row>
    <row r="1181">
      <c r="C1181" s="703"/>
      <c r="E1181" s="222"/>
      <c r="F1181" s="702"/>
    </row>
    <row r="1182">
      <c r="C1182" s="703"/>
      <c r="E1182" s="222"/>
      <c r="F1182" s="702"/>
    </row>
    <row r="1183">
      <c r="C1183" s="703"/>
      <c r="E1183" s="222"/>
      <c r="F1183" s="702"/>
    </row>
    <row r="1184">
      <c r="C1184" s="703"/>
      <c r="E1184" s="222"/>
      <c r="F1184" s="702"/>
    </row>
    <row r="1185">
      <c r="C1185" s="703"/>
      <c r="E1185" s="222"/>
      <c r="F1185" s="702"/>
    </row>
    <row r="1186">
      <c r="C1186" s="703"/>
      <c r="E1186" s="222"/>
      <c r="F1186" s="702"/>
    </row>
    <row r="1187">
      <c r="C1187" s="703"/>
      <c r="E1187" s="222"/>
      <c r="F1187" s="702"/>
    </row>
    <row r="1188">
      <c r="C1188" s="703"/>
      <c r="E1188" s="222"/>
      <c r="F1188" s="702"/>
    </row>
    <row r="1189">
      <c r="C1189" s="703"/>
      <c r="E1189" s="222"/>
      <c r="F1189" s="702"/>
    </row>
    <row r="1190">
      <c r="C1190" s="703"/>
      <c r="E1190" s="222"/>
      <c r="F1190" s="702"/>
    </row>
    <row r="1191">
      <c r="C1191" s="703"/>
      <c r="E1191" s="222"/>
      <c r="F1191" s="702"/>
    </row>
    <row r="1192">
      <c r="C1192" s="703"/>
      <c r="E1192" s="222"/>
      <c r="F1192" s="702"/>
    </row>
    <row r="1193">
      <c r="C1193" s="703"/>
      <c r="E1193" s="222"/>
      <c r="F1193" s="702"/>
    </row>
    <row r="1194">
      <c r="C1194" s="703"/>
      <c r="E1194" s="222"/>
      <c r="F1194" s="702"/>
    </row>
    <row r="1195">
      <c r="C1195" s="703"/>
      <c r="E1195" s="222"/>
      <c r="F1195" s="702"/>
    </row>
    <row r="1196">
      <c r="C1196" s="703"/>
      <c r="E1196" s="222"/>
      <c r="F1196" s="702"/>
    </row>
    <row r="1197">
      <c r="C1197" s="703"/>
      <c r="E1197" s="222"/>
      <c r="F1197" s="702"/>
    </row>
    <row r="1198">
      <c r="C1198" s="703"/>
      <c r="E1198" s="222"/>
      <c r="F1198" s="702"/>
    </row>
    <row r="1199">
      <c r="C1199" s="703"/>
      <c r="E1199" s="222"/>
      <c r="F1199" s="702"/>
    </row>
    <row r="1200">
      <c r="C1200" s="703"/>
      <c r="E1200" s="222"/>
      <c r="F1200" s="702"/>
    </row>
    <row r="1201">
      <c r="C1201" s="703"/>
      <c r="E1201" s="222"/>
      <c r="F1201" s="702"/>
    </row>
    <row r="1202">
      <c r="C1202" s="703"/>
      <c r="E1202" s="222"/>
      <c r="F1202" s="702"/>
    </row>
    <row r="1203">
      <c r="C1203" s="703"/>
      <c r="E1203" s="222"/>
      <c r="F1203" s="702"/>
    </row>
    <row r="1204">
      <c r="C1204" s="703"/>
      <c r="E1204" s="222"/>
      <c r="F1204" s="702"/>
    </row>
    <row r="1205">
      <c r="C1205" s="703"/>
      <c r="E1205" s="222"/>
      <c r="F1205" s="702"/>
    </row>
    <row r="1206">
      <c r="C1206" s="703"/>
      <c r="E1206" s="222"/>
      <c r="F1206" s="702"/>
    </row>
    <row r="1207">
      <c r="C1207" s="703"/>
      <c r="E1207" s="222"/>
      <c r="F1207" s="702"/>
    </row>
    <row r="1208">
      <c r="C1208" s="703"/>
      <c r="E1208" s="222"/>
      <c r="F1208" s="702"/>
    </row>
    <row r="1209">
      <c r="C1209" s="703"/>
      <c r="E1209" s="222"/>
      <c r="F1209" s="702"/>
    </row>
    <row r="1210">
      <c r="C1210" s="703"/>
      <c r="E1210" s="222"/>
      <c r="F1210" s="702"/>
    </row>
    <row r="1211">
      <c r="C1211" s="703"/>
      <c r="E1211" s="222"/>
      <c r="F1211" s="702"/>
    </row>
    <row r="1212">
      <c r="C1212" s="703"/>
      <c r="E1212" s="222"/>
      <c r="F1212" s="702"/>
    </row>
    <row r="1213">
      <c r="C1213" s="703"/>
      <c r="E1213" s="222"/>
      <c r="F1213" s="702"/>
    </row>
    <row r="1214">
      <c r="C1214" s="703"/>
      <c r="E1214" s="222"/>
      <c r="F1214" s="702"/>
    </row>
    <row r="1215">
      <c r="C1215" s="703"/>
      <c r="E1215" s="222"/>
      <c r="F1215" s="702"/>
    </row>
    <row r="1216">
      <c r="C1216" s="703"/>
      <c r="E1216" s="222"/>
      <c r="F1216" s="702"/>
    </row>
    <row r="1217">
      <c r="C1217" s="703"/>
      <c r="E1217" s="222"/>
      <c r="F1217" s="702"/>
    </row>
    <row r="1218">
      <c r="C1218" s="703"/>
      <c r="E1218" s="222"/>
      <c r="F1218" s="702"/>
    </row>
    <row r="1219">
      <c r="C1219" s="703"/>
      <c r="E1219" s="222"/>
      <c r="F1219" s="702"/>
    </row>
    <row r="1220">
      <c r="C1220" s="703"/>
      <c r="E1220" s="222"/>
      <c r="F1220" s="702"/>
    </row>
    <row r="1221">
      <c r="C1221" s="703"/>
      <c r="E1221" s="222"/>
      <c r="F1221" s="702"/>
    </row>
    <row r="1222">
      <c r="C1222" s="703"/>
      <c r="E1222" s="222"/>
      <c r="F1222" s="702"/>
    </row>
    <row r="1223">
      <c r="C1223" s="703"/>
      <c r="E1223" s="222"/>
      <c r="F1223" s="702"/>
    </row>
    <row r="1224">
      <c r="C1224" s="703"/>
      <c r="E1224" s="222"/>
      <c r="F1224" s="702"/>
    </row>
    <row r="1225">
      <c r="C1225" s="703"/>
      <c r="E1225" s="222"/>
      <c r="F1225" s="702"/>
    </row>
    <row r="1226">
      <c r="C1226" s="703"/>
      <c r="E1226" s="222"/>
      <c r="F1226" s="702"/>
    </row>
    <row r="1227">
      <c r="C1227" s="703"/>
      <c r="E1227" s="222"/>
      <c r="F1227" s="702"/>
    </row>
    <row r="1228">
      <c r="C1228" s="703"/>
      <c r="E1228" s="222"/>
      <c r="F1228" s="702"/>
    </row>
    <row r="1229">
      <c r="C1229" s="703"/>
      <c r="E1229" s="222"/>
      <c r="F1229" s="702"/>
    </row>
    <row r="1230">
      <c r="C1230" s="703"/>
      <c r="E1230" s="222"/>
      <c r="F1230" s="702"/>
    </row>
    <row r="1231">
      <c r="C1231" s="703"/>
      <c r="E1231" s="222"/>
      <c r="F1231" s="702"/>
    </row>
    <row r="1232">
      <c r="C1232" s="703"/>
      <c r="E1232" s="222"/>
      <c r="F1232" s="702"/>
    </row>
    <row r="1233">
      <c r="C1233" s="703"/>
      <c r="E1233" s="222"/>
      <c r="F1233" s="702"/>
    </row>
    <row r="1234">
      <c r="C1234" s="703"/>
      <c r="E1234" s="222"/>
      <c r="F1234" s="702"/>
    </row>
    <row r="1235">
      <c r="C1235" s="703"/>
      <c r="E1235" s="222"/>
      <c r="F1235" s="702"/>
    </row>
    <row r="1236">
      <c r="C1236" s="703"/>
      <c r="E1236" s="222"/>
      <c r="F1236" s="702"/>
    </row>
    <row r="1237">
      <c r="C1237" s="703"/>
      <c r="E1237" s="222"/>
      <c r="F1237" s="702"/>
    </row>
    <row r="1238">
      <c r="C1238" s="703"/>
      <c r="E1238" s="222"/>
      <c r="F1238" s="702"/>
    </row>
    <row r="1239">
      <c r="C1239" s="703"/>
      <c r="E1239" s="222"/>
      <c r="F1239" s="702"/>
    </row>
    <row r="1240">
      <c r="C1240" s="703"/>
      <c r="E1240" s="222"/>
      <c r="F1240" s="702"/>
    </row>
    <row r="1241">
      <c r="C1241" s="703"/>
      <c r="E1241" s="222"/>
      <c r="F1241" s="702"/>
    </row>
    <row r="1242">
      <c r="C1242" s="703"/>
      <c r="E1242" s="222"/>
      <c r="F1242" s="702"/>
    </row>
    <row r="1243">
      <c r="C1243" s="703"/>
      <c r="E1243" s="222"/>
      <c r="F1243" s="702"/>
    </row>
    <row r="1244">
      <c r="C1244" s="703"/>
      <c r="E1244" s="222"/>
      <c r="F1244" s="702"/>
    </row>
    <row r="1245">
      <c r="C1245" s="703"/>
      <c r="E1245" s="222"/>
      <c r="F1245" s="702"/>
    </row>
    <row r="1246">
      <c r="C1246" s="703"/>
      <c r="E1246" s="222"/>
      <c r="F1246" s="702"/>
    </row>
    <row r="1247">
      <c r="C1247" s="703"/>
      <c r="E1247" s="222"/>
      <c r="F1247" s="702"/>
    </row>
    <row r="1248">
      <c r="C1248" s="703"/>
      <c r="E1248" s="222"/>
      <c r="F1248" s="702"/>
    </row>
    <row r="1249">
      <c r="C1249" s="703"/>
      <c r="E1249" s="222"/>
      <c r="F1249" s="702"/>
    </row>
    <row r="1250">
      <c r="C1250" s="703"/>
      <c r="E1250" s="222"/>
      <c r="F1250" s="702"/>
    </row>
    <row r="1251">
      <c r="C1251" s="703"/>
      <c r="E1251" s="222"/>
      <c r="F1251" s="702"/>
    </row>
    <row r="1252">
      <c r="C1252" s="703"/>
      <c r="E1252" s="222"/>
      <c r="F1252" s="702"/>
    </row>
    <row r="1253">
      <c r="C1253" s="703"/>
      <c r="E1253" s="222"/>
      <c r="F1253" s="702"/>
    </row>
    <row r="1254">
      <c r="C1254" s="703"/>
      <c r="E1254" s="222"/>
      <c r="F1254" s="702"/>
    </row>
    <row r="1255">
      <c r="C1255" s="703"/>
      <c r="E1255" s="222"/>
      <c r="F1255" s="702"/>
    </row>
    <row r="1256">
      <c r="C1256" s="703"/>
      <c r="E1256" s="222"/>
      <c r="F1256" s="702"/>
    </row>
    <row r="1257">
      <c r="C1257" s="703"/>
      <c r="E1257" s="222"/>
      <c r="F1257" s="702"/>
    </row>
    <row r="1258">
      <c r="C1258" s="703"/>
      <c r="E1258" s="222"/>
      <c r="F1258" s="702"/>
    </row>
    <row r="1259">
      <c r="C1259" s="703"/>
      <c r="E1259" s="222"/>
      <c r="F1259" s="702"/>
    </row>
    <row r="1260">
      <c r="C1260" s="703"/>
      <c r="E1260" s="222"/>
      <c r="F1260" s="702"/>
    </row>
    <row r="1261">
      <c r="C1261" s="703"/>
      <c r="E1261" s="222"/>
      <c r="F1261" s="702"/>
    </row>
    <row r="1262">
      <c r="C1262" s="703"/>
      <c r="E1262" s="222"/>
      <c r="F1262" s="702"/>
    </row>
    <row r="1263">
      <c r="C1263" s="703"/>
      <c r="E1263" s="222"/>
      <c r="F1263" s="702"/>
    </row>
    <row r="1264">
      <c r="C1264" s="703"/>
      <c r="E1264" s="222"/>
      <c r="F1264" s="702"/>
    </row>
    <row r="1265">
      <c r="C1265" s="703"/>
      <c r="E1265" s="222"/>
      <c r="F1265" s="702"/>
    </row>
    <row r="1266">
      <c r="C1266" s="703"/>
      <c r="E1266" s="222"/>
      <c r="F1266" s="702"/>
    </row>
    <row r="1267">
      <c r="C1267" s="703"/>
      <c r="E1267" s="222"/>
      <c r="F1267" s="702"/>
    </row>
    <row r="1268">
      <c r="C1268" s="703"/>
      <c r="E1268" s="222"/>
      <c r="F1268" s="702"/>
    </row>
    <row r="1269">
      <c r="C1269" s="703"/>
      <c r="E1269" s="222"/>
      <c r="F1269" s="702"/>
    </row>
    <row r="1270">
      <c r="C1270" s="703"/>
      <c r="E1270" s="222"/>
      <c r="F1270" s="702"/>
    </row>
    <row r="1271">
      <c r="C1271" s="703"/>
      <c r="E1271" s="222"/>
      <c r="F1271" s="702"/>
    </row>
    <row r="1272">
      <c r="C1272" s="703"/>
      <c r="E1272" s="222"/>
      <c r="F1272" s="702"/>
    </row>
    <row r="1273">
      <c r="C1273" s="703"/>
      <c r="E1273" s="222"/>
      <c r="F1273" s="702"/>
    </row>
    <row r="1274">
      <c r="C1274" s="703"/>
      <c r="E1274" s="222"/>
      <c r="F1274" s="702"/>
    </row>
    <row r="1275">
      <c r="C1275" s="703"/>
      <c r="E1275" s="222"/>
      <c r="F1275" s="702"/>
    </row>
    <row r="1276">
      <c r="C1276" s="703"/>
      <c r="E1276" s="222"/>
      <c r="F1276" s="702"/>
    </row>
    <row r="1277">
      <c r="C1277" s="703"/>
      <c r="E1277" s="222"/>
      <c r="F1277" s="702"/>
    </row>
    <row r="1278">
      <c r="C1278" s="703"/>
      <c r="E1278" s="222"/>
      <c r="F1278" s="702"/>
    </row>
    <row r="1279">
      <c r="C1279" s="703"/>
      <c r="E1279" s="222"/>
      <c r="F1279" s="702"/>
    </row>
    <row r="1280">
      <c r="C1280" s="703"/>
      <c r="E1280" s="222"/>
      <c r="F1280" s="702"/>
    </row>
    <row r="1281">
      <c r="C1281" s="703"/>
      <c r="E1281" s="222"/>
      <c r="F1281" s="702"/>
    </row>
    <row r="1282">
      <c r="C1282" s="703"/>
      <c r="E1282" s="222"/>
      <c r="F1282" s="702"/>
    </row>
    <row r="1283">
      <c r="C1283" s="703"/>
      <c r="E1283" s="222"/>
      <c r="F1283" s="702"/>
    </row>
    <row r="1284">
      <c r="C1284" s="703"/>
      <c r="E1284" s="222"/>
      <c r="F1284" s="702"/>
    </row>
    <row r="1285">
      <c r="C1285" s="703"/>
      <c r="E1285" s="222"/>
      <c r="F1285" s="702"/>
    </row>
    <row r="1286">
      <c r="C1286" s="703"/>
      <c r="E1286" s="222"/>
      <c r="F1286" s="702"/>
    </row>
    <row r="1287">
      <c r="C1287" s="703"/>
      <c r="E1287" s="222"/>
      <c r="F1287" s="702"/>
    </row>
    <row r="1288">
      <c r="C1288" s="703"/>
      <c r="E1288" s="222"/>
      <c r="F1288" s="702"/>
    </row>
    <row r="1289">
      <c r="C1289" s="703"/>
      <c r="E1289" s="222"/>
      <c r="F1289" s="702"/>
    </row>
    <row r="1290">
      <c r="C1290" s="703"/>
      <c r="E1290" s="222"/>
      <c r="F1290" s="702"/>
    </row>
    <row r="1291">
      <c r="C1291" s="703"/>
      <c r="E1291" s="222"/>
      <c r="F1291" s="702"/>
    </row>
    <row r="1292">
      <c r="C1292" s="703"/>
      <c r="E1292" s="222"/>
      <c r="F1292" s="702"/>
    </row>
    <row r="1293">
      <c r="C1293" s="703"/>
      <c r="E1293" s="222"/>
      <c r="F1293" s="702"/>
    </row>
    <row r="1294">
      <c r="C1294" s="703"/>
      <c r="E1294" s="222"/>
      <c r="F1294" s="702"/>
    </row>
    <row r="1295">
      <c r="C1295" s="703"/>
      <c r="E1295" s="222"/>
      <c r="F1295" s="702"/>
    </row>
    <row r="1296">
      <c r="C1296" s="703"/>
      <c r="E1296" s="222"/>
      <c r="F1296" s="702"/>
    </row>
    <row r="1297">
      <c r="C1297" s="703"/>
      <c r="E1297" s="222"/>
      <c r="F1297" s="702"/>
    </row>
    <row r="1298">
      <c r="C1298" s="703"/>
      <c r="E1298" s="222"/>
      <c r="F1298" s="702"/>
    </row>
    <row r="1299">
      <c r="C1299" s="703"/>
      <c r="E1299" s="222"/>
      <c r="F1299" s="702"/>
    </row>
    <row r="1300">
      <c r="C1300" s="703"/>
      <c r="E1300" s="222"/>
      <c r="F1300" s="702"/>
    </row>
    <row r="1301">
      <c r="C1301" s="703"/>
      <c r="E1301" s="222"/>
      <c r="F1301" s="702"/>
    </row>
    <row r="1302">
      <c r="C1302" s="703"/>
      <c r="E1302" s="222"/>
      <c r="F1302" s="702"/>
    </row>
    <row r="1303">
      <c r="C1303" s="703"/>
      <c r="E1303" s="222"/>
      <c r="F1303" s="702"/>
    </row>
    <row r="1304">
      <c r="C1304" s="703"/>
      <c r="E1304" s="222"/>
      <c r="F1304" s="702"/>
    </row>
    <row r="1305">
      <c r="C1305" s="703"/>
      <c r="E1305" s="222"/>
      <c r="F1305" s="702"/>
    </row>
    <row r="1306">
      <c r="C1306" s="703"/>
      <c r="E1306" s="222"/>
      <c r="F1306" s="702"/>
    </row>
    <row r="1307">
      <c r="C1307" s="703"/>
      <c r="E1307" s="222"/>
      <c r="F1307" s="702"/>
    </row>
    <row r="1308">
      <c r="C1308" s="703"/>
      <c r="E1308" s="222"/>
      <c r="F1308" s="702"/>
    </row>
    <row r="1309">
      <c r="C1309" s="703"/>
      <c r="E1309" s="222"/>
      <c r="F1309" s="702"/>
    </row>
    <row r="1310">
      <c r="C1310" s="703"/>
      <c r="E1310" s="222"/>
      <c r="F1310" s="702"/>
    </row>
    <row r="1311">
      <c r="C1311" s="703"/>
      <c r="E1311" s="222"/>
      <c r="F1311" s="702"/>
    </row>
    <row r="1312">
      <c r="C1312" s="703"/>
      <c r="E1312" s="222"/>
      <c r="F1312" s="702"/>
    </row>
    <row r="1313">
      <c r="C1313" s="703"/>
      <c r="E1313" s="222"/>
      <c r="F1313" s="702"/>
    </row>
    <row r="1314">
      <c r="C1314" s="703"/>
      <c r="E1314" s="222"/>
      <c r="F1314" s="702"/>
    </row>
    <row r="1315">
      <c r="C1315" s="703"/>
      <c r="E1315" s="222"/>
      <c r="F1315" s="702"/>
    </row>
    <row r="1316">
      <c r="C1316" s="703"/>
      <c r="E1316" s="222"/>
      <c r="F1316" s="702"/>
    </row>
    <row r="1317">
      <c r="C1317" s="703"/>
      <c r="E1317" s="222"/>
      <c r="F1317" s="702"/>
    </row>
    <row r="1318">
      <c r="C1318" s="703"/>
      <c r="E1318" s="222"/>
      <c r="F1318" s="702"/>
    </row>
    <row r="1319">
      <c r="C1319" s="703"/>
      <c r="E1319" s="222"/>
      <c r="F1319" s="702"/>
    </row>
    <row r="1320">
      <c r="C1320" s="703"/>
      <c r="E1320" s="222"/>
      <c r="F1320" s="702"/>
    </row>
    <row r="1321">
      <c r="C1321" s="703"/>
      <c r="E1321" s="222"/>
      <c r="F1321" s="702"/>
    </row>
    <row r="1322">
      <c r="C1322" s="703"/>
      <c r="E1322" s="222"/>
      <c r="F1322" s="702"/>
    </row>
    <row r="1323">
      <c r="C1323" s="703"/>
      <c r="E1323" s="222"/>
      <c r="F1323" s="702"/>
    </row>
    <row r="1324">
      <c r="C1324" s="703"/>
      <c r="E1324" s="222"/>
      <c r="F1324" s="702"/>
    </row>
    <row r="1325">
      <c r="C1325" s="703"/>
      <c r="E1325" s="222"/>
      <c r="F1325" s="702"/>
    </row>
    <row r="1326">
      <c r="C1326" s="703"/>
      <c r="E1326" s="222"/>
      <c r="F1326" s="702"/>
    </row>
    <row r="1327">
      <c r="C1327" s="703"/>
      <c r="E1327" s="222"/>
      <c r="F1327" s="702"/>
    </row>
    <row r="1328">
      <c r="C1328" s="703"/>
      <c r="E1328" s="222"/>
      <c r="F1328" s="702"/>
    </row>
    <row r="1329">
      <c r="C1329" s="703"/>
      <c r="E1329" s="222"/>
      <c r="F1329" s="702"/>
    </row>
    <row r="1330">
      <c r="C1330" s="703"/>
      <c r="E1330" s="222"/>
      <c r="F1330" s="702"/>
    </row>
    <row r="1331">
      <c r="C1331" s="703"/>
      <c r="E1331" s="222"/>
      <c r="F1331" s="702"/>
    </row>
    <row r="1332">
      <c r="C1332" s="703"/>
      <c r="E1332" s="222"/>
      <c r="F1332" s="702"/>
    </row>
    <row r="1333">
      <c r="C1333" s="703"/>
      <c r="E1333" s="222"/>
      <c r="F1333" s="702"/>
    </row>
    <row r="1334">
      <c r="C1334" s="703"/>
      <c r="E1334" s="222"/>
      <c r="F1334" s="702"/>
    </row>
    <row r="1335">
      <c r="C1335" s="703"/>
      <c r="E1335" s="222"/>
      <c r="F1335" s="702"/>
    </row>
    <row r="1336">
      <c r="C1336" s="703"/>
      <c r="E1336" s="222"/>
      <c r="F1336" s="702"/>
    </row>
    <row r="1337">
      <c r="C1337" s="703"/>
      <c r="E1337" s="222"/>
      <c r="F1337" s="702"/>
    </row>
    <row r="1338">
      <c r="C1338" s="703"/>
      <c r="E1338" s="222"/>
      <c r="F1338" s="702"/>
    </row>
    <row r="1339">
      <c r="C1339" s="703"/>
      <c r="E1339" s="222"/>
      <c r="F1339" s="702"/>
    </row>
    <row r="1340">
      <c r="C1340" s="703"/>
      <c r="E1340" s="222"/>
      <c r="F1340" s="702"/>
    </row>
    <row r="1341">
      <c r="C1341" s="703"/>
      <c r="E1341" s="222"/>
      <c r="F1341" s="702"/>
    </row>
    <row r="1342">
      <c r="C1342" s="703"/>
      <c r="E1342" s="222"/>
      <c r="F1342" s="702"/>
    </row>
    <row r="1343">
      <c r="C1343" s="703"/>
      <c r="E1343" s="222"/>
      <c r="F1343" s="702"/>
    </row>
    <row r="1344">
      <c r="C1344" s="703"/>
      <c r="E1344" s="222"/>
      <c r="F1344" s="702"/>
    </row>
    <row r="1345">
      <c r="C1345" s="703"/>
      <c r="E1345" s="222"/>
      <c r="F1345" s="702"/>
    </row>
    <row r="1346">
      <c r="C1346" s="703"/>
      <c r="E1346" s="222"/>
      <c r="F1346" s="702"/>
    </row>
    <row r="1347">
      <c r="C1347" s="703"/>
      <c r="E1347" s="222"/>
      <c r="F1347" s="702"/>
    </row>
    <row r="1348">
      <c r="C1348" s="703"/>
      <c r="E1348" s="222"/>
      <c r="F1348" s="702"/>
    </row>
    <row r="1349">
      <c r="C1349" s="703"/>
      <c r="E1349" s="222"/>
      <c r="F1349" s="702"/>
    </row>
    <row r="1350">
      <c r="C1350" s="703"/>
      <c r="E1350" s="222"/>
      <c r="F1350" s="702"/>
    </row>
    <row r="1351">
      <c r="C1351" s="703"/>
      <c r="E1351" s="222"/>
      <c r="F1351" s="702"/>
    </row>
    <row r="1352">
      <c r="C1352" s="703"/>
      <c r="E1352" s="222"/>
      <c r="F1352" s="702"/>
    </row>
    <row r="1353">
      <c r="C1353" s="703"/>
      <c r="E1353" s="222"/>
      <c r="F1353" s="702"/>
    </row>
    <row r="1354">
      <c r="C1354" s="703"/>
      <c r="E1354" s="222"/>
      <c r="F1354" s="702"/>
    </row>
    <row r="1355">
      <c r="C1355" s="703"/>
      <c r="E1355" s="222"/>
      <c r="F1355" s="702"/>
    </row>
    <row r="1356">
      <c r="C1356" s="703"/>
      <c r="E1356" s="222"/>
      <c r="F1356" s="702"/>
    </row>
    <row r="1357">
      <c r="C1357" s="703"/>
      <c r="E1357" s="222"/>
      <c r="F1357" s="702"/>
    </row>
    <row r="1358">
      <c r="C1358" s="703"/>
      <c r="E1358" s="222"/>
      <c r="F1358" s="702"/>
    </row>
    <row r="1359">
      <c r="C1359" s="703"/>
      <c r="E1359" s="222"/>
      <c r="F1359" s="702"/>
    </row>
    <row r="1360">
      <c r="C1360" s="703"/>
      <c r="E1360" s="222"/>
      <c r="F1360" s="702"/>
    </row>
    <row r="1361">
      <c r="C1361" s="703"/>
      <c r="E1361" s="222"/>
      <c r="F1361" s="702"/>
    </row>
    <row r="1362">
      <c r="C1362" s="703"/>
      <c r="E1362" s="222"/>
      <c r="F1362" s="702"/>
    </row>
    <row r="1363">
      <c r="C1363" s="703"/>
      <c r="E1363" s="222"/>
      <c r="F1363" s="702"/>
    </row>
    <row r="1364">
      <c r="C1364" s="703"/>
      <c r="E1364" s="222"/>
      <c r="F1364" s="702"/>
    </row>
    <row r="1365">
      <c r="C1365" s="703"/>
      <c r="E1365" s="222"/>
      <c r="F1365" s="702"/>
    </row>
    <row r="1366">
      <c r="C1366" s="703"/>
      <c r="E1366" s="222"/>
      <c r="F1366" s="702"/>
    </row>
    <row r="1367">
      <c r="C1367" s="703"/>
      <c r="E1367" s="222"/>
      <c r="F1367" s="702"/>
    </row>
    <row r="1368">
      <c r="C1368" s="703"/>
      <c r="E1368" s="222"/>
      <c r="F1368" s="702"/>
    </row>
    <row r="1369">
      <c r="C1369" s="703"/>
      <c r="E1369" s="222"/>
      <c r="F1369" s="702"/>
    </row>
    <row r="1370">
      <c r="C1370" s="703"/>
      <c r="E1370" s="222"/>
      <c r="F1370" s="702"/>
    </row>
    <row r="1371">
      <c r="C1371" s="703"/>
      <c r="E1371" s="222"/>
      <c r="F1371" s="702"/>
    </row>
    <row r="1372">
      <c r="C1372" s="703"/>
      <c r="E1372" s="222"/>
      <c r="F1372" s="702"/>
    </row>
    <row r="1373">
      <c r="C1373" s="703"/>
      <c r="E1373" s="222"/>
      <c r="F1373" s="702"/>
    </row>
    <row r="1374">
      <c r="C1374" s="703"/>
      <c r="E1374" s="222"/>
      <c r="F1374" s="702"/>
    </row>
    <row r="1375">
      <c r="C1375" s="703"/>
      <c r="E1375" s="222"/>
      <c r="F1375" s="702"/>
    </row>
    <row r="1376">
      <c r="C1376" s="703"/>
      <c r="E1376" s="222"/>
      <c r="F1376" s="702"/>
    </row>
    <row r="1377">
      <c r="C1377" s="703"/>
      <c r="E1377" s="222"/>
      <c r="F1377" s="702"/>
    </row>
    <row r="1378">
      <c r="C1378" s="703"/>
      <c r="E1378" s="222"/>
      <c r="F1378" s="702"/>
    </row>
    <row r="1379">
      <c r="C1379" s="703"/>
      <c r="E1379" s="222"/>
      <c r="F1379" s="702"/>
    </row>
    <row r="1380">
      <c r="C1380" s="703"/>
      <c r="E1380" s="222"/>
      <c r="F1380" s="702"/>
    </row>
    <row r="1381">
      <c r="C1381" s="703"/>
      <c r="E1381" s="222"/>
      <c r="F1381" s="702"/>
    </row>
    <row r="1382">
      <c r="C1382" s="703"/>
      <c r="E1382" s="222"/>
      <c r="F1382" s="702"/>
    </row>
    <row r="1383">
      <c r="C1383" s="703"/>
      <c r="E1383" s="222"/>
      <c r="F1383" s="702"/>
    </row>
    <row r="1384">
      <c r="C1384" s="703"/>
      <c r="E1384" s="222"/>
      <c r="F1384" s="702"/>
    </row>
    <row r="1385">
      <c r="C1385" s="703"/>
      <c r="E1385" s="222"/>
      <c r="F1385" s="702"/>
    </row>
    <row r="1386">
      <c r="C1386" s="703"/>
      <c r="E1386" s="222"/>
      <c r="F1386" s="702"/>
    </row>
    <row r="1387">
      <c r="C1387" s="703"/>
      <c r="E1387" s="222"/>
      <c r="F1387" s="702"/>
    </row>
    <row r="1388">
      <c r="C1388" s="703"/>
      <c r="E1388" s="222"/>
      <c r="F1388" s="702"/>
    </row>
    <row r="1389">
      <c r="C1389" s="703"/>
      <c r="E1389" s="222"/>
      <c r="F1389" s="702"/>
    </row>
    <row r="1390">
      <c r="C1390" s="703"/>
      <c r="E1390" s="222"/>
      <c r="F1390" s="702"/>
    </row>
    <row r="1391">
      <c r="C1391" s="703"/>
      <c r="E1391" s="222"/>
      <c r="F1391" s="702"/>
    </row>
    <row r="1392">
      <c r="C1392" s="703"/>
      <c r="E1392" s="222"/>
      <c r="F1392" s="702"/>
    </row>
    <row r="1393">
      <c r="C1393" s="703"/>
      <c r="E1393" s="222"/>
      <c r="F1393" s="702"/>
    </row>
    <row r="1394">
      <c r="C1394" s="703"/>
      <c r="E1394" s="222"/>
      <c r="F1394" s="702"/>
    </row>
    <row r="1395">
      <c r="C1395" s="703"/>
      <c r="E1395" s="222"/>
      <c r="F1395" s="702"/>
    </row>
    <row r="1396">
      <c r="C1396" s="703"/>
      <c r="E1396" s="222"/>
      <c r="F1396" s="702"/>
    </row>
    <row r="1397">
      <c r="C1397" s="703"/>
      <c r="E1397" s="222"/>
      <c r="F1397" s="702"/>
    </row>
    <row r="1398">
      <c r="C1398" s="703"/>
      <c r="E1398" s="222"/>
      <c r="F1398" s="702"/>
    </row>
    <row r="1399">
      <c r="C1399" s="703"/>
      <c r="E1399" s="222"/>
      <c r="F1399" s="702"/>
    </row>
    <row r="1400">
      <c r="C1400" s="703"/>
      <c r="E1400" s="222"/>
      <c r="F1400" s="702"/>
    </row>
    <row r="1401">
      <c r="C1401" s="703"/>
      <c r="E1401" s="222"/>
      <c r="F1401" s="702"/>
    </row>
    <row r="1402">
      <c r="C1402" s="703"/>
      <c r="E1402" s="222"/>
      <c r="F1402" s="702"/>
    </row>
    <row r="1403">
      <c r="C1403" s="703"/>
      <c r="E1403" s="222"/>
      <c r="F1403" s="702"/>
    </row>
    <row r="1404">
      <c r="C1404" s="703"/>
      <c r="E1404" s="222"/>
      <c r="F1404" s="702"/>
    </row>
    <row r="1405">
      <c r="C1405" s="703"/>
      <c r="E1405" s="222"/>
      <c r="F1405" s="702"/>
    </row>
    <row r="1406">
      <c r="C1406" s="703"/>
      <c r="E1406" s="222"/>
      <c r="F1406" s="702"/>
    </row>
    <row r="1407">
      <c r="C1407" s="703"/>
      <c r="E1407" s="222"/>
      <c r="F1407" s="702"/>
    </row>
    <row r="1408">
      <c r="C1408" s="703"/>
      <c r="E1408" s="222"/>
      <c r="F1408" s="702"/>
    </row>
    <row r="1409">
      <c r="C1409" s="703"/>
      <c r="E1409" s="222"/>
      <c r="F1409" s="702"/>
    </row>
    <row r="1410">
      <c r="C1410" s="703"/>
      <c r="E1410" s="222"/>
      <c r="F1410" s="702"/>
    </row>
    <row r="1411">
      <c r="C1411" s="703"/>
      <c r="E1411" s="222"/>
      <c r="F1411" s="702"/>
    </row>
    <row r="1412">
      <c r="C1412" s="703"/>
      <c r="E1412" s="222"/>
      <c r="F1412" s="702"/>
    </row>
    <row r="1413">
      <c r="C1413" s="703"/>
      <c r="E1413" s="222"/>
      <c r="F1413" s="702"/>
    </row>
    <row r="1414">
      <c r="C1414" s="703"/>
      <c r="E1414" s="222"/>
      <c r="F1414" s="702"/>
    </row>
    <row r="1415">
      <c r="C1415" s="703"/>
      <c r="E1415" s="222"/>
      <c r="F1415" s="702"/>
    </row>
    <row r="1416">
      <c r="C1416" s="703"/>
      <c r="E1416" s="222"/>
      <c r="F1416" s="702"/>
    </row>
    <row r="1417">
      <c r="C1417" s="703"/>
      <c r="E1417" s="222"/>
      <c r="F1417" s="702"/>
    </row>
    <row r="1418">
      <c r="C1418" s="703"/>
      <c r="E1418" s="222"/>
      <c r="F1418" s="702"/>
    </row>
    <row r="1419">
      <c r="C1419" s="703"/>
      <c r="E1419" s="222"/>
      <c r="F1419" s="702"/>
    </row>
    <row r="1420">
      <c r="C1420" s="703"/>
      <c r="E1420" s="222"/>
      <c r="F1420" s="702"/>
    </row>
    <row r="1421">
      <c r="C1421" s="703"/>
      <c r="E1421" s="222"/>
      <c r="F1421" s="702"/>
    </row>
    <row r="1422">
      <c r="C1422" s="703"/>
      <c r="E1422" s="222"/>
      <c r="F1422" s="702"/>
    </row>
    <row r="1423">
      <c r="C1423" s="703"/>
      <c r="E1423" s="222"/>
      <c r="F1423" s="702"/>
    </row>
    <row r="1424">
      <c r="C1424" s="703"/>
      <c r="E1424" s="222"/>
      <c r="F1424" s="702"/>
    </row>
    <row r="1425">
      <c r="C1425" s="703"/>
      <c r="E1425" s="222"/>
      <c r="F1425" s="702"/>
    </row>
    <row r="1426">
      <c r="C1426" s="703"/>
      <c r="E1426" s="222"/>
      <c r="F1426" s="702"/>
    </row>
    <row r="1427">
      <c r="C1427" s="703"/>
      <c r="E1427" s="222"/>
      <c r="F1427" s="702"/>
    </row>
    <row r="1428">
      <c r="C1428" s="703"/>
      <c r="E1428" s="222"/>
      <c r="F1428" s="702"/>
    </row>
    <row r="1429">
      <c r="C1429" s="703"/>
      <c r="E1429" s="222"/>
      <c r="F1429" s="702"/>
    </row>
    <row r="1430">
      <c r="C1430" s="703"/>
      <c r="E1430" s="222"/>
      <c r="F1430" s="702"/>
    </row>
    <row r="1431">
      <c r="C1431" s="703"/>
      <c r="E1431" s="222"/>
      <c r="F1431" s="702"/>
    </row>
    <row r="1432">
      <c r="C1432" s="703"/>
      <c r="E1432" s="222"/>
      <c r="F1432" s="702"/>
    </row>
    <row r="1433">
      <c r="C1433" s="703"/>
      <c r="E1433" s="222"/>
      <c r="F1433" s="702"/>
    </row>
    <row r="1434">
      <c r="C1434" s="703"/>
      <c r="E1434" s="222"/>
      <c r="F1434" s="702"/>
    </row>
    <row r="1435">
      <c r="C1435" s="703"/>
      <c r="E1435" s="222"/>
      <c r="F1435" s="702"/>
    </row>
    <row r="1436">
      <c r="C1436" s="703"/>
      <c r="E1436" s="222"/>
      <c r="F1436" s="702"/>
    </row>
    <row r="1437">
      <c r="C1437" s="703"/>
      <c r="E1437" s="222"/>
      <c r="F1437" s="702"/>
    </row>
    <row r="1438">
      <c r="C1438" s="703"/>
      <c r="E1438" s="222"/>
      <c r="F1438" s="702"/>
    </row>
    <row r="1439">
      <c r="C1439" s="703"/>
      <c r="E1439" s="222"/>
      <c r="F1439" s="702"/>
    </row>
    <row r="1440">
      <c r="C1440" s="703"/>
      <c r="E1440" s="222"/>
      <c r="F1440" s="702"/>
    </row>
    <row r="1441">
      <c r="C1441" s="703"/>
      <c r="E1441" s="222"/>
      <c r="F1441" s="702"/>
    </row>
    <row r="1442">
      <c r="C1442" s="703"/>
      <c r="E1442" s="222"/>
      <c r="F1442" s="702"/>
    </row>
    <row r="1443">
      <c r="C1443" s="703"/>
      <c r="E1443" s="222"/>
      <c r="F1443" s="702"/>
    </row>
    <row r="1444">
      <c r="C1444" s="703"/>
      <c r="E1444" s="222"/>
      <c r="F1444" s="702"/>
    </row>
    <row r="1445">
      <c r="C1445" s="703"/>
      <c r="E1445" s="222"/>
      <c r="F1445" s="702"/>
    </row>
    <row r="1446">
      <c r="C1446" s="703"/>
      <c r="E1446" s="222"/>
      <c r="F1446" s="702"/>
    </row>
    <row r="1447">
      <c r="C1447" s="703"/>
      <c r="E1447" s="222"/>
      <c r="F1447" s="702"/>
    </row>
    <row r="1448">
      <c r="C1448" s="703"/>
      <c r="E1448" s="222"/>
      <c r="F1448" s="702"/>
    </row>
    <row r="1449">
      <c r="C1449" s="703"/>
      <c r="E1449" s="222"/>
      <c r="F1449" s="702"/>
    </row>
    <row r="1450">
      <c r="C1450" s="703"/>
      <c r="E1450" s="222"/>
      <c r="F1450" s="702"/>
    </row>
    <row r="1451">
      <c r="C1451" s="703"/>
      <c r="E1451" s="222"/>
      <c r="F1451" s="702"/>
    </row>
    <row r="1452">
      <c r="C1452" s="703"/>
      <c r="E1452" s="222"/>
      <c r="F1452" s="702"/>
    </row>
    <row r="1453">
      <c r="C1453" s="703"/>
      <c r="E1453" s="222"/>
      <c r="F1453" s="702"/>
    </row>
    <row r="1454">
      <c r="C1454" s="703"/>
      <c r="E1454" s="222"/>
      <c r="F1454" s="702"/>
    </row>
    <row r="1455">
      <c r="C1455" s="703"/>
      <c r="E1455" s="222"/>
      <c r="F1455" s="702"/>
    </row>
    <row r="1456">
      <c r="C1456" s="703"/>
      <c r="E1456" s="222"/>
      <c r="F1456" s="702"/>
    </row>
    <row r="1457">
      <c r="C1457" s="703"/>
      <c r="E1457" s="222"/>
      <c r="F1457" s="702"/>
    </row>
    <row r="1458">
      <c r="C1458" s="703"/>
      <c r="E1458" s="222"/>
      <c r="F1458" s="702"/>
    </row>
    <row r="1459">
      <c r="C1459" s="703"/>
      <c r="E1459" s="222"/>
      <c r="F1459" s="702"/>
    </row>
    <row r="1460">
      <c r="C1460" s="703"/>
      <c r="E1460" s="222"/>
      <c r="F1460" s="702"/>
    </row>
    <row r="1461">
      <c r="C1461" s="703"/>
      <c r="E1461" s="222"/>
      <c r="F1461" s="702"/>
    </row>
    <row r="1462">
      <c r="C1462" s="703"/>
      <c r="E1462" s="222"/>
      <c r="F1462" s="702"/>
    </row>
    <row r="1463">
      <c r="C1463" s="703"/>
      <c r="E1463" s="222"/>
      <c r="F1463" s="702"/>
    </row>
    <row r="1464">
      <c r="C1464" s="703"/>
      <c r="E1464" s="222"/>
      <c r="F1464" s="702"/>
    </row>
    <row r="1465">
      <c r="C1465" s="703"/>
      <c r="E1465" s="222"/>
      <c r="F1465" s="702"/>
    </row>
    <row r="1466">
      <c r="C1466" s="703"/>
      <c r="E1466" s="222"/>
      <c r="F1466" s="702"/>
    </row>
    <row r="1467">
      <c r="C1467" s="703"/>
      <c r="E1467" s="222"/>
      <c r="F1467" s="702"/>
    </row>
    <row r="1468">
      <c r="C1468" s="703"/>
      <c r="E1468" s="222"/>
      <c r="F1468" s="702"/>
    </row>
    <row r="1469">
      <c r="C1469" s="703"/>
      <c r="E1469" s="222"/>
      <c r="F1469" s="702"/>
    </row>
    <row r="1470">
      <c r="C1470" s="703"/>
      <c r="E1470" s="222"/>
      <c r="F1470" s="702"/>
    </row>
    <row r="1471">
      <c r="C1471" s="703"/>
      <c r="E1471" s="222"/>
      <c r="F1471" s="702"/>
    </row>
    <row r="1472">
      <c r="C1472" s="703"/>
      <c r="E1472" s="222"/>
      <c r="F1472" s="702"/>
    </row>
    <row r="1473">
      <c r="C1473" s="703"/>
      <c r="E1473" s="222"/>
      <c r="F1473" s="702"/>
    </row>
    <row r="1474">
      <c r="C1474" s="703"/>
      <c r="E1474" s="222"/>
      <c r="F1474" s="702"/>
    </row>
    <row r="1475">
      <c r="C1475" s="703"/>
      <c r="E1475" s="222"/>
      <c r="F1475" s="702"/>
    </row>
    <row r="1476">
      <c r="C1476" s="703"/>
      <c r="E1476" s="222"/>
      <c r="F1476" s="702"/>
    </row>
    <row r="1477">
      <c r="C1477" s="703"/>
      <c r="E1477" s="222"/>
      <c r="F1477" s="702"/>
    </row>
    <row r="1478">
      <c r="C1478" s="703"/>
      <c r="E1478" s="222"/>
      <c r="F1478" s="702"/>
    </row>
    <row r="1479">
      <c r="C1479" s="703"/>
      <c r="E1479" s="222"/>
      <c r="F1479" s="702"/>
    </row>
    <row r="1480">
      <c r="C1480" s="703"/>
      <c r="E1480" s="222"/>
      <c r="F1480" s="702"/>
    </row>
    <row r="1481">
      <c r="C1481" s="703"/>
      <c r="E1481" s="222"/>
      <c r="F1481" s="702"/>
    </row>
    <row r="1482">
      <c r="C1482" s="703"/>
      <c r="E1482" s="222"/>
      <c r="F1482" s="702"/>
    </row>
    <row r="1483">
      <c r="C1483" s="703"/>
      <c r="E1483" s="222"/>
      <c r="F1483" s="702"/>
    </row>
    <row r="1484">
      <c r="C1484" s="703"/>
      <c r="E1484" s="222"/>
      <c r="F1484" s="702"/>
    </row>
    <row r="1485">
      <c r="C1485" s="703"/>
      <c r="E1485" s="222"/>
      <c r="F1485" s="702"/>
    </row>
    <row r="1486">
      <c r="C1486" s="703"/>
      <c r="E1486" s="222"/>
      <c r="F1486" s="702"/>
    </row>
    <row r="1487">
      <c r="C1487" s="703"/>
      <c r="E1487" s="222"/>
      <c r="F1487" s="702"/>
    </row>
    <row r="1488">
      <c r="C1488" s="703"/>
      <c r="E1488" s="222"/>
      <c r="F1488" s="702"/>
    </row>
    <row r="1489">
      <c r="C1489" s="703"/>
      <c r="E1489" s="222"/>
      <c r="F1489" s="702"/>
    </row>
    <row r="1490">
      <c r="C1490" s="703"/>
      <c r="E1490" s="222"/>
      <c r="F1490" s="702"/>
    </row>
    <row r="1491">
      <c r="C1491" s="703"/>
      <c r="E1491" s="222"/>
      <c r="F1491" s="702"/>
    </row>
    <row r="1492">
      <c r="C1492" s="703"/>
      <c r="E1492" s="222"/>
      <c r="F1492" s="702"/>
    </row>
    <row r="1493">
      <c r="C1493" s="703"/>
      <c r="E1493" s="222"/>
      <c r="F1493" s="702"/>
    </row>
    <row r="1494">
      <c r="C1494" s="703"/>
      <c r="E1494" s="222"/>
      <c r="F1494" s="702"/>
    </row>
    <row r="1495">
      <c r="C1495" s="703"/>
      <c r="E1495" s="222"/>
      <c r="F1495" s="702"/>
    </row>
    <row r="1496">
      <c r="C1496" s="703"/>
      <c r="E1496" s="222"/>
      <c r="F1496" s="702"/>
    </row>
    <row r="1497">
      <c r="C1497" s="703"/>
      <c r="E1497" s="222"/>
      <c r="F1497" s="702"/>
    </row>
    <row r="1498">
      <c r="C1498" s="703"/>
      <c r="E1498" s="222"/>
      <c r="F1498" s="702"/>
    </row>
    <row r="1499">
      <c r="C1499" s="703"/>
      <c r="E1499" s="222"/>
      <c r="F1499" s="702"/>
    </row>
    <row r="1500">
      <c r="C1500" s="703"/>
      <c r="E1500" s="222"/>
      <c r="F1500" s="702"/>
    </row>
    <row r="1501">
      <c r="C1501" s="703"/>
      <c r="E1501" s="222"/>
      <c r="F1501" s="702"/>
    </row>
    <row r="1502">
      <c r="C1502" s="703"/>
      <c r="E1502" s="222"/>
      <c r="F1502" s="702"/>
    </row>
    <row r="1503">
      <c r="C1503" s="703"/>
      <c r="E1503" s="222"/>
      <c r="F1503" s="702"/>
    </row>
    <row r="1504">
      <c r="C1504" s="703"/>
      <c r="E1504" s="222"/>
      <c r="F1504" s="702"/>
    </row>
    <row r="1505">
      <c r="C1505" s="703"/>
      <c r="E1505" s="222"/>
      <c r="F1505" s="702"/>
    </row>
    <row r="1506">
      <c r="C1506" s="703"/>
      <c r="E1506" s="222"/>
      <c r="F1506" s="702"/>
    </row>
    <row r="1507">
      <c r="C1507" s="703"/>
      <c r="E1507" s="222"/>
      <c r="F1507" s="702"/>
    </row>
    <row r="1508">
      <c r="C1508" s="703"/>
      <c r="E1508" s="222"/>
      <c r="F1508" s="702"/>
    </row>
    <row r="1509">
      <c r="C1509" s="703"/>
      <c r="E1509" s="222"/>
      <c r="F1509" s="702"/>
    </row>
    <row r="1510">
      <c r="C1510" s="703"/>
      <c r="E1510" s="222"/>
      <c r="F1510" s="702"/>
    </row>
    <row r="1511">
      <c r="C1511" s="703"/>
      <c r="E1511" s="222"/>
      <c r="F1511" s="702"/>
    </row>
    <row r="1512">
      <c r="C1512" s="703"/>
      <c r="E1512" s="222"/>
      <c r="F1512" s="702"/>
    </row>
    <row r="1513">
      <c r="C1513" s="703"/>
      <c r="E1513" s="222"/>
      <c r="F1513" s="702"/>
    </row>
    <row r="1514">
      <c r="C1514" s="703"/>
      <c r="E1514" s="222"/>
      <c r="F1514" s="702"/>
    </row>
    <row r="1515">
      <c r="C1515" s="703"/>
      <c r="E1515" s="222"/>
      <c r="F1515" s="702"/>
    </row>
    <row r="1516">
      <c r="C1516" s="703"/>
      <c r="E1516" s="222"/>
      <c r="F1516" s="702"/>
    </row>
    <row r="1517">
      <c r="C1517" s="703"/>
      <c r="E1517" s="222"/>
      <c r="F1517" s="702"/>
    </row>
    <row r="1518">
      <c r="C1518" s="703"/>
      <c r="E1518" s="222"/>
      <c r="F1518" s="702"/>
    </row>
    <row r="1519">
      <c r="C1519" s="703"/>
      <c r="E1519" s="222"/>
      <c r="F1519" s="702"/>
    </row>
    <row r="1520">
      <c r="C1520" s="703"/>
      <c r="E1520" s="222"/>
      <c r="F1520" s="702"/>
    </row>
    <row r="1521">
      <c r="C1521" s="703"/>
      <c r="E1521" s="222"/>
      <c r="F1521" s="702"/>
    </row>
    <row r="1522">
      <c r="C1522" s="703"/>
      <c r="E1522" s="222"/>
      <c r="F1522" s="702"/>
    </row>
    <row r="1523">
      <c r="C1523" s="703"/>
      <c r="E1523" s="222"/>
      <c r="F1523" s="702"/>
    </row>
    <row r="1524">
      <c r="C1524" s="703"/>
      <c r="E1524" s="222"/>
      <c r="F1524" s="702"/>
    </row>
    <row r="1525">
      <c r="C1525" s="703"/>
      <c r="E1525" s="222"/>
      <c r="F1525" s="702"/>
    </row>
    <row r="1526">
      <c r="C1526" s="703"/>
      <c r="E1526" s="222"/>
      <c r="F1526" s="702"/>
    </row>
    <row r="1527">
      <c r="C1527" s="703"/>
      <c r="E1527" s="222"/>
      <c r="F1527" s="702"/>
    </row>
    <row r="1528">
      <c r="C1528" s="703"/>
      <c r="E1528" s="222"/>
      <c r="F1528" s="702"/>
    </row>
    <row r="1529">
      <c r="C1529" s="703"/>
      <c r="E1529" s="222"/>
      <c r="F1529" s="702"/>
    </row>
    <row r="1530">
      <c r="C1530" s="703"/>
      <c r="E1530" s="222"/>
      <c r="F1530" s="702"/>
    </row>
    <row r="1531">
      <c r="C1531" s="703"/>
      <c r="E1531" s="222"/>
      <c r="F1531" s="702"/>
    </row>
    <row r="1532">
      <c r="C1532" s="703"/>
      <c r="E1532" s="222"/>
      <c r="F1532" s="702"/>
    </row>
    <row r="1533">
      <c r="C1533" s="703"/>
      <c r="E1533" s="222"/>
      <c r="F1533" s="702"/>
    </row>
    <row r="1534">
      <c r="C1534" s="703"/>
      <c r="E1534" s="222"/>
      <c r="F1534" s="702"/>
    </row>
    <row r="1535">
      <c r="C1535" s="703"/>
      <c r="E1535" s="222"/>
      <c r="F1535" s="702"/>
    </row>
    <row r="1536">
      <c r="C1536" s="703"/>
      <c r="E1536" s="222"/>
      <c r="F1536" s="702"/>
    </row>
    <row r="1537">
      <c r="C1537" s="703"/>
      <c r="E1537" s="222"/>
      <c r="F1537" s="702"/>
    </row>
    <row r="1538">
      <c r="C1538" s="703"/>
      <c r="E1538" s="222"/>
      <c r="F1538" s="702"/>
    </row>
    <row r="1539">
      <c r="C1539" s="703"/>
      <c r="E1539" s="222"/>
      <c r="F1539" s="702"/>
    </row>
    <row r="1540">
      <c r="C1540" s="703"/>
      <c r="E1540" s="222"/>
      <c r="F1540" s="702"/>
    </row>
    <row r="1541">
      <c r="C1541" s="703"/>
      <c r="E1541" s="222"/>
      <c r="F1541" s="702"/>
    </row>
    <row r="1542">
      <c r="C1542" s="703"/>
      <c r="E1542" s="222"/>
      <c r="F1542" s="702"/>
    </row>
    <row r="1543">
      <c r="C1543" s="703"/>
      <c r="E1543" s="222"/>
      <c r="F1543" s="702"/>
    </row>
    <row r="1544">
      <c r="C1544" s="703"/>
      <c r="E1544" s="222"/>
      <c r="F1544" s="702"/>
    </row>
    <row r="1545">
      <c r="C1545" s="703"/>
      <c r="E1545" s="222"/>
      <c r="F1545" s="702"/>
    </row>
    <row r="1546">
      <c r="C1546" s="703"/>
      <c r="E1546" s="222"/>
      <c r="F1546" s="702"/>
    </row>
    <row r="1547">
      <c r="C1547" s="703"/>
      <c r="E1547" s="222"/>
      <c r="F1547" s="702"/>
    </row>
    <row r="1548">
      <c r="C1548" s="703"/>
      <c r="E1548" s="222"/>
      <c r="F1548" s="702"/>
    </row>
    <row r="1549">
      <c r="C1549" s="703"/>
      <c r="E1549" s="222"/>
      <c r="F1549" s="702"/>
    </row>
    <row r="1550">
      <c r="C1550" s="703"/>
      <c r="E1550" s="222"/>
      <c r="F1550" s="702"/>
    </row>
    <row r="1551">
      <c r="C1551" s="703"/>
      <c r="E1551" s="222"/>
      <c r="F1551" s="702"/>
    </row>
    <row r="1552">
      <c r="C1552" s="703"/>
      <c r="E1552" s="222"/>
      <c r="F1552" s="702"/>
    </row>
    <row r="1553">
      <c r="C1553" s="703"/>
      <c r="E1553" s="222"/>
      <c r="F1553" s="702"/>
    </row>
    <row r="1554">
      <c r="C1554" s="703"/>
      <c r="E1554" s="222"/>
      <c r="F1554" s="702"/>
    </row>
    <row r="1555">
      <c r="C1555" s="703"/>
      <c r="E1555" s="222"/>
      <c r="F1555" s="702"/>
    </row>
    <row r="1556">
      <c r="C1556" s="703"/>
      <c r="E1556" s="222"/>
      <c r="F1556" s="702"/>
    </row>
    <row r="1557">
      <c r="C1557" s="703"/>
      <c r="E1557" s="222"/>
      <c r="F1557" s="702"/>
    </row>
    <row r="1558">
      <c r="C1558" s="703"/>
      <c r="E1558" s="222"/>
      <c r="F1558" s="702"/>
    </row>
    <row r="1559">
      <c r="C1559" s="703"/>
      <c r="E1559" s="222"/>
      <c r="F1559" s="702"/>
    </row>
    <row r="1560">
      <c r="C1560" s="703"/>
      <c r="E1560" s="222"/>
      <c r="F1560" s="702"/>
    </row>
    <row r="1561">
      <c r="C1561" s="703"/>
      <c r="E1561" s="222"/>
      <c r="F1561" s="702"/>
    </row>
    <row r="1562">
      <c r="C1562" s="703"/>
      <c r="E1562" s="222"/>
      <c r="F1562" s="702"/>
    </row>
    <row r="1563">
      <c r="C1563" s="703"/>
      <c r="E1563" s="222"/>
      <c r="F1563" s="702"/>
    </row>
    <row r="1564">
      <c r="C1564" s="703"/>
      <c r="E1564" s="222"/>
      <c r="F1564" s="702"/>
    </row>
    <row r="1565">
      <c r="C1565" s="703"/>
      <c r="E1565" s="222"/>
      <c r="F1565" s="702"/>
    </row>
    <row r="1566">
      <c r="C1566" s="703"/>
      <c r="E1566" s="222"/>
      <c r="F1566" s="702"/>
    </row>
    <row r="1567">
      <c r="C1567" s="703"/>
      <c r="E1567" s="222"/>
      <c r="F1567" s="702"/>
    </row>
    <row r="1568">
      <c r="C1568" s="703"/>
      <c r="E1568" s="222"/>
      <c r="F1568" s="702"/>
    </row>
    <row r="1569">
      <c r="C1569" s="703"/>
      <c r="E1569" s="222"/>
      <c r="F1569" s="702"/>
    </row>
    <row r="1570">
      <c r="C1570" s="703"/>
      <c r="E1570" s="222"/>
      <c r="F1570" s="702"/>
    </row>
    <row r="1571">
      <c r="C1571" s="703"/>
      <c r="E1571" s="222"/>
      <c r="F1571" s="702"/>
    </row>
    <row r="1572">
      <c r="C1572" s="703"/>
      <c r="E1572" s="222"/>
      <c r="F1572" s="702"/>
    </row>
    <row r="1573">
      <c r="C1573" s="703"/>
      <c r="E1573" s="222"/>
      <c r="F1573" s="702"/>
    </row>
    <row r="1574">
      <c r="C1574" s="703"/>
      <c r="E1574" s="222"/>
      <c r="F1574" s="702"/>
    </row>
    <row r="1575">
      <c r="C1575" s="703"/>
      <c r="E1575" s="222"/>
      <c r="F1575" s="702"/>
    </row>
    <row r="1576">
      <c r="C1576" s="703"/>
      <c r="E1576" s="222"/>
      <c r="F1576" s="702"/>
    </row>
    <row r="1577">
      <c r="C1577" s="703"/>
      <c r="E1577" s="222"/>
      <c r="F1577" s="702"/>
    </row>
    <row r="1578">
      <c r="C1578" s="703"/>
      <c r="E1578" s="222"/>
      <c r="F1578" s="702"/>
    </row>
    <row r="1579">
      <c r="C1579" s="703"/>
      <c r="E1579" s="222"/>
      <c r="F1579" s="702"/>
    </row>
    <row r="1580">
      <c r="C1580" s="703"/>
      <c r="E1580" s="222"/>
      <c r="F1580" s="702"/>
    </row>
    <row r="1581">
      <c r="C1581" s="703"/>
      <c r="E1581" s="222"/>
      <c r="F1581" s="702"/>
    </row>
    <row r="1582">
      <c r="C1582" s="703"/>
      <c r="E1582" s="222"/>
      <c r="F1582" s="702"/>
    </row>
    <row r="1583">
      <c r="C1583" s="703"/>
      <c r="E1583" s="222"/>
      <c r="F1583" s="702"/>
    </row>
    <row r="1584">
      <c r="C1584" s="703"/>
      <c r="E1584" s="222"/>
      <c r="F1584" s="702"/>
    </row>
    <row r="1585">
      <c r="C1585" s="703"/>
      <c r="E1585" s="222"/>
      <c r="F1585" s="702"/>
    </row>
    <row r="1586">
      <c r="C1586" s="703"/>
      <c r="E1586" s="222"/>
      <c r="F1586" s="702"/>
    </row>
    <row r="1587">
      <c r="C1587" s="703"/>
      <c r="E1587" s="222"/>
      <c r="F1587" s="702"/>
    </row>
    <row r="1588">
      <c r="C1588" s="703"/>
      <c r="E1588" s="222"/>
      <c r="F1588" s="702"/>
    </row>
    <row r="1589">
      <c r="C1589" s="703"/>
      <c r="E1589" s="222"/>
      <c r="F1589" s="702"/>
    </row>
    <row r="1590">
      <c r="C1590" s="703"/>
      <c r="E1590" s="222"/>
      <c r="F1590" s="702"/>
    </row>
    <row r="1591">
      <c r="C1591" s="703"/>
      <c r="E1591" s="222"/>
      <c r="F1591" s="702"/>
    </row>
    <row r="1592">
      <c r="C1592" s="703"/>
      <c r="E1592" s="222"/>
      <c r="F1592" s="702"/>
    </row>
    <row r="1593">
      <c r="C1593" s="703"/>
      <c r="E1593" s="222"/>
      <c r="F1593" s="702"/>
    </row>
    <row r="1594">
      <c r="C1594" s="703"/>
      <c r="E1594" s="222"/>
      <c r="F1594" s="702"/>
    </row>
    <row r="1595">
      <c r="C1595" s="703"/>
      <c r="E1595" s="222"/>
      <c r="F1595" s="702"/>
    </row>
    <row r="1596">
      <c r="C1596" s="703"/>
      <c r="E1596" s="222"/>
      <c r="F1596" s="702"/>
    </row>
    <row r="1597">
      <c r="C1597" s="703"/>
      <c r="E1597" s="222"/>
      <c r="F1597" s="702"/>
    </row>
    <row r="1598">
      <c r="C1598" s="703"/>
      <c r="E1598" s="222"/>
      <c r="F1598" s="702"/>
    </row>
    <row r="1599">
      <c r="C1599" s="703"/>
      <c r="E1599" s="222"/>
      <c r="F1599" s="702"/>
    </row>
    <row r="1600">
      <c r="C1600" s="703"/>
      <c r="E1600" s="222"/>
      <c r="F1600" s="702"/>
    </row>
    <row r="1601">
      <c r="C1601" s="703"/>
      <c r="E1601" s="222"/>
      <c r="F1601" s="702"/>
    </row>
    <row r="1602">
      <c r="C1602" s="703"/>
      <c r="E1602" s="222"/>
      <c r="F1602" s="702"/>
    </row>
    <row r="1603">
      <c r="C1603" s="703"/>
      <c r="E1603" s="222"/>
      <c r="F1603" s="702"/>
    </row>
    <row r="1604">
      <c r="C1604" s="703"/>
      <c r="E1604" s="222"/>
      <c r="F1604" s="702"/>
    </row>
    <row r="1605">
      <c r="C1605" s="703"/>
      <c r="E1605" s="222"/>
      <c r="F1605" s="702"/>
    </row>
    <row r="1606">
      <c r="C1606" s="703"/>
      <c r="E1606" s="222"/>
      <c r="F1606" s="702"/>
    </row>
    <row r="1607">
      <c r="C1607" s="703"/>
      <c r="E1607" s="222"/>
      <c r="F1607" s="702"/>
    </row>
    <row r="1608">
      <c r="C1608" s="703"/>
      <c r="E1608" s="222"/>
      <c r="F1608" s="702"/>
    </row>
    <row r="1609">
      <c r="C1609" s="703"/>
      <c r="E1609" s="222"/>
      <c r="F1609" s="702"/>
    </row>
    <row r="1610">
      <c r="C1610" s="703"/>
      <c r="E1610" s="222"/>
      <c r="F1610" s="702"/>
    </row>
    <row r="1611">
      <c r="C1611" s="703"/>
      <c r="E1611" s="222"/>
      <c r="F1611" s="702"/>
    </row>
    <row r="1612">
      <c r="C1612" s="703"/>
      <c r="E1612" s="222"/>
      <c r="F1612" s="702"/>
    </row>
    <row r="1613">
      <c r="C1613" s="703"/>
      <c r="E1613" s="222"/>
      <c r="F1613" s="702"/>
    </row>
    <row r="1614">
      <c r="C1614" s="703"/>
      <c r="E1614" s="222"/>
      <c r="F1614" s="702"/>
    </row>
    <row r="1615">
      <c r="C1615" s="703"/>
      <c r="E1615" s="222"/>
      <c r="F1615" s="702"/>
    </row>
    <row r="1616">
      <c r="C1616" s="703"/>
      <c r="E1616" s="222"/>
      <c r="F1616" s="702"/>
    </row>
    <row r="1617">
      <c r="C1617" s="703"/>
      <c r="E1617" s="222"/>
      <c r="F1617" s="702"/>
    </row>
    <row r="1618">
      <c r="C1618" s="703"/>
      <c r="E1618" s="222"/>
      <c r="F1618" s="702"/>
    </row>
    <row r="1619">
      <c r="C1619" s="703"/>
      <c r="E1619" s="222"/>
      <c r="F1619" s="702"/>
    </row>
    <row r="1620">
      <c r="C1620" s="703"/>
      <c r="E1620" s="222"/>
      <c r="F1620" s="702"/>
    </row>
    <row r="1621">
      <c r="C1621" s="703"/>
      <c r="E1621" s="222"/>
      <c r="F1621" s="702"/>
    </row>
    <row r="1622">
      <c r="C1622" s="703"/>
      <c r="E1622" s="222"/>
      <c r="F1622" s="702"/>
    </row>
    <row r="1623">
      <c r="C1623" s="703"/>
      <c r="E1623" s="222"/>
      <c r="F1623" s="702"/>
    </row>
    <row r="1624">
      <c r="C1624" s="703"/>
      <c r="E1624" s="222"/>
      <c r="F1624" s="702"/>
    </row>
    <row r="1625">
      <c r="C1625" s="703"/>
      <c r="E1625" s="222"/>
      <c r="F1625" s="702"/>
    </row>
    <row r="1626">
      <c r="C1626" s="703"/>
      <c r="E1626" s="222"/>
      <c r="F1626" s="702"/>
    </row>
    <row r="1627">
      <c r="C1627" s="703"/>
      <c r="E1627" s="222"/>
      <c r="F1627" s="702"/>
    </row>
    <row r="1628">
      <c r="C1628" s="703"/>
      <c r="E1628" s="222"/>
      <c r="F1628" s="702"/>
    </row>
    <row r="1629">
      <c r="C1629" s="703"/>
      <c r="E1629" s="222"/>
      <c r="F1629" s="702"/>
    </row>
    <row r="1630">
      <c r="C1630" s="703"/>
      <c r="E1630" s="222"/>
      <c r="F1630" s="702"/>
    </row>
    <row r="1631">
      <c r="C1631" s="703"/>
      <c r="E1631" s="222"/>
      <c r="F1631" s="702"/>
    </row>
    <row r="1632">
      <c r="C1632" s="703"/>
      <c r="E1632" s="222"/>
      <c r="F1632" s="702"/>
    </row>
    <row r="1633">
      <c r="C1633" s="703"/>
      <c r="E1633" s="222"/>
      <c r="F1633" s="702"/>
    </row>
    <row r="1634">
      <c r="C1634" s="703"/>
      <c r="E1634" s="222"/>
      <c r="F1634" s="702"/>
    </row>
    <row r="1635">
      <c r="C1635" s="703"/>
      <c r="E1635" s="222"/>
      <c r="F1635" s="702"/>
    </row>
    <row r="1636">
      <c r="C1636" s="703"/>
      <c r="E1636" s="222"/>
      <c r="F1636" s="702"/>
    </row>
    <row r="1637">
      <c r="C1637" s="703"/>
      <c r="E1637" s="222"/>
      <c r="F1637" s="702"/>
    </row>
    <row r="1638">
      <c r="C1638" s="703"/>
      <c r="E1638" s="222"/>
      <c r="F1638" s="702"/>
    </row>
    <row r="1639">
      <c r="C1639" s="703"/>
      <c r="E1639" s="222"/>
      <c r="F1639" s="702"/>
    </row>
    <row r="1640">
      <c r="C1640" s="703"/>
      <c r="E1640" s="222"/>
      <c r="F1640" s="702"/>
    </row>
    <row r="1641">
      <c r="C1641" s="703"/>
      <c r="E1641" s="222"/>
      <c r="F1641" s="702"/>
    </row>
    <row r="1642">
      <c r="C1642" s="703"/>
      <c r="E1642" s="222"/>
      <c r="F1642" s="702"/>
    </row>
    <row r="1643">
      <c r="C1643" s="703"/>
      <c r="E1643" s="222"/>
      <c r="F1643" s="702"/>
    </row>
    <row r="1644">
      <c r="C1644" s="703"/>
      <c r="E1644" s="222"/>
      <c r="F1644" s="702"/>
    </row>
    <row r="1645">
      <c r="C1645" s="703"/>
      <c r="E1645" s="222"/>
      <c r="F1645" s="702"/>
    </row>
    <row r="1646">
      <c r="C1646" s="703"/>
      <c r="E1646" s="222"/>
      <c r="F1646" s="702"/>
    </row>
    <row r="1647">
      <c r="C1647" s="703"/>
      <c r="E1647" s="222"/>
      <c r="F1647" s="702"/>
    </row>
    <row r="1648">
      <c r="C1648" s="703"/>
      <c r="E1648" s="222"/>
      <c r="F1648" s="702"/>
    </row>
    <row r="1649">
      <c r="C1649" s="703"/>
      <c r="E1649" s="222"/>
      <c r="F1649" s="702"/>
    </row>
    <row r="1650">
      <c r="C1650" s="703"/>
      <c r="E1650" s="222"/>
      <c r="F1650" s="702"/>
    </row>
    <row r="1651">
      <c r="C1651" s="703"/>
      <c r="E1651" s="222"/>
      <c r="F1651" s="702"/>
    </row>
    <row r="1652">
      <c r="C1652" s="703"/>
      <c r="E1652" s="222"/>
      <c r="F1652" s="702"/>
    </row>
    <row r="1653">
      <c r="C1653" s="703"/>
      <c r="E1653" s="222"/>
      <c r="F1653" s="702"/>
    </row>
    <row r="1654">
      <c r="C1654" s="703"/>
      <c r="E1654" s="222"/>
      <c r="F1654" s="702"/>
    </row>
    <row r="1655">
      <c r="C1655" s="703"/>
      <c r="E1655" s="222"/>
      <c r="F1655" s="702"/>
    </row>
    <row r="1656">
      <c r="C1656" s="703"/>
      <c r="E1656" s="222"/>
      <c r="F1656" s="702"/>
    </row>
    <row r="1657">
      <c r="C1657" s="703"/>
      <c r="E1657" s="222"/>
      <c r="F1657" s="702"/>
    </row>
    <row r="1658">
      <c r="C1658" s="703"/>
      <c r="E1658" s="222"/>
      <c r="F1658" s="702"/>
    </row>
    <row r="1659">
      <c r="C1659" s="703"/>
      <c r="E1659" s="222"/>
      <c r="F1659" s="702"/>
    </row>
    <row r="1660">
      <c r="C1660" s="703"/>
      <c r="E1660" s="222"/>
      <c r="F1660" s="702"/>
    </row>
    <row r="1661">
      <c r="C1661" s="703"/>
      <c r="E1661" s="222"/>
      <c r="F1661" s="702"/>
    </row>
    <row r="1662">
      <c r="C1662" s="703"/>
      <c r="E1662" s="222"/>
      <c r="F1662" s="702"/>
    </row>
    <row r="1663">
      <c r="C1663" s="703"/>
      <c r="E1663" s="222"/>
      <c r="F1663" s="702"/>
    </row>
    <row r="1664">
      <c r="C1664" s="703"/>
      <c r="E1664" s="222"/>
      <c r="F1664" s="702"/>
    </row>
    <row r="1665">
      <c r="C1665" s="703"/>
      <c r="E1665" s="222"/>
      <c r="F1665" s="702"/>
    </row>
    <row r="1666">
      <c r="C1666" s="703"/>
      <c r="E1666" s="222"/>
      <c r="F1666" s="702"/>
    </row>
    <row r="1667">
      <c r="C1667" s="703"/>
      <c r="E1667" s="222"/>
      <c r="F1667" s="702"/>
    </row>
    <row r="1668">
      <c r="C1668" s="703"/>
      <c r="E1668" s="222"/>
      <c r="F1668" s="702"/>
    </row>
    <row r="1669">
      <c r="C1669" s="703"/>
      <c r="E1669" s="222"/>
      <c r="F1669" s="702"/>
    </row>
    <row r="1670">
      <c r="C1670" s="703"/>
      <c r="E1670" s="222"/>
      <c r="F1670" s="702"/>
    </row>
    <row r="1671">
      <c r="C1671" s="703"/>
      <c r="E1671" s="222"/>
      <c r="F1671" s="702"/>
    </row>
    <row r="1672">
      <c r="C1672" s="703"/>
      <c r="E1672" s="222"/>
      <c r="F1672" s="702"/>
    </row>
    <row r="1673">
      <c r="C1673" s="703"/>
      <c r="E1673" s="222"/>
      <c r="F1673" s="702"/>
    </row>
    <row r="1674">
      <c r="C1674" s="703"/>
      <c r="E1674" s="222"/>
      <c r="F1674" s="702"/>
    </row>
    <row r="1675">
      <c r="C1675" s="703"/>
      <c r="E1675" s="222"/>
      <c r="F1675" s="702"/>
    </row>
    <row r="1676">
      <c r="C1676" s="703"/>
      <c r="E1676" s="222"/>
      <c r="F1676" s="702"/>
    </row>
    <row r="1677">
      <c r="C1677" s="703"/>
      <c r="E1677" s="222"/>
      <c r="F1677" s="702"/>
    </row>
    <row r="1678">
      <c r="C1678" s="703"/>
      <c r="E1678" s="222"/>
      <c r="F1678" s="702"/>
    </row>
    <row r="1679">
      <c r="C1679" s="703"/>
      <c r="E1679" s="222"/>
      <c r="F1679" s="702"/>
    </row>
    <row r="1680">
      <c r="C1680" s="703"/>
      <c r="E1680" s="222"/>
      <c r="F1680" s="702"/>
    </row>
    <row r="1681">
      <c r="C1681" s="703"/>
      <c r="E1681" s="222"/>
      <c r="F1681" s="702"/>
    </row>
    <row r="1682">
      <c r="C1682" s="703"/>
      <c r="E1682" s="222"/>
      <c r="F1682" s="702"/>
    </row>
    <row r="1683">
      <c r="C1683" s="703"/>
      <c r="E1683" s="222"/>
      <c r="F1683" s="702"/>
    </row>
    <row r="1684">
      <c r="C1684" s="703"/>
      <c r="E1684" s="222"/>
      <c r="F1684" s="702"/>
    </row>
    <row r="1685">
      <c r="C1685" s="703"/>
      <c r="E1685" s="222"/>
      <c r="F1685" s="702"/>
    </row>
    <row r="1686">
      <c r="C1686" s="703"/>
      <c r="E1686" s="222"/>
      <c r="F1686" s="702"/>
    </row>
    <row r="1687">
      <c r="C1687" s="703"/>
      <c r="E1687" s="222"/>
      <c r="F1687" s="702"/>
    </row>
    <row r="1688">
      <c r="C1688" s="703"/>
      <c r="E1688" s="222"/>
      <c r="F1688" s="702"/>
    </row>
    <row r="1689">
      <c r="C1689" s="703"/>
      <c r="E1689" s="222"/>
      <c r="F1689" s="702"/>
    </row>
    <row r="1690">
      <c r="C1690" s="703"/>
      <c r="E1690" s="222"/>
      <c r="F1690" s="702"/>
    </row>
    <row r="1691">
      <c r="C1691" s="703"/>
      <c r="E1691" s="222"/>
      <c r="F1691" s="702"/>
    </row>
    <row r="1692">
      <c r="C1692" s="703"/>
      <c r="E1692" s="222"/>
      <c r="F1692" s="702"/>
    </row>
    <row r="1693">
      <c r="C1693" s="703"/>
      <c r="E1693" s="222"/>
      <c r="F1693" s="702"/>
    </row>
    <row r="1694">
      <c r="C1694" s="703"/>
      <c r="E1694" s="222"/>
      <c r="F1694" s="702"/>
    </row>
    <row r="1695">
      <c r="C1695" s="703"/>
      <c r="E1695" s="222"/>
      <c r="F1695" s="702"/>
    </row>
    <row r="1696">
      <c r="C1696" s="703"/>
      <c r="E1696" s="222"/>
      <c r="F1696" s="702"/>
    </row>
    <row r="1697">
      <c r="C1697" s="703"/>
      <c r="E1697" s="222"/>
      <c r="F1697" s="702"/>
    </row>
    <row r="1698">
      <c r="C1698" s="703"/>
      <c r="E1698" s="222"/>
      <c r="F1698" s="702"/>
    </row>
    <row r="1699">
      <c r="C1699" s="703"/>
      <c r="E1699" s="222"/>
      <c r="F1699" s="702"/>
    </row>
    <row r="1700">
      <c r="C1700" s="703"/>
      <c r="E1700" s="222"/>
      <c r="F1700" s="702"/>
    </row>
    <row r="1701">
      <c r="C1701" s="703"/>
      <c r="E1701" s="222"/>
      <c r="F1701" s="702"/>
    </row>
    <row r="1702">
      <c r="C1702" s="703"/>
      <c r="E1702" s="222"/>
      <c r="F1702" s="702"/>
    </row>
    <row r="1703">
      <c r="C1703" s="703"/>
      <c r="E1703" s="222"/>
      <c r="F1703" s="702"/>
    </row>
    <row r="1704">
      <c r="C1704" s="703"/>
      <c r="E1704" s="222"/>
      <c r="F1704" s="702"/>
    </row>
    <row r="1705">
      <c r="C1705" s="703"/>
      <c r="E1705" s="222"/>
      <c r="F1705" s="702"/>
    </row>
    <row r="1706">
      <c r="C1706" s="703"/>
      <c r="E1706" s="222"/>
      <c r="F1706" s="702"/>
    </row>
    <row r="1707">
      <c r="C1707" s="703"/>
      <c r="E1707" s="222"/>
      <c r="F1707" s="702"/>
    </row>
    <row r="1708">
      <c r="C1708" s="703"/>
      <c r="E1708" s="222"/>
      <c r="F1708" s="702"/>
    </row>
    <row r="1709">
      <c r="C1709" s="703"/>
      <c r="E1709" s="222"/>
      <c r="F1709" s="702"/>
    </row>
    <row r="1710">
      <c r="C1710" s="703"/>
      <c r="E1710" s="222"/>
      <c r="F1710" s="702"/>
    </row>
    <row r="1711">
      <c r="C1711" s="703"/>
      <c r="E1711" s="222"/>
      <c r="F1711" s="702"/>
    </row>
    <row r="1712">
      <c r="C1712" s="703"/>
      <c r="E1712" s="222"/>
      <c r="F1712" s="702"/>
    </row>
    <row r="1713">
      <c r="C1713" s="703"/>
      <c r="E1713" s="222"/>
      <c r="F1713" s="702"/>
    </row>
    <row r="1714">
      <c r="C1714" s="703"/>
      <c r="E1714" s="222"/>
      <c r="F1714" s="702"/>
    </row>
    <row r="1715">
      <c r="C1715" s="703"/>
      <c r="E1715" s="222"/>
      <c r="F1715" s="702"/>
    </row>
    <row r="1716">
      <c r="C1716" s="703"/>
      <c r="E1716" s="222"/>
      <c r="F1716" s="702"/>
    </row>
    <row r="1717">
      <c r="C1717" s="703"/>
      <c r="E1717" s="222"/>
      <c r="F1717" s="702"/>
    </row>
    <row r="1718">
      <c r="C1718" s="703"/>
      <c r="E1718" s="222"/>
      <c r="F1718" s="702"/>
    </row>
    <row r="1719">
      <c r="C1719" s="703"/>
      <c r="E1719" s="222"/>
      <c r="F1719" s="702"/>
    </row>
    <row r="1720">
      <c r="C1720" s="703"/>
      <c r="E1720" s="222"/>
      <c r="F1720" s="702"/>
    </row>
    <row r="1721">
      <c r="C1721" s="703"/>
      <c r="E1721" s="222"/>
      <c r="F1721" s="702"/>
    </row>
    <row r="1722">
      <c r="C1722" s="703"/>
      <c r="E1722" s="222"/>
      <c r="F1722" s="702"/>
    </row>
    <row r="1723">
      <c r="C1723" s="703"/>
      <c r="E1723" s="222"/>
      <c r="F1723" s="702"/>
    </row>
    <row r="1724">
      <c r="C1724" s="703"/>
      <c r="E1724" s="222"/>
      <c r="F1724" s="702"/>
    </row>
    <row r="1725">
      <c r="C1725" s="703"/>
      <c r="E1725" s="222"/>
      <c r="F1725" s="702"/>
    </row>
    <row r="1726">
      <c r="C1726" s="703"/>
      <c r="E1726" s="222"/>
      <c r="F1726" s="702"/>
    </row>
    <row r="1727">
      <c r="C1727" s="703"/>
      <c r="E1727" s="222"/>
      <c r="F1727" s="702"/>
    </row>
    <row r="1728">
      <c r="C1728" s="703"/>
      <c r="E1728" s="222"/>
      <c r="F1728" s="702"/>
    </row>
    <row r="1729">
      <c r="C1729" s="703"/>
      <c r="E1729" s="222"/>
      <c r="F1729" s="702"/>
    </row>
    <row r="1730">
      <c r="C1730" s="703"/>
      <c r="E1730" s="222"/>
      <c r="F1730" s="702"/>
    </row>
    <row r="1731">
      <c r="C1731" s="703"/>
      <c r="E1731" s="222"/>
      <c r="F1731" s="702"/>
    </row>
    <row r="1732">
      <c r="C1732" s="703"/>
      <c r="E1732" s="222"/>
      <c r="F1732" s="702"/>
    </row>
    <row r="1733">
      <c r="C1733" s="703"/>
      <c r="E1733" s="222"/>
      <c r="F1733" s="702"/>
    </row>
    <row r="1734">
      <c r="C1734" s="703"/>
      <c r="E1734" s="222"/>
      <c r="F1734" s="702"/>
    </row>
    <row r="1735">
      <c r="C1735" s="703"/>
      <c r="E1735" s="222"/>
      <c r="F1735" s="702"/>
    </row>
    <row r="1736">
      <c r="C1736" s="703"/>
      <c r="E1736" s="222"/>
      <c r="F1736" s="702"/>
    </row>
    <row r="1737">
      <c r="C1737" s="703"/>
      <c r="E1737" s="222"/>
      <c r="F1737" s="702"/>
    </row>
    <row r="1738">
      <c r="C1738" s="703"/>
      <c r="E1738" s="222"/>
      <c r="F1738" s="702"/>
    </row>
    <row r="1739">
      <c r="C1739" s="703"/>
      <c r="E1739" s="222"/>
      <c r="F1739" s="702"/>
    </row>
    <row r="1740">
      <c r="C1740" s="703"/>
      <c r="E1740" s="222"/>
      <c r="F1740" s="702"/>
    </row>
    <row r="1741">
      <c r="C1741" s="703"/>
      <c r="E1741" s="222"/>
      <c r="F1741" s="702"/>
    </row>
    <row r="1742">
      <c r="C1742" s="703"/>
      <c r="E1742" s="222"/>
      <c r="F1742" s="702"/>
    </row>
    <row r="1743">
      <c r="C1743" s="703"/>
      <c r="E1743" s="222"/>
      <c r="F1743" s="702"/>
    </row>
    <row r="1744">
      <c r="C1744" s="703"/>
      <c r="E1744" s="222"/>
      <c r="F1744" s="702"/>
    </row>
    <row r="1745">
      <c r="C1745" s="703"/>
      <c r="E1745" s="222"/>
      <c r="F1745" s="702"/>
    </row>
    <row r="1746">
      <c r="C1746" s="703"/>
      <c r="E1746" s="222"/>
      <c r="F1746" s="702"/>
    </row>
    <row r="1747">
      <c r="C1747" s="703"/>
      <c r="E1747" s="222"/>
      <c r="F1747" s="702"/>
    </row>
    <row r="1748">
      <c r="C1748" s="703"/>
      <c r="E1748" s="222"/>
      <c r="F1748" s="702"/>
    </row>
    <row r="1749">
      <c r="C1749" s="703"/>
      <c r="E1749" s="222"/>
      <c r="F1749" s="702"/>
    </row>
    <row r="1750">
      <c r="C1750" s="703"/>
      <c r="E1750" s="222"/>
      <c r="F1750" s="702"/>
    </row>
    <row r="1751">
      <c r="C1751" s="703"/>
      <c r="E1751" s="222"/>
      <c r="F1751" s="702"/>
    </row>
    <row r="1752">
      <c r="C1752" s="703"/>
      <c r="E1752" s="222"/>
      <c r="F1752" s="702"/>
    </row>
    <row r="1753">
      <c r="C1753" s="703"/>
      <c r="E1753" s="222"/>
      <c r="F1753" s="702"/>
    </row>
    <row r="1754">
      <c r="C1754" s="703"/>
      <c r="E1754" s="222"/>
      <c r="F1754" s="702"/>
    </row>
    <row r="1755">
      <c r="C1755" s="703"/>
      <c r="E1755" s="222"/>
      <c r="F1755" s="702"/>
    </row>
    <row r="1756">
      <c r="C1756" s="703"/>
      <c r="E1756" s="222"/>
      <c r="F1756" s="702"/>
    </row>
    <row r="1757">
      <c r="C1757" s="703"/>
      <c r="E1757" s="222"/>
      <c r="F1757" s="702"/>
    </row>
    <row r="1758">
      <c r="C1758" s="703"/>
      <c r="E1758" s="222"/>
      <c r="F1758" s="702"/>
    </row>
    <row r="1759">
      <c r="C1759" s="703"/>
      <c r="E1759" s="222"/>
      <c r="F1759" s="702"/>
    </row>
    <row r="1760">
      <c r="C1760" s="703"/>
      <c r="E1760" s="222"/>
      <c r="F1760" s="702"/>
    </row>
    <row r="1761">
      <c r="C1761" s="703"/>
      <c r="E1761" s="222"/>
      <c r="F1761" s="702"/>
    </row>
    <row r="1762">
      <c r="C1762" s="703"/>
      <c r="E1762" s="222"/>
      <c r="F1762" s="702"/>
    </row>
    <row r="1763">
      <c r="C1763" s="703"/>
      <c r="E1763" s="222"/>
      <c r="F1763" s="702"/>
    </row>
    <row r="1764">
      <c r="C1764" s="703"/>
      <c r="E1764" s="222"/>
      <c r="F1764" s="702"/>
    </row>
    <row r="1765">
      <c r="C1765" s="703"/>
      <c r="E1765" s="222"/>
      <c r="F1765" s="702"/>
    </row>
    <row r="1766">
      <c r="C1766" s="703"/>
      <c r="E1766" s="222"/>
      <c r="F1766" s="702"/>
    </row>
    <row r="1767">
      <c r="C1767" s="703"/>
      <c r="E1767" s="222"/>
      <c r="F1767" s="702"/>
    </row>
    <row r="1768">
      <c r="C1768" s="703"/>
      <c r="E1768" s="222"/>
      <c r="F1768" s="702"/>
    </row>
    <row r="1769">
      <c r="C1769" s="703"/>
      <c r="E1769" s="222"/>
      <c r="F1769" s="702"/>
    </row>
    <row r="1770">
      <c r="C1770" s="703"/>
      <c r="E1770" s="222"/>
      <c r="F1770" s="702"/>
    </row>
    <row r="1771">
      <c r="C1771" s="703"/>
      <c r="E1771" s="222"/>
      <c r="F1771" s="702"/>
    </row>
    <row r="1772">
      <c r="C1772" s="703"/>
      <c r="E1772" s="222"/>
      <c r="F1772" s="702"/>
    </row>
    <row r="1773">
      <c r="C1773" s="703"/>
      <c r="E1773" s="222"/>
      <c r="F1773" s="702"/>
    </row>
    <row r="1774">
      <c r="C1774" s="703"/>
      <c r="E1774" s="222"/>
      <c r="F1774" s="702"/>
    </row>
    <row r="1775">
      <c r="C1775" s="703"/>
      <c r="E1775" s="222"/>
      <c r="F1775" s="702"/>
    </row>
    <row r="1776">
      <c r="C1776" s="703"/>
      <c r="E1776" s="222"/>
      <c r="F1776" s="702"/>
    </row>
    <row r="1777">
      <c r="C1777" s="703"/>
      <c r="E1777" s="222"/>
      <c r="F1777" s="702"/>
    </row>
    <row r="1778">
      <c r="C1778" s="703"/>
      <c r="E1778" s="222"/>
      <c r="F1778" s="702"/>
    </row>
    <row r="1779">
      <c r="C1779" s="703"/>
      <c r="E1779" s="222"/>
      <c r="F1779" s="702"/>
    </row>
    <row r="1780">
      <c r="C1780" s="703"/>
      <c r="E1780" s="222"/>
      <c r="F1780" s="702"/>
    </row>
    <row r="1781">
      <c r="C1781" s="703"/>
      <c r="E1781" s="222"/>
      <c r="F1781" s="702"/>
    </row>
    <row r="1782">
      <c r="C1782" s="703"/>
      <c r="E1782" s="222"/>
      <c r="F1782" s="702"/>
    </row>
    <row r="1783">
      <c r="C1783" s="703"/>
      <c r="E1783" s="222"/>
      <c r="F1783" s="702"/>
    </row>
    <row r="1784">
      <c r="C1784" s="703"/>
      <c r="E1784" s="222"/>
      <c r="F1784" s="702"/>
    </row>
    <row r="1785">
      <c r="C1785" s="703"/>
      <c r="E1785" s="222"/>
      <c r="F1785" s="702"/>
    </row>
    <row r="1786">
      <c r="C1786" s="703"/>
      <c r="E1786" s="222"/>
      <c r="F1786" s="702"/>
    </row>
    <row r="1787">
      <c r="C1787" s="703"/>
      <c r="E1787" s="222"/>
      <c r="F1787" s="702"/>
    </row>
    <row r="1788">
      <c r="C1788" s="703"/>
      <c r="E1788" s="222"/>
      <c r="F1788" s="702"/>
    </row>
    <row r="1789">
      <c r="C1789" s="703"/>
      <c r="E1789" s="222"/>
      <c r="F1789" s="702"/>
    </row>
    <row r="1790">
      <c r="C1790" s="703"/>
      <c r="E1790" s="222"/>
      <c r="F1790" s="702"/>
    </row>
    <row r="1791">
      <c r="C1791" s="703"/>
      <c r="E1791" s="222"/>
      <c r="F1791" s="702"/>
    </row>
    <row r="1792">
      <c r="C1792" s="703"/>
      <c r="E1792" s="222"/>
      <c r="F1792" s="702"/>
    </row>
    <row r="1793">
      <c r="C1793" s="703"/>
      <c r="E1793" s="222"/>
      <c r="F1793" s="702"/>
    </row>
    <row r="1794">
      <c r="C1794" s="703"/>
      <c r="E1794" s="222"/>
      <c r="F1794" s="702"/>
    </row>
    <row r="1795">
      <c r="C1795" s="703"/>
      <c r="E1795" s="222"/>
      <c r="F1795" s="702"/>
    </row>
    <row r="1796">
      <c r="C1796" s="703"/>
      <c r="E1796" s="222"/>
      <c r="F1796" s="702"/>
    </row>
    <row r="1797">
      <c r="C1797" s="703"/>
      <c r="E1797" s="222"/>
      <c r="F1797" s="702"/>
    </row>
    <row r="1798">
      <c r="C1798" s="703"/>
      <c r="E1798" s="222"/>
      <c r="F1798" s="702"/>
    </row>
    <row r="1799">
      <c r="C1799" s="703"/>
      <c r="E1799" s="222"/>
      <c r="F1799" s="702"/>
    </row>
    <row r="1800">
      <c r="C1800" s="703"/>
      <c r="E1800" s="222"/>
      <c r="F1800" s="702"/>
    </row>
    <row r="1801">
      <c r="C1801" s="703"/>
      <c r="E1801" s="222"/>
      <c r="F1801" s="702"/>
    </row>
    <row r="1802">
      <c r="C1802" s="703"/>
      <c r="E1802" s="222"/>
      <c r="F1802" s="702"/>
    </row>
    <row r="1803">
      <c r="C1803" s="703"/>
      <c r="E1803" s="222"/>
      <c r="F1803" s="702"/>
    </row>
    <row r="1804">
      <c r="C1804" s="703"/>
      <c r="E1804" s="222"/>
      <c r="F1804" s="702"/>
    </row>
    <row r="1805">
      <c r="C1805" s="703"/>
      <c r="E1805" s="222"/>
      <c r="F1805" s="702"/>
    </row>
    <row r="1806">
      <c r="C1806" s="703"/>
      <c r="E1806" s="222"/>
      <c r="F1806" s="702"/>
    </row>
    <row r="1807">
      <c r="C1807" s="703"/>
      <c r="E1807" s="222"/>
      <c r="F1807" s="702"/>
    </row>
    <row r="1808">
      <c r="C1808" s="703"/>
      <c r="E1808" s="222"/>
      <c r="F1808" s="702"/>
    </row>
    <row r="1809">
      <c r="C1809" s="703"/>
      <c r="E1809" s="222"/>
      <c r="F1809" s="702"/>
    </row>
    <row r="1810">
      <c r="C1810" s="703"/>
      <c r="E1810" s="222"/>
      <c r="F1810" s="702"/>
    </row>
    <row r="1811">
      <c r="C1811" s="703"/>
      <c r="E1811" s="222"/>
      <c r="F1811" s="702"/>
    </row>
    <row r="1812">
      <c r="C1812" s="703"/>
      <c r="E1812" s="222"/>
      <c r="F1812" s="702"/>
    </row>
    <row r="1813">
      <c r="C1813" s="703"/>
      <c r="E1813" s="222"/>
      <c r="F1813" s="702"/>
    </row>
    <row r="1814">
      <c r="C1814" s="703"/>
      <c r="E1814" s="222"/>
      <c r="F1814" s="702"/>
    </row>
    <row r="1815">
      <c r="C1815" s="703"/>
      <c r="E1815" s="222"/>
      <c r="F1815" s="702"/>
    </row>
    <row r="1816">
      <c r="C1816" s="703"/>
      <c r="E1816" s="222"/>
      <c r="F1816" s="702"/>
    </row>
    <row r="1817">
      <c r="C1817" s="703"/>
      <c r="E1817" s="222"/>
      <c r="F1817" s="702"/>
    </row>
    <row r="1818">
      <c r="C1818" s="703"/>
      <c r="E1818" s="222"/>
      <c r="F1818" s="702"/>
    </row>
    <row r="1819">
      <c r="C1819" s="703"/>
      <c r="E1819" s="222"/>
      <c r="F1819" s="702"/>
    </row>
    <row r="1820">
      <c r="C1820" s="703"/>
      <c r="E1820" s="222"/>
      <c r="F1820" s="702"/>
    </row>
    <row r="1821">
      <c r="C1821" s="703"/>
      <c r="E1821" s="222"/>
      <c r="F1821" s="702"/>
    </row>
    <row r="1822">
      <c r="C1822" s="703"/>
      <c r="E1822" s="222"/>
      <c r="F1822" s="702"/>
    </row>
    <row r="1823">
      <c r="C1823" s="703"/>
      <c r="E1823" s="222"/>
      <c r="F1823" s="702"/>
    </row>
    <row r="1824">
      <c r="C1824" s="703"/>
      <c r="E1824" s="222"/>
      <c r="F1824" s="702"/>
    </row>
    <row r="1825">
      <c r="C1825" s="703"/>
      <c r="E1825" s="222"/>
      <c r="F1825" s="702"/>
    </row>
    <row r="1826">
      <c r="C1826" s="703"/>
      <c r="E1826" s="222"/>
      <c r="F1826" s="702"/>
    </row>
    <row r="1827">
      <c r="C1827" s="703"/>
      <c r="E1827" s="222"/>
      <c r="F1827" s="702"/>
    </row>
    <row r="1828">
      <c r="C1828" s="703"/>
      <c r="E1828" s="222"/>
      <c r="F1828" s="702"/>
    </row>
    <row r="1829">
      <c r="C1829" s="703"/>
      <c r="E1829" s="222"/>
      <c r="F1829" s="702"/>
    </row>
    <row r="1830">
      <c r="C1830" s="703"/>
      <c r="E1830" s="222"/>
      <c r="F1830" s="702"/>
    </row>
    <row r="1831">
      <c r="C1831" s="703"/>
      <c r="E1831" s="222"/>
      <c r="F1831" s="702"/>
    </row>
    <row r="1832">
      <c r="C1832" s="703"/>
      <c r="E1832" s="222"/>
      <c r="F1832" s="702"/>
    </row>
    <row r="1833">
      <c r="C1833" s="703"/>
      <c r="E1833" s="222"/>
      <c r="F1833" s="702"/>
    </row>
    <row r="1834">
      <c r="C1834" s="703"/>
      <c r="E1834" s="222"/>
      <c r="F1834" s="702"/>
    </row>
    <row r="1835">
      <c r="C1835" s="703"/>
      <c r="E1835" s="222"/>
      <c r="F1835" s="702"/>
    </row>
    <row r="1836">
      <c r="C1836" s="703"/>
      <c r="E1836" s="222"/>
      <c r="F1836" s="702"/>
    </row>
    <row r="1837">
      <c r="C1837" s="703"/>
      <c r="E1837" s="222"/>
      <c r="F1837" s="702"/>
    </row>
    <row r="1838">
      <c r="C1838" s="703"/>
      <c r="E1838" s="222"/>
      <c r="F1838" s="702"/>
    </row>
    <row r="1839">
      <c r="C1839" s="703"/>
      <c r="E1839" s="222"/>
      <c r="F1839" s="702"/>
    </row>
    <row r="1840">
      <c r="C1840" s="703"/>
      <c r="E1840" s="222"/>
      <c r="F1840" s="702"/>
    </row>
    <row r="1841">
      <c r="C1841" s="703"/>
      <c r="E1841" s="222"/>
      <c r="F1841" s="702"/>
    </row>
    <row r="1842">
      <c r="C1842" s="703"/>
      <c r="E1842" s="222"/>
      <c r="F1842" s="702"/>
    </row>
    <row r="1843">
      <c r="C1843" s="703"/>
      <c r="E1843" s="222"/>
      <c r="F1843" s="702"/>
    </row>
    <row r="1844">
      <c r="C1844" s="703"/>
      <c r="E1844" s="222"/>
      <c r="F1844" s="702"/>
    </row>
    <row r="1845">
      <c r="C1845" s="703"/>
      <c r="E1845" s="222"/>
      <c r="F1845" s="702"/>
    </row>
    <row r="1846">
      <c r="C1846" s="703"/>
      <c r="E1846" s="222"/>
      <c r="F1846" s="702"/>
    </row>
    <row r="1847">
      <c r="C1847" s="703"/>
      <c r="E1847" s="222"/>
      <c r="F1847" s="702"/>
    </row>
    <row r="1848">
      <c r="C1848" s="703"/>
      <c r="E1848" s="222"/>
      <c r="F1848" s="702"/>
    </row>
    <row r="1849">
      <c r="C1849" s="703"/>
      <c r="E1849" s="222"/>
      <c r="F1849" s="702"/>
    </row>
    <row r="1850">
      <c r="C1850" s="703"/>
      <c r="E1850" s="222"/>
      <c r="F1850" s="702"/>
    </row>
    <row r="1851">
      <c r="C1851" s="703"/>
      <c r="E1851" s="222"/>
      <c r="F1851" s="702"/>
    </row>
    <row r="1852">
      <c r="C1852" s="703"/>
      <c r="E1852" s="222"/>
      <c r="F1852" s="702"/>
    </row>
    <row r="1853">
      <c r="C1853" s="703"/>
      <c r="E1853" s="222"/>
      <c r="F1853" s="702"/>
    </row>
    <row r="1854">
      <c r="C1854" s="703"/>
      <c r="E1854" s="222"/>
      <c r="F1854" s="702"/>
    </row>
    <row r="1855">
      <c r="C1855" s="703"/>
      <c r="E1855" s="222"/>
      <c r="F1855" s="702"/>
    </row>
    <row r="1856">
      <c r="C1856" s="703"/>
      <c r="E1856" s="222"/>
      <c r="F1856" s="702"/>
    </row>
    <row r="1857">
      <c r="C1857" s="703"/>
      <c r="E1857" s="222"/>
      <c r="F1857" s="702"/>
    </row>
    <row r="1858">
      <c r="C1858" s="703"/>
      <c r="E1858" s="222"/>
      <c r="F1858" s="702"/>
    </row>
    <row r="1859">
      <c r="C1859" s="703"/>
      <c r="E1859" s="222"/>
      <c r="F1859" s="702"/>
    </row>
    <row r="1860">
      <c r="C1860" s="703"/>
      <c r="E1860" s="222"/>
      <c r="F1860" s="702"/>
    </row>
    <row r="1861">
      <c r="C1861" s="703"/>
      <c r="E1861" s="222"/>
      <c r="F1861" s="702"/>
    </row>
    <row r="1862">
      <c r="C1862" s="703"/>
      <c r="E1862" s="222"/>
      <c r="F1862" s="702"/>
    </row>
    <row r="1863">
      <c r="C1863" s="703"/>
      <c r="E1863" s="222"/>
      <c r="F1863" s="702"/>
    </row>
    <row r="1864">
      <c r="C1864" s="703"/>
      <c r="E1864" s="222"/>
      <c r="F1864" s="702"/>
    </row>
    <row r="1865">
      <c r="C1865" s="703"/>
      <c r="E1865" s="222"/>
      <c r="F1865" s="702"/>
    </row>
    <row r="1866">
      <c r="C1866" s="703"/>
      <c r="E1866" s="222"/>
      <c r="F1866" s="702"/>
    </row>
    <row r="1867">
      <c r="C1867" s="703"/>
      <c r="E1867" s="222"/>
      <c r="F1867" s="702"/>
    </row>
    <row r="1868">
      <c r="C1868" s="703"/>
      <c r="E1868" s="222"/>
      <c r="F1868" s="702"/>
    </row>
    <row r="1869">
      <c r="C1869" s="703"/>
      <c r="E1869" s="222"/>
      <c r="F1869" s="702"/>
    </row>
    <row r="1870">
      <c r="C1870" s="703"/>
      <c r="E1870" s="222"/>
      <c r="F1870" s="702"/>
    </row>
    <row r="1871">
      <c r="C1871" s="703"/>
      <c r="E1871" s="222"/>
      <c r="F1871" s="702"/>
    </row>
    <row r="1872">
      <c r="C1872" s="703"/>
      <c r="E1872" s="222"/>
      <c r="F1872" s="702"/>
    </row>
    <row r="1873">
      <c r="C1873" s="703"/>
      <c r="E1873" s="222"/>
      <c r="F1873" s="702"/>
    </row>
    <row r="1874">
      <c r="C1874" s="703"/>
      <c r="E1874" s="222"/>
      <c r="F1874" s="702"/>
    </row>
    <row r="1875">
      <c r="C1875" s="703"/>
      <c r="E1875" s="222"/>
      <c r="F1875" s="702"/>
    </row>
    <row r="1876">
      <c r="C1876" s="703"/>
      <c r="E1876" s="222"/>
      <c r="F1876" s="702"/>
    </row>
    <row r="1877">
      <c r="C1877" s="703"/>
      <c r="E1877" s="222"/>
      <c r="F1877" s="702"/>
    </row>
    <row r="1878">
      <c r="C1878" s="703"/>
      <c r="E1878" s="222"/>
      <c r="F1878" s="702"/>
    </row>
    <row r="1879">
      <c r="C1879" s="703"/>
      <c r="E1879" s="222"/>
      <c r="F1879" s="702"/>
    </row>
    <row r="1880">
      <c r="C1880" s="703"/>
      <c r="E1880" s="222"/>
      <c r="F1880" s="702"/>
    </row>
    <row r="1881">
      <c r="C1881" s="703"/>
      <c r="E1881" s="222"/>
      <c r="F1881" s="702"/>
    </row>
    <row r="1882">
      <c r="C1882" s="703"/>
      <c r="E1882" s="222"/>
      <c r="F1882" s="702"/>
    </row>
    <row r="1883">
      <c r="C1883" s="703"/>
      <c r="E1883" s="222"/>
      <c r="F1883" s="702"/>
    </row>
    <row r="1884">
      <c r="C1884" s="703"/>
      <c r="E1884" s="222"/>
      <c r="F1884" s="702"/>
    </row>
    <row r="1885">
      <c r="C1885" s="703"/>
      <c r="E1885" s="222"/>
      <c r="F1885" s="702"/>
    </row>
    <row r="1886">
      <c r="C1886" s="703"/>
      <c r="E1886" s="222"/>
      <c r="F1886" s="702"/>
    </row>
    <row r="1887">
      <c r="C1887" s="703"/>
      <c r="E1887" s="222"/>
      <c r="F1887" s="702"/>
    </row>
    <row r="1888">
      <c r="C1888" s="703"/>
      <c r="E1888" s="222"/>
      <c r="F1888" s="702"/>
    </row>
    <row r="1889">
      <c r="C1889" s="703"/>
      <c r="E1889" s="222"/>
      <c r="F1889" s="702"/>
    </row>
    <row r="1890">
      <c r="C1890" s="703"/>
      <c r="E1890" s="222"/>
      <c r="F1890" s="702"/>
    </row>
    <row r="1891">
      <c r="C1891" s="703"/>
      <c r="E1891" s="222"/>
      <c r="F1891" s="702"/>
    </row>
    <row r="1892">
      <c r="C1892" s="703"/>
      <c r="E1892" s="222"/>
      <c r="F1892" s="702"/>
    </row>
    <row r="1893">
      <c r="C1893" s="703"/>
      <c r="E1893" s="222"/>
      <c r="F1893" s="702"/>
    </row>
    <row r="1894">
      <c r="C1894" s="703"/>
      <c r="E1894" s="222"/>
      <c r="F1894" s="702"/>
    </row>
    <row r="1895">
      <c r="C1895" s="703"/>
      <c r="E1895" s="222"/>
      <c r="F1895" s="702"/>
    </row>
    <row r="1896">
      <c r="C1896" s="703"/>
      <c r="E1896" s="222"/>
      <c r="F1896" s="702"/>
    </row>
    <row r="1897">
      <c r="C1897" s="703"/>
      <c r="E1897" s="222"/>
      <c r="F1897" s="702"/>
    </row>
    <row r="1898">
      <c r="C1898" s="703"/>
      <c r="E1898" s="222"/>
      <c r="F1898" s="702"/>
    </row>
    <row r="1899">
      <c r="C1899" s="703"/>
      <c r="E1899" s="222"/>
      <c r="F1899" s="702"/>
    </row>
    <row r="1900">
      <c r="C1900" s="703"/>
      <c r="E1900" s="222"/>
      <c r="F1900" s="702"/>
    </row>
    <row r="1901">
      <c r="C1901" s="703"/>
      <c r="E1901" s="222"/>
      <c r="F1901" s="702"/>
    </row>
    <row r="1902">
      <c r="C1902" s="703"/>
      <c r="E1902" s="222"/>
      <c r="F1902" s="702"/>
    </row>
    <row r="1903">
      <c r="C1903" s="703"/>
      <c r="E1903" s="222"/>
      <c r="F1903" s="702"/>
    </row>
    <row r="1904">
      <c r="C1904" s="703"/>
      <c r="E1904" s="222"/>
      <c r="F1904" s="702"/>
    </row>
    <row r="1905">
      <c r="C1905" s="703"/>
      <c r="E1905" s="222"/>
      <c r="F1905" s="702"/>
    </row>
    <row r="1906">
      <c r="C1906" s="703"/>
      <c r="E1906" s="222"/>
      <c r="F1906" s="702"/>
    </row>
    <row r="1907">
      <c r="C1907" s="703"/>
      <c r="E1907" s="222"/>
      <c r="F1907" s="702"/>
    </row>
    <row r="1908">
      <c r="C1908" s="703"/>
      <c r="E1908" s="222"/>
      <c r="F1908" s="702"/>
    </row>
    <row r="1909">
      <c r="C1909" s="703"/>
      <c r="E1909" s="222"/>
      <c r="F1909" s="702"/>
    </row>
    <row r="1910">
      <c r="C1910" s="703"/>
      <c r="E1910" s="222"/>
      <c r="F1910" s="702"/>
    </row>
    <row r="1911">
      <c r="C1911" s="703"/>
      <c r="E1911" s="222"/>
      <c r="F1911" s="702"/>
    </row>
    <row r="1912">
      <c r="C1912" s="703"/>
      <c r="E1912" s="222"/>
      <c r="F1912" s="702"/>
    </row>
    <row r="1913">
      <c r="C1913" s="703"/>
      <c r="E1913" s="222"/>
      <c r="F1913" s="702"/>
    </row>
    <row r="1914">
      <c r="C1914" s="703"/>
      <c r="E1914" s="222"/>
      <c r="F1914" s="702"/>
    </row>
    <row r="1915">
      <c r="C1915" s="703"/>
      <c r="E1915" s="222"/>
      <c r="F1915" s="702"/>
    </row>
    <row r="1916">
      <c r="C1916" s="703"/>
      <c r="E1916" s="222"/>
      <c r="F1916" s="702"/>
    </row>
    <row r="1917">
      <c r="C1917" s="703"/>
      <c r="E1917" s="222"/>
      <c r="F1917" s="702"/>
    </row>
    <row r="1918">
      <c r="C1918" s="703"/>
      <c r="E1918" s="222"/>
      <c r="F1918" s="702"/>
    </row>
    <row r="1919">
      <c r="C1919" s="703"/>
      <c r="E1919" s="222"/>
      <c r="F1919" s="702"/>
    </row>
    <row r="1920">
      <c r="C1920" s="703"/>
      <c r="E1920" s="222"/>
      <c r="F1920" s="702"/>
    </row>
    <row r="1921">
      <c r="C1921" s="703"/>
      <c r="E1921" s="222"/>
      <c r="F1921" s="702"/>
    </row>
    <row r="1922">
      <c r="C1922" s="703"/>
      <c r="E1922" s="222"/>
      <c r="F1922" s="702"/>
    </row>
    <row r="1923">
      <c r="C1923" s="703"/>
      <c r="E1923" s="222"/>
      <c r="F1923" s="702"/>
    </row>
    <row r="1924">
      <c r="C1924" s="703"/>
      <c r="E1924" s="222"/>
      <c r="F1924" s="702"/>
    </row>
    <row r="1925">
      <c r="C1925" s="703"/>
      <c r="E1925" s="222"/>
      <c r="F1925" s="702"/>
    </row>
    <row r="1926">
      <c r="C1926" s="703"/>
      <c r="E1926" s="222"/>
      <c r="F1926" s="702"/>
    </row>
    <row r="1927">
      <c r="C1927" s="703"/>
      <c r="E1927" s="222"/>
      <c r="F1927" s="702"/>
    </row>
    <row r="1928">
      <c r="C1928" s="703"/>
      <c r="E1928" s="222"/>
      <c r="F1928" s="702"/>
    </row>
    <row r="1929">
      <c r="C1929" s="703"/>
      <c r="E1929" s="222"/>
      <c r="F1929" s="702"/>
    </row>
    <row r="1930">
      <c r="C1930" s="703"/>
      <c r="E1930" s="222"/>
      <c r="F1930" s="702"/>
    </row>
    <row r="1931">
      <c r="C1931" s="703"/>
      <c r="E1931" s="222"/>
      <c r="F1931" s="702"/>
    </row>
    <row r="1932">
      <c r="C1932" s="703"/>
      <c r="E1932" s="222"/>
      <c r="F1932" s="702"/>
    </row>
    <row r="1933">
      <c r="C1933" s="703"/>
      <c r="E1933" s="222"/>
      <c r="F1933" s="702"/>
    </row>
    <row r="1934">
      <c r="C1934" s="703"/>
      <c r="E1934" s="222"/>
      <c r="F1934" s="702"/>
    </row>
    <row r="1935">
      <c r="C1935" s="703"/>
      <c r="E1935" s="222"/>
      <c r="F1935" s="702"/>
    </row>
    <row r="1936">
      <c r="C1936" s="703"/>
      <c r="E1936" s="222"/>
      <c r="F1936" s="702"/>
    </row>
    <row r="1937">
      <c r="C1937" s="703"/>
      <c r="E1937" s="222"/>
      <c r="F1937" s="702"/>
    </row>
    <row r="1938">
      <c r="C1938" s="703"/>
      <c r="E1938" s="222"/>
      <c r="F1938" s="702"/>
    </row>
    <row r="1939">
      <c r="C1939" s="703"/>
      <c r="E1939" s="222"/>
      <c r="F1939" s="702"/>
    </row>
    <row r="1940">
      <c r="C1940" s="703"/>
      <c r="E1940" s="222"/>
      <c r="F1940" s="702"/>
    </row>
    <row r="1941">
      <c r="C1941" s="703"/>
      <c r="E1941" s="222"/>
      <c r="F1941" s="702"/>
    </row>
    <row r="1942">
      <c r="C1942" s="703"/>
      <c r="E1942" s="222"/>
      <c r="F1942" s="702"/>
    </row>
    <row r="1943">
      <c r="C1943" s="703"/>
      <c r="E1943" s="222"/>
      <c r="F1943" s="702"/>
    </row>
    <row r="1944">
      <c r="C1944" s="703"/>
      <c r="E1944" s="222"/>
      <c r="F1944" s="702"/>
    </row>
    <row r="1945">
      <c r="C1945" s="703"/>
      <c r="E1945" s="222"/>
      <c r="F1945" s="702"/>
    </row>
    <row r="1946">
      <c r="C1946" s="703"/>
      <c r="E1946" s="222"/>
      <c r="F1946" s="702"/>
    </row>
    <row r="1947">
      <c r="C1947" s="703"/>
      <c r="E1947" s="222"/>
      <c r="F1947" s="702"/>
    </row>
    <row r="1948">
      <c r="C1948" s="703"/>
      <c r="E1948" s="222"/>
      <c r="F1948" s="702"/>
    </row>
    <row r="1949">
      <c r="C1949" s="703"/>
      <c r="E1949" s="222"/>
      <c r="F1949" s="702"/>
    </row>
    <row r="1950">
      <c r="C1950" s="703"/>
      <c r="E1950" s="222"/>
      <c r="F1950" s="702"/>
    </row>
    <row r="1951">
      <c r="C1951" s="703"/>
      <c r="E1951" s="222"/>
      <c r="F1951" s="702"/>
    </row>
    <row r="1952">
      <c r="C1952" s="703"/>
      <c r="E1952" s="222"/>
      <c r="F1952" s="702"/>
    </row>
    <row r="1953">
      <c r="C1953" s="703"/>
      <c r="E1953" s="222"/>
      <c r="F1953" s="702"/>
    </row>
    <row r="1954">
      <c r="C1954" s="703"/>
      <c r="E1954" s="222"/>
      <c r="F1954" s="702"/>
    </row>
    <row r="1955">
      <c r="C1955" s="703"/>
      <c r="E1955" s="222"/>
      <c r="F1955" s="702"/>
    </row>
    <row r="1956">
      <c r="C1956" s="703"/>
      <c r="E1956" s="222"/>
      <c r="F1956" s="702"/>
    </row>
    <row r="1957">
      <c r="C1957" s="703"/>
      <c r="E1957" s="222"/>
      <c r="F1957" s="702"/>
    </row>
    <row r="1958">
      <c r="C1958" s="703"/>
      <c r="E1958" s="222"/>
      <c r="F1958" s="702"/>
    </row>
    <row r="1959">
      <c r="C1959" s="703"/>
      <c r="E1959" s="222"/>
      <c r="F1959" s="702"/>
    </row>
    <row r="1960">
      <c r="C1960" s="703"/>
      <c r="E1960" s="222"/>
      <c r="F1960" s="702"/>
    </row>
    <row r="1961">
      <c r="C1961" s="703"/>
      <c r="E1961" s="222"/>
      <c r="F1961" s="702"/>
    </row>
    <row r="1962">
      <c r="C1962" s="703"/>
      <c r="E1962" s="222"/>
      <c r="F1962" s="702"/>
    </row>
    <row r="1963">
      <c r="C1963" s="703"/>
      <c r="E1963" s="222"/>
      <c r="F1963" s="702"/>
    </row>
    <row r="1964">
      <c r="C1964" s="703"/>
      <c r="E1964" s="222"/>
      <c r="F1964" s="702"/>
    </row>
    <row r="1965">
      <c r="C1965" s="703"/>
      <c r="E1965" s="222"/>
      <c r="F1965" s="702"/>
    </row>
    <row r="1966">
      <c r="C1966" s="703"/>
      <c r="E1966" s="222"/>
      <c r="F1966" s="702"/>
    </row>
    <row r="1967">
      <c r="C1967" s="703"/>
      <c r="E1967" s="222"/>
      <c r="F1967" s="702"/>
    </row>
    <row r="1968">
      <c r="C1968" s="703"/>
      <c r="E1968" s="222"/>
      <c r="F1968" s="702"/>
    </row>
    <row r="1969">
      <c r="C1969" s="703"/>
      <c r="E1969" s="222"/>
      <c r="F1969" s="702"/>
    </row>
    <row r="1970">
      <c r="C1970" s="703"/>
      <c r="E1970" s="222"/>
      <c r="F1970" s="702"/>
    </row>
    <row r="1971">
      <c r="C1971" s="703"/>
      <c r="E1971" s="222"/>
      <c r="F1971" s="702"/>
    </row>
    <row r="1972">
      <c r="C1972" s="703"/>
      <c r="E1972" s="222"/>
      <c r="F1972" s="702"/>
    </row>
    <row r="1973">
      <c r="C1973" s="703"/>
      <c r="E1973" s="222"/>
      <c r="F1973" s="702"/>
    </row>
    <row r="1974">
      <c r="C1974" s="703"/>
      <c r="E1974" s="222"/>
      <c r="F1974" s="702"/>
    </row>
    <row r="1975">
      <c r="C1975" s="703"/>
      <c r="E1975" s="222"/>
      <c r="F1975" s="702"/>
    </row>
    <row r="1976">
      <c r="C1976" s="703"/>
      <c r="E1976" s="222"/>
      <c r="F1976" s="702"/>
    </row>
    <row r="1977">
      <c r="C1977" s="703"/>
      <c r="E1977" s="222"/>
      <c r="F1977" s="702"/>
    </row>
    <row r="1978">
      <c r="C1978" s="703"/>
      <c r="E1978" s="222"/>
      <c r="F1978" s="702"/>
    </row>
    <row r="1979">
      <c r="C1979" s="703"/>
      <c r="E1979" s="222"/>
      <c r="F1979" s="702"/>
    </row>
    <row r="1980">
      <c r="C1980" s="703"/>
      <c r="E1980" s="222"/>
      <c r="F1980" s="702"/>
    </row>
    <row r="1981">
      <c r="C1981" s="703"/>
      <c r="E1981" s="222"/>
      <c r="F1981" s="702"/>
    </row>
    <row r="1982">
      <c r="C1982" s="703"/>
      <c r="E1982" s="222"/>
      <c r="F1982" s="702"/>
    </row>
    <row r="1983">
      <c r="C1983" s="703"/>
      <c r="E1983" s="222"/>
      <c r="F1983" s="702"/>
    </row>
    <row r="1984">
      <c r="C1984" s="703"/>
      <c r="E1984" s="222"/>
      <c r="F1984" s="702"/>
    </row>
    <row r="1985">
      <c r="C1985" s="703"/>
      <c r="E1985" s="222"/>
      <c r="F1985" s="702"/>
    </row>
    <row r="1986">
      <c r="C1986" s="703"/>
      <c r="E1986" s="222"/>
      <c r="F1986" s="702"/>
    </row>
    <row r="1987">
      <c r="C1987" s="703"/>
      <c r="E1987" s="222"/>
      <c r="F1987" s="702"/>
    </row>
    <row r="1988">
      <c r="C1988" s="703"/>
      <c r="E1988" s="222"/>
      <c r="F1988" s="702"/>
    </row>
    <row r="1989">
      <c r="C1989" s="703"/>
      <c r="E1989" s="222"/>
      <c r="F1989" s="702"/>
    </row>
    <row r="1990">
      <c r="C1990" s="703"/>
      <c r="E1990" s="222"/>
      <c r="F1990" s="702"/>
    </row>
    <row r="1991">
      <c r="C1991" s="703"/>
      <c r="E1991" s="222"/>
      <c r="F1991" s="702"/>
    </row>
    <row r="1992">
      <c r="C1992" s="703"/>
      <c r="E1992" s="222"/>
      <c r="F1992" s="702"/>
    </row>
    <row r="1993">
      <c r="C1993" s="703"/>
      <c r="E1993" s="222"/>
      <c r="F1993" s="702"/>
    </row>
    <row r="1994">
      <c r="C1994" s="703"/>
      <c r="E1994" s="222"/>
      <c r="F1994" s="702"/>
    </row>
    <row r="1995">
      <c r="C1995" s="703"/>
      <c r="E1995" s="222"/>
      <c r="F1995" s="702"/>
    </row>
    <row r="1996">
      <c r="C1996" s="703"/>
      <c r="E1996" s="222"/>
      <c r="F1996" s="702"/>
    </row>
    <row r="1997">
      <c r="C1997" s="703"/>
      <c r="E1997" s="222"/>
      <c r="F1997" s="702"/>
    </row>
    <row r="1998">
      <c r="C1998" s="703"/>
      <c r="E1998" s="222"/>
      <c r="F1998" s="702"/>
    </row>
    <row r="1999">
      <c r="C1999" s="703"/>
      <c r="E1999" s="222"/>
      <c r="F1999" s="702"/>
    </row>
    <row r="2000">
      <c r="C2000" s="703"/>
      <c r="E2000" s="222"/>
      <c r="F2000" s="702"/>
    </row>
    <row r="2001">
      <c r="C2001" s="703"/>
      <c r="E2001" s="222"/>
      <c r="F2001" s="702"/>
    </row>
    <row r="2002">
      <c r="C2002" s="703"/>
      <c r="E2002" s="222"/>
      <c r="F2002" s="702"/>
    </row>
    <row r="2003">
      <c r="C2003" s="703"/>
      <c r="E2003" s="222"/>
      <c r="F2003" s="702"/>
    </row>
    <row r="2004">
      <c r="C2004" s="703"/>
      <c r="E2004" s="222"/>
      <c r="F2004" s="702"/>
    </row>
    <row r="2005">
      <c r="C2005" s="703"/>
      <c r="E2005" s="222"/>
      <c r="F2005" s="702"/>
    </row>
    <row r="2006">
      <c r="C2006" s="703"/>
      <c r="E2006" s="222"/>
      <c r="F2006" s="702"/>
    </row>
    <row r="2007">
      <c r="C2007" s="703"/>
      <c r="E2007" s="222"/>
      <c r="F2007" s="702"/>
    </row>
    <row r="2008">
      <c r="C2008" s="703"/>
      <c r="E2008" s="222"/>
      <c r="F2008" s="702"/>
    </row>
    <row r="2009">
      <c r="C2009" s="703"/>
      <c r="E2009" s="222"/>
      <c r="F2009" s="702"/>
    </row>
    <row r="2010">
      <c r="C2010" s="703"/>
      <c r="E2010" s="222"/>
      <c r="F2010" s="702"/>
    </row>
    <row r="2011">
      <c r="C2011" s="703"/>
      <c r="E2011" s="222"/>
      <c r="F2011" s="702"/>
    </row>
    <row r="2012">
      <c r="C2012" s="703"/>
      <c r="E2012" s="222"/>
      <c r="F2012" s="702"/>
    </row>
    <row r="2013">
      <c r="C2013" s="703"/>
      <c r="E2013" s="222"/>
      <c r="F2013" s="702"/>
    </row>
    <row r="2014">
      <c r="C2014" s="703"/>
      <c r="E2014" s="222"/>
      <c r="F2014" s="702"/>
    </row>
    <row r="2015">
      <c r="C2015" s="703"/>
      <c r="E2015" s="222"/>
      <c r="F2015" s="702"/>
    </row>
    <row r="2016">
      <c r="C2016" s="703"/>
      <c r="E2016" s="222"/>
      <c r="F2016" s="702"/>
    </row>
    <row r="2017">
      <c r="C2017" s="703"/>
      <c r="E2017" s="222"/>
      <c r="F2017" s="702"/>
    </row>
    <row r="2018">
      <c r="C2018" s="703"/>
      <c r="E2018" s="222"/>
      <c r="F2018" s="702"/>
    </row>
    <row r="2019">
      <c r="C2019" s="703"/>
      <c r="E2019" s="222"/>
      <c r="F2019" s="702"/>
    </row>
    <row r="2020">
      <c r="C2020" s="703"/>
      <c r="E2020" s="222"/>
      <c r="F2020" s="702"/>
    </row>
    <row r="2021">
      <c r="C2021" s="703"/>
      <c r="E2021" s="222"/>
      <c r="F2021" s="702"/>
    </row>
    <row r="2022">
      <c r="C2022" s="703"/>
      <c r="E2022" s="222"/>
      <c r="F2022" s="702"/>
    </row>
    <row r="2023">
      <c r="C2023" s="703"/>
      <c r="E2023" s="222"/>
      <c r="F2023" s="702"/>
    </row>
    <row r="2024">
      <c r="C2024" s="703"/>
      <c r="E2024" s="222"/>
      <c r="F2024" s="702"/>
    </row>
    <row r="2025">
      <c r="C2025" s="703"/>
      <c r="E2025" s="222"/>
      <c r="F2025" s="702"/>
    </row>
    <row r="2026">
      <c r="C2026" s="703"/>
      <c r="E2026" s="222"/>
      <c r="F2026" s="702"/>
    </row>
    <row r="2027">
      <c r="C2027" s="703"/>
      <c r="E2027" s="222"/>
      <c r="F2027" s="702"/>
    </row>
    <row r="2028">
      <c r="C2028" s="703"/>
      <c r="E2028" s="222"/>
      <c r="F2028" s="702"/>
    </row>
    <row r="2029">
      <c r="C2029" s="703"/>
      <c r="E2029" s="222"/>
      <c r="F2029" s="702"/>
    </row>
    <row r="2030">
      <c r="C2030" s="703"/>
      <c r="E2030" s="222"/>
      <c r="F2030" s="702"/>
    </row>
    <row r="2031">
      <c r="C2031" s="703"/>
      <c r="E2031" s="222"/>
      <c r="F2031" s="702"/>
    </row>
    <row r="2032">
      <c r="C2032" s="703"/>
      <c r="E2032" s="222"/>
      <c r="F2032" s="702"/>
    </row>
    <row r="2033">
      <c r="C2033" s="703"/>
      <c r="E2033" s="222"/>
      <c r="F2033" s="702"/>
    </row>
    <row r="2034">
      <c r="C2034" s="703"/>
      <c r="E2034" s="222"/>
      <c r="F2034" s="702"/>
    </row>
    <row r="2035">
      <c r="C2035" s="703"/>
      <c r="E2035" s="222"/>
      <c r="F2035" s="702"/>
    </row>
    <row r="2036">
      <c r="C2036" s="703"/>
      <c r="E2036" s="222"/>
      <c r="F2036" s="702"/>
    </row>
    <row r="2037">
      <c r="C2037" s="703"/>
      <c r="E2037" s="222"/>
      <c r="F2037" s="702"/>
    </row>
    <row r="2038">
      <c r="C2038" s="703"/>
      <c r="E2038" s="222"/>
      <c r="F2038" s="702"/>
    </row>
    <row r="2039">
      <c r="C2039" s="703"/>
      <c r="E2039" s="222"/>
      <c r="F2039" s="702"/>
    </row>
    <row r="2040">
      <c r="C2040" s="703"/>
      <c r="E2040" s="222"/>
      <c r="F2040" s="702"/>
    </row>
    <row r="2041">
      <c r="C2041" s="703"/>
      <c r="E2041" s="222"/>
      <c r="F2041" s="702"/>
    </row>
    <row r="2042">
      <c r="C2042" s="703"/>
      <c r="E2042" s="222"/>
      <c r="F2042" s="702"/>
    </row>
    <row r="2043">
      <c r="C2043" s="703"/>
      <c r="E2043" s="222"/>
      <c r="F2043" s="702"/>
    </row>
    <row r="2044">
      <c r="C2044" s="703"/>
      <c r="E2044" s="222"/>
      <c r="F2044" s="702"/>
    </row>
    <row r="2045">
      <c r="C2045" s="703"/>
      <c r="E2045" s="222"/>
      <c r="F2045" s="702"/>
    </row>
    <row r="2046">
      <c r="C2046" s="703"/>
      <c r="E2046" s="222"/>
      <c r="F2046" s="702"/>
    </row>
    <row r="2047">
      <c r="C2047" s="703"/>
      <c r="E2047" s="222"/>
      <c r="F2047" s="702"/>
    </row>
    <row r="2048">
      <c r="C2048" s="703"/>
      <c r="E2048" s="222"/>
      <c r="F2048" s="702"/>
    </row>
    <row r="2049">
      <c r="C2049" s="703"/>
      <c r="E2049" s="222"/>
      <c r="F2049" s="702"/>
    </row>
    <row r="2050">
      <c r="C2050" s="703"/>
      <c r="E2050" s="222"/>
      <c r="F2050" s="702"/>
    </row>
    <row r="2051">
      <c r="C2051" s="703"/>
      <c r="E2051" s="222"/>
      <c r="F2051" s="702"/>
    </row>
    <row r="2052">
      <c r="C2052" s="703"/>
      <c r="E2052" s="222"/>
      <c r="F2052" s="702"/>
    </row>
    <row r="2053">
      <c r="C2053" s="703"/>
      <c r="E2053" s="222"/>
      <c r="F2053" s="702"/>
    </row>
    <row r="2054">
      <c r="C2054" s="703"/>
      <c r="E2054" s="222"/>
      <c r="F2054" s="702"/>
    </row>
    <row r="2055">
      <c r="C2055" s="703"/>
      <c r="E2055" s="222"/>
      <c r="F2055" s="702"/>
    </row>
    <row r="2056">
      <c r="C2056" s="703"/>
      <c r="E2056" s="222"/>
      <c r="F2056" s="702"/>
    </row>
    <row r="2057">
      <c r="C2057" s="703"/>
      <c r="E2057" s="222"/>
      <c r="F2057" s="702"/>
    </row>
    <row r="2058">
      <c r="C2058" s="703"/>
      <c r="E2058" s="222"/>
      <c r="F2058" s="702"/>
    </row>
    <row r="2059">
      <c r="C2059" s="703"/>
      <c r="E2059" s="222"/>
      <c r="F2059" s="702"/>
    </row>
    <row r="2060">
      <c r="C2060" s="703"/>
      <c r="E2060" s="222"/>
      <c r="F2060" s="702"/>
    </row>
    <row r="2061">
      <c r="C2061" s="703"/>
      <c r="E2061" s="222"/>
      <c r="F2061" s="702"/>
    </row>
    <row r="2062">
      <c r="C2062" s="703"/>
      <c r="E2062" s="222"/>
      <c r="F2062" s="702"/>
    </row>
    <row r="2063">
      <c r="C2063" s="703"/>
      <c r="E2063" s="222"/>
      <c r="F2063" s="702"/>
    </row>
    <row r="2064">
      <c r="C2064" s="703"/>
      <c r="E2064" s="222"/>
      <c r="F2064" s="702"/>
    </row>
    <row r="2065">
      <c r="C2065" s="703"/>
      <c r="E2065" s="222"/>
      <c r="F2065" s="702"/>
    </row>
    <row r="2066">
      <c r="C2066" s="703"/>
      <c r="E2066" s="222"/>
      <c r="F2066" s="702"/>
    </row>
    <row r="2067">
      <c r="C2067" s="703"/>
      <c r="E2067" s="222"/>
      <c r="F2067" s="702"/>
    </row>
    <row r="2068">
      <c r="C2068" s="703"/>
      <c r="E2068" s="222"/>
      <c r="F2068" s="702"/>
    </row>
    <row r="2069">
      <c r="C2069" s="703"/>
      <c r="E2069" s="222"/>
      <c r="F2069" s="702"/>
    </row>
    <row r="2070">
      <c r="C2070" s="703"/>
      <c r="E2070" s="222"/>
      <c r="F2070" s="702"/>
    </row>
    <row r="2071">
      <c r="C2071" s="703"/>
      <c r="E2071" s="222"/>
      <c r="F2071" s="702"/>
    </row>
    <row r="2072">
      <c r="C2072" s="703"/>
      <c r="E2072" s="222"/>
      <c r="F2072" s="702"/>
    </row>
    <row r="2073">
      <c r="C2073" s="703"/>
      <c r="E2073" s="222"/>
      <c r="F2073" s="702"/>
    </row>
    <row r="2074">
      <c r="C2074" s="703"/>
      <c r="E2074" s="222"/>
      <c r="F2074" s="702"/>
    </row>
    <row r="2075">
      <c r="C2075" s="703"/>
      <c r="E2075" s="222"/>
      <c r="F2075" s="702"/>
    </row>
    <row r="2076">
      <c r="C2076" s="703"/>
      <c r="E2076" s="222"/>
      <c r="F2076" s="702"/>
    </row>
    <row r="2077">
      <c r="C2077" s="703"/>
      <c r="E2077" s="222"/>
      <c r="F2077" s="702"/>
    </row>
    <row r="2078">
      <c r="C2078" s="703"/>
      <c r="E2078" s="222"/>
      <c r="F2078" s="702"/>
    </row>
    <row r="2079">
      <c r="C2079" s="703"/>
      <c r="E2079" s="222"/>
      <c r="F2079" s="702"/>
    </row>
    <row r="2080">
      <c r="C2080" s="703"/>
      <c r="E2080" s="222"/>
      <c r="F2080" s="702"/>
    </row>
    <row r="2081">
      <c r="C2081" s="703"/>
      <c r="E2081" s="222"/>
      <c r="F2081" s="702"/>
    </row>
    <row r="2082">
      <c r="C2082" s="703"/>
      <c r="E2082" s="222"/>
      <c r="F2082" s="702"/>
    </row>
    <row r="2083">
      <c r="C2083" s="703"/>
      <c r="E2083" s="222"/>
      <c r="F2083" s="702"/>
    </row>
    <row r="2084">
      <c r="C2084" s="703"/>
      <c r="E2084" s="222"/>
      <c r="F2084" s="702"/>
    </row>
    <row r="2085">
      <c r="C2085" s="703"/>
      <c r="E2085" s="222"/>
      <c r="F2085" s="702"/>
    </row>
    <row r="2086">
      <c r="C2086" s="703"/>
      <c r="E2086" s="222"/>
      <c r="F2086" s="702"/>
    </row>
    <row r="2087">
      <c r="C2087" s="703"/>
      <c r="E2087" s="222"/>
      <c r="F2087" s="702"/>
    </row>
    <row r="2088">
      <c r="C2088" s="703"/>
      <c r="E2088" s="222"/>
      <c r="F2088" s="702"/>
    </row>
    <row r="2089">
      <c r="C2089" s="703"/>
      <c r="E2089" s="222"/>
      <c r="F2089" s="702"/>
    </row>
    <row r="2090">
      <c r="C2090" s="703"/>
      <c r="E2090" s="222"/>
      <c r="F2090" s="702"/>
    </row>
    <row r="2091">
      <c r="C2091" s="703"/>
      <c r="E2091" s="222"/>
      <c r="F2091" s="702"/>
    </row>
    <row r="2092">
      <c r="C2092" s="703"/>
      <c r="E2092" s="222"/>
      <c r="F2092" s="702"/>
    </row>
    <row r="2093">
      <c r="C2093" s="703"/>
      <c r="E2093" s="222"/>
      <c r="F2093" s="702"/>
    </row>
    <row r="2094">
      <c r="C2094" s="703"/>
      <c r="E2094" s="222"/>
      <c r="F2094" s="702"/>
    </row>
    <row r="2095">
      <c r="C2095" s="703"/>
      <c r="E2095" s="222"/>
      <c r="F2095" s="702"/>
    </row>
    <row r="2096">
      <c r="C2096" s="703"/>
      <c r="E2096" s="222"/>
      <c r="F2096" s="702"/>
    </row>
    <row r="2097">
      <c r="C2097" s="703"/>
      <c r="E2097" s="222"/>
      <c r="F2097" s="702"/>
    </row>
    <row r="2098">
      <c r="C2098" s="703"/>
      <c r="E2098" s="222"/>
      <c r="F2098" s="702"/>
    </row>
    <row r="2099">
      <c r="C2099" s="703"/>
      <c r="E2099" s="222"/>
      <c r="F2099" s="702"/>
    </row>
    <row r="2100">
      <c r="C2100" s="703"/>
      <c r="E2100" s="222"/>
      <c r="F2100" s="702"/>
    </row>
    <row r="2101">
      <c r="C2101" s="703"/>
      <c r="E2101" s="222"/>
      <c r="F2101" s="702"/>
    </row>
    <row r="2102">
      <c r="C2102" s="703"/>
      <c r="E2102" s="222"/>
      <c r="F2102" s="702"/>
    </row>
    <row r="2103">
      <c r="C2103" s="703"/>
      <c r="E2103" s="222"/>
      <c r="F2103" s="702"/>
    </row>
    <row r="2104">
      <c r="C2104" s="703"/>
      <c r="E2104" s="222"/>
      <c r="F2104" s="702"/>
    </row>
    <row r="2105">
      <c r="C2105" s="703"/>
      <c r="E2105" s="222"/>
      <c r="F2105" s="702"/>
    </row>
    <row r="2106">
      <c r="C2106" s="703"/>
      <c r="E2106" s="222"/>
      <c r="F2106" s="702"/>
    </row>
    <row r="2107">
      <c r="C2107" s="703"/>
      <c r="E2107" s="222"/>
      <c r="F2107" s="702"/>
    </row>
    <row r="2108">
      <c r="C2108" s="703"/>
      <c r="E2108" s="222"/>
      <c r="F2108" s="702"/>
    </row>
    <row r="2109">
      <c r="C2109" s="703"/>
      <c r="E2109" s="222"/>
      <c r="F2109" s="702"/>
    </row>
    <row r="2110">
      <c r="C2110" s="703"/>
      <c r="E2110" s="222"/>
      <c r="F2110" s="702"/>
    </row>
    <row r="2111">
      <c r="C2111" s="703"/>
      <c r="E2111" s="222"/>
      <c r="F2111" s="702"/>
    </row>
    <row r="2112">
      <c r="C2112" s="703"/>
      <c r="E2112" s="222"/>
      <c r="F2112" s="702"/>
    </row>
    <row r="2113">
      <c r="C2113" s="703"/>
      <c r="E2113" s="222"/>
      <c r="F2113" s="702"/>
    </row>
    <row r="2114">
      <c r="C2114" s="703"/>
      <c r="E2114" s="222"/>
      <c r="F2114" s="702"/>
    </row>
    <row r="2115">
      <c r="C2115" s="703"/>
      <c r="E2115" s="222"/>
      <c r="F2115" s="702"/>
    </row>
    <row r="2116">
      <c r="C2116" s="703"/>
      <c r="E2116" s="222"/>
      <c r="F2116" s="702"/>
    </row>
    <row r="2117">
      <c r="C2117" s="703"/>
      <c r="E2117" s="222"/>
      <c r="F2117" s="702"/>
    </row>
    <row r="2118">
      <c r="C2118" s="703"/>
      <c r="E2118" s="222"/>
      <c r="F2118" s="702"/>
    </row>
    <row r="2119">
      <c r="C2119" s="703"/>
      <c r="E2119" s="222"/>
      <c r="F2119" s="702"/>
    </row>
    <row r="2120">
      <c r="C2120" s="703"/>
      <c r="E2120" s="222"/>
      <c r="F2120" s="702"/>
    </row>
    <row r="2121">
      <c r="C2121" s="703"/>
      <c r="E2121" s="222"/>
      <c r="F2121" s="702"/>
    </row>
    <row r="2122">
      <c r="C2122" s="703"/>
      <c r="E2122" s="222"/>
      <c r="F2122" s="702"/>
    </row>
    <row r="2123">
      <c r="C2123" s="703"/>
      <c r="E2123" s="222"/>
      <c r="F2123" s="702"/>
    </row>
    <row r="2124">
      <c r="C2124" s="703"/>
      <c r="E2124" s="222"/>
      <c r="F2124" s="702"/>
    </row>
    <row r="2125">
      <c r="C2125" s="703"/>
      <c r="E2125" s="222"/>
      <c r="F2125" s="702"/>
    </row>
    <row r="2126">
      <c r="C2126" s="703"/>
      <c r="E2126" s="222"/>
      <c r="F2126" s="702"/>
    </row>
    <row r="2127">
      <c r="C2127" s="703"/>
      <c r="E2127" s="222"/>
      <c r="F2127" s="702"/>
    </row>
    <row r="2128">
      <c r="C2128" s="703"/>
      <c r="E2128" s="222"/>
      <c r="F2128" s="702"/>
    </row>
    <row r="2129">
      <c r="C2129" s="703"/>
      <c r="E2129" s="222"/>
      <c r="F2129" s="702"/>
    </row>
    <row r="2130">
      <c r="C2130" s="703"/>
      <c r="E2130" s="222"/>
      <c r="F2130" s="702"/>
    </row>
    <row r="2131">
      <c r="C2131" s="703"/>
      <c r="E2131" s="222"/>
      <c r="F2131" s="702"/>
    </row>
    <row r="2132">
      <c r="C2132" s="703"/>
      <c r="E2132" s="222"/>
      <c r="F2132" s="702"/>
    </row>
    <row r="2133">
      <c r="C2133" s="703"/>
      <c r="E2133" s="222"/>
      <c r="F2133" s="702"/>
    </row>
    <row r="2134">
      <c r="C2134" s="703"/>
      <c r="E2134" s="222"/>
      <c r="F2134" s="702"/>
    </row>
    <row r="2135">
      <c r="C2135" s="703"/>
      <c r="E2135" s="222"/>
      <c r="F2135" s="702"/>
    </row>
    <row r="2136">
      <c r="C2136" s="703"/>
      <c r="E2136" s="222"/>
      <c r="F2136" s="702"/>
    </row>
    <row r="2137">
      <c r="C2137" s="703"/>
      <c r="E2137" s="222"/>
      <c r="F2137" s="702"/>
    </row>
    <row r="2138">
      <c r="C2138" s="703"/>
      <c r="E2138" s="222"/>
      <c r="F2138" s="702"/>
    </row>
    <row r="2139">
      <c r="C2139" s="703"/>
      <c r="E2139" s="222"/>
      <c r="F2139" s="702"/>
    </row>
    <row r="2140">
      <c r="C2140" s="703"/>
      <c r="E2140" s="222"/>
      <c r="F2140" s="702"/>
    </row>
    <row r="2141">
      <c r="C2141" s="703"/>
      <c r="E2141" s="222"/>
      <c r="F2141" s="702"/>
    </row>
    <row r="2142">
      <c r="C2142" s="703"/>
      <c r="E2142" s="222"/>
      <c r="F2142" s="702"/>
    </row>
    <row r="2143">
      <c r="C2143" s="703"/>
      <c r="E2143" s="222"/>
      <c r="F2143" s="702"/>
    </row>
    <row r="2144">
      <c r="C2144" s="703"/>
      <c r="E2144" s="222"/>
      <c r="F2144" s="702"/>
    </row>
    <row r="2145">
      <c r="C2145" s="703"/>
      <c r="E2145" s="222"/>
      <c r="F2145" s="702"/>
    </row>
    <row r="2146">
      <c r="C2146" s="703"/>
      <c r="E2146" s="222"/>
      <c r="F2146" s="702"/>
    </row>
    <row r="2147">
      <c r="C2147" s="703"/>
      <c r="E2147" s="222"/>
      <c r="F2147" s="702"/>
    </row>
    <row r="2148">
      <c r="C2148" s="703"/>
      <c r="E2148" s="222"/>
      <c r="F2148" s="702"/>
    </row>
    <row r="2149">
      <c r="C2149" s="703"/>
      <c r="E2149" s="222"/>
      <c r="F2149" s="702"/>
    </row>
    <row r="2150">
      <c r="C2150" s="703"/>
      <c r="E2150" s="222"/>
      <c r="F2150" s="702"/>
    </row>
    <row r="2151">
      <c r="C2151" s="703"/>
      <c r="E2151" s="222"/>
      <c r="F2151" s="702"/>
    </row>
    <row r="2152">
      <c r="C2152" s="703"/>
      <c r="E2152" s="222"/>
      <c r="F2152" s="702"/>
    </row>
    <row r="2153">
      <c r="C2153" s="703"/>
      <c r="E2153" s="222"/>
      <c r="F2153" s="702"/>
    </row>
    <row r="2154">
      <c r="C2154" s="703"/>
      <c r="E2154" s="222"/>
      <c r="F2154" s="702"/>
    </row>
    <row r="2155">
      <c r="C2155" s="703"/>
      <c r="E2155" s="222"/>
      <c r="F2155" s="702"/>
    </row>
    <row r="2156">
      <c r="C2156" s="703"/>
      <c r="E2156" s="222"/>
      <c r="F2156" s="702"/>
    </row>
    <row r="2157">
      <c r="C2157" s="703"/>
      <c r="E2157" s="222"/>
      <c r="F2157" s="702"/>
    </row>
    <row r="2158">
      <c r="C2158" s="703"/>
      <c r="E2158" s="222"/>
      <c r="F2158" s="702"/>
    </row>
    <row r="2159">
      <c r="C2159" s="703"/>
      <c r="E2159" s="222"/>
      <c r="F2159" s="702"/>
    </row>
    <row r="2160">
      <c r="C2160" s="703"/>
      <c r="E2160" s="222"/>
      <c r="F2160" s="702"/>
    </row>
    <row r="2161">
      <c r="C2161" s="703"/>
      <c r="E2161" s="222"/>
      <c r="F2161" s="702"/>
    </row>
    <row r="2162">
      <c r="C2162" s="703"/>
      <c r="E2162" s="222"/>
      <c r="F2162" s="702"/>
    </row>
    <row r="2163">
      <c r="C2163" s="703"/>
      <c r="E2163" s="222"/>
      <c r="F2163" s="702"/>
    </row>
    <row r="2164">
      <c r="C2164" s="703"/>
      <c r="E2164" s="222"/>
      <c r="F2164" s="702"/>
    </row>
    <row r="2165">
      <c r="C2165" s="703"/>
      <c r="E2165" s="222"/>
      <c r="F2165" s="702"/>
    </row>
    <row r="2166">
      <c r="C2166" s="703"/>
      <c r="E2166" s="222"/>
      <c r="F2166" s="702"/>
    </row>
    <row r="2167">
      <c r="C2167" s="703"/>
      <c r="E2167" s="222"/>
      <c r="F2167" s="702"/>
    </row>
    <row r="2168">
      <c r="C2168" s="703"/>
      <c r="E2168" s="222"/>
      <c r="F2168" s="702"/>
    </row>
    <row r="2169">
      <c r="C2169" s="703"/>
      <c r="E2169" s="222"/>
      <c r="F2169" s="702"/>
    </row>
    <row r="2170">
      <c r="C2170" s="703"/>
      <c r="E2170" s="222"/>
      <c r="F2170" s="702"/>
    </row>
    <row r="2171">
      <c r="C2171" s="703"/>
      <c r="E2171" s="222"/>
      <c r="F2171" s="702"/>
    </row>
    <row r="2172">
      <c r="C2172" s="703"/>
      <c r="E2172" s="222"/>
      <c r="F2172" s="702"/>
    </row>
    <row r="2173">
      <c r="C2173" s="703"/>
      <c r="E2173" s="222"/>
      <c r="F2173" s="702"/>
    </row>
    <row r="2174">
      <c r="C2174" s="703"/>
      <c r="E2174" s="222"/>
      <c r="F2174" s="702"/>
    </row>
    <row r="2175">
      <c r="C2175" s="703"/>
      <c r="E2175" s="222"/>
      <c r="F2175" s="702"/>
    </row>
    <row r="2176">
      <c r="C2176" s="703"/>
      <c r="E2176" s="222"/>
      <c r="F2176" s="702"/>
    </row>
    <row r="2177">
      <c r="C2177" s="703"/>
      <c r="E2177" s="222"/>
      <c r="F2177" s="702"/>
    </row>
    <row r="2178">
      <c r="C2178" s="703"/>
      <c r="E2178" s="222"/>
      <c r="F2178" s="702"/>
    </row>
    <row r="2179">
      <c r="C2179" s="703"/>
      <c r="E2179" s="222"/>
      <c r="F2179" s="702"/>
    </row>
    <row r="2180">
      <c r="C2180" s="703"/>
      <c r="E2180" s="222"/>
      <c r="F2180" s="702"/>
    </row>
    <row r="2181">
      <c r="C2181" s="703"/>
      <c r="E2181" s="222"/>
      <c r="F2181" s="702"/>
    </row>
    <row r="2182">
      <c r="C2182" s="703"/>
      <c r="E2182" s="222"/>
      <c r="F2182" s="702"/>
    </row>
    <row r="2183">
      <c r="C2183" s="703"/>
      <c r="E2183" s="222"/>
      <c r="F2183" s="702"/>
    </row>
    <row r="2184">
      <c r="C2184" s="703"/>
      <c r="E2184" s="222"/>
      <c r="F2184" s="702"/>
    </row>
    <row r="2185">
      <c r="C2185" s="703"/>
      <c r="E2185" s="222"/>
      <c r="F2185" s="702"/>
    </row>
    <row r="2186">
      <c r="C2186" s="703"/>
      <c r="E2186" s="222"/>
      <c r="F2186" s="702"/>
    </row>
    <row r="2187">
      <c r="C2187" s="703"/>
      <c r="E2187" s="222"/>
      <c r="F2187" s="702"/>
    </row>
    <row r="2188">
      <c r="C2188" s="703"/>
      <c r="E2188" s="222"/>
      <c r="F2188" s="702"/>
    </row>
    <row r="2189">
      <c r="C2189" s="703"/>
      <c r="E2189" s="222"/>
      <c r="F2189" s="702"/>
    </row>
    <row r="2190">
      <c r="C2190" s="703"/>
      <c r="E2190" s="222"/>
      <c r="F2190" s="702"/>
    </row>
    <row r="2191">
      <c r="C2191" s="703"/>
      <c r="E2191" s="222"/>
      <c r="F2191" s="702"/>
    </row>
    <row r="2192">
      <c r="C2192" s="703"/>
      <c r="E2192" s="222"/>
      <c r="F2192" s="702"/>
    </row>
    <row r="2193">
      <c r="C2193" s="703"/>
      <c r="E2193" s="222"/>
      <c r="F2193" s="702"/>
    </row>
    <row r="2194">
      <c r="C2194" s="703"/>
      <c r="E2194" s="222"/>
      <c r="F2194" s="702"/>
    </row>
    <row r="2195">
      <c r="C2195" s="703"/>
      <c r="E2195" s="222"/>
      <c r="F2195" s="702"/>
    </row>
    <row r="2196">
      <c r="C2196" s="703"/>
      <c r="E2196" s="222"/>
      <c r="F2196" s="702"/>
    </row>
    <row r="2197">
      <c r="C2197" s="703"/>
      <c r="E2197" s="222"/>
      <c r="F2197" s="702"/>
    </row>
    <row r="2198">
      <c r="C2198" s="703"/>
      <c r="E2198" s="222"/>
      <c r="F2198" s="702"/>
    </row>
    <row r="2199">
      <c r="C2199" s="703"/>
      <c r="E2199" s="222"/>
      <c r="F2199" s="702"/>
    </row>
    <row r="2200">
      <c r="C2200" s="703"/>
      <c r="E2200" s="222"/>
      <c r="F2200" s="702"/>
    </row>
    <row r="2201">
      <c r="C2201" s="703"/>
      <c r="E2201" s="222"/>
      <c r="F2201" s="702"/>
    </row>
    <row r="2202">
      <c r="C2202" s="703"/>
      <c r="E2202" s="222"/>
      <c r="F2202" s="702"/>
    </row>
    <row r="2203">
      <c r="C2203" s="703"/>
      <c r="E2203" s="222"/>
      <c r="F2203" s="702"/>
    </row>
    <row r="2204">
      <c r="C2204" s="703"/>
      <c r="E2204" s="222"/>
      <c r="F2204" s="702"/>
    </row>
    <row r="2205">
      <c r="C2205" s="703"/>
      <c r="E2205" s="222"/>
      <c r="F2205" s="702"/>
    </row>
    <row r="2206">
      <c r="C2206" s="703"/>
      <c r="E2206" s="222"/>
      <c r="F2206" s="702"/>
    </row>
    <row r="2207">
      <c r="C2207" s="703"/>
      <c r="E2207" s="222"/>
      <c r="F2207" s="702"/>
    </row>
    <row r="2208">
      <c r="C2208" s="703"/>
      <c r="E2208" s="222"/>
      <c r="F2208" s="702"/>
    </row>
    <row r="2209">
      <c r="C2209" s="703"/>
      <c r="E2209" s="222"/>
      <c r="F2209" s="702"/>
    </row>
    <row r="2210">
      <c r="C2210" s="703"/>
      <c r="E2210" s="222"/>
      <c r="F2210" s="702"/>
    </row>
    <row r="2211">
      <c r="C2211" s="703"/>
      <c r="E2211" s="222"/>
      <c r="F2211" s="702"/>
    </row>
    <row r="2212">
      <c r="C2212" s="703"/>
      <c r="E2212" s="222"/>
      <c r="F2212" s="702"/>
    </row>
    <row r="2213">
      <c r="C2213" s="703"/>
      <c r="E2213" s="222"/>
      <c r="F2213" s="702"/>
    </row>
    <row r="2214">
      <c r="C2214" s="703"/>
      <c r="E2214" s="222"/>
      <c r="F2214" s="702"/>
    </row>
    <row r="2215">
      <c r="C2215" s="703"/>
      <c r="E2215" s="222"/>
      <c r="F2215" s="702"/>
    </row>
    <row r="2216">
      <c r="C2216" s="703"/>
      <c r="E2216" s="222"/>
      <c r="F2216" s="702"/>
    </row>
    <row r="2217">
      <c r="C2217" s="703"/>
      <c r="E2217" s="222"/>
      <c r="F2217" s="702"/>
    </row>
    <row r="2218">
      <c r="C2218" s="703"/>
      <c r="E2218" s="222"/>
      <c r="F2218" s="702"/>
    </row>
    <row r="2219">
      <c r="C2219" s="703"/>
      <c r="E2219" s="222"/>
      <c r="F2219" s="702"/>
    </row>
    <row r="2220">
      <c r="C2220" s="703"/>
      <c r="E2220" s="222"/>
      <c r="F2220" s="702"/>
    </row>
    <row r="2221">
      <c r="C2221" s="703"/>
      <c r="E2221" s="222"/>
      <c r="F2221" s="702"/>
    </row>
    <row r="2222">
      <c r="C2222" s="703"/>
      <c r="E2222" s="222"/>
      <c r="F2222" s="702"/>
    </row>
    <row r="2223">
      <c r="C2223" s="703"/>
      <c r="E2223" s="222"/>
      <c r="F2223" s="702"/>
    </row>
    <row r="2224">
      <c r="C2224" s="703"/>
      <c r="E2224" s="222"/>
      <c r="F2224" s="702"/>
    </row>
    <row r="2225">
      <c r="C2225" s="703"/>
      <c r="E2225" s="222"/>
      <c r="F2225" s="702"/>
    </row>
    <row r="2226">
      <c r="C2226" s="703"/>
      <c r="E2226" s="222"/>
      <c r="F2226" s="702"/>
    </row>
    <row r="2227">
      <c r="C2227" s="703"/>
      <c r="E2227" s="222"/>
      <c r="F2227" s="702"/>
    </row>
    <row r="2228">
      <c r="C2228" s="703"/>
      <c r="E2228" s="222"/>
      <c r="F2228" s="702"/>
    </row>
    <row r="2229">
      <c r="C2229" s="703"/>
      <c r="E2229" s="222"/>
      <c r="F2229" s="702"/>
    </row>
    <row r="2230">
      <c r="C2230" s="703"/>
      <c r="E2230" s="222"/>
      <c r="F2230" s="702"/>
    </row>
    <row r="2231">
      <c r="C2231" s="703"/>
      <c r="E2231" s="222"/>
      <c r="F2231" s="702"/>
    </row>
    <row r="2232">
      <c r="C2232" s="703"/>
      <c r="E2232" s="222"/>
      <c r="F2232" s="702"/>
    </row>
    <row r="2233">
      <c r="C2233" s="703"/>
      <c r="E2233" s="222"/>
      <c r="F2233" s="702"/>
    </row>
    <row r="2234">
      <c r="C2234" s="703"/>
      <c r="E2234" s="222"/>
      <c r="F2234" s="702"/>
    </row>
    <row r="2235">
      <c r="C2235" s="703"/>
      <c r="E2235" s="222"/>
      <c r="F2235" s="702"/>
    </row>
    <row r="2236">
      <c r="C2236" s="703"/>
      <c r="E2236" s="222"/>
      <c r="F2236" s="702"/>
    </row>
    <row r="2237">
      <c r="C2237" s="703"/>
      <c r="E2237" s="222"/>
      <c r="F2237" s="702"/>
    </row>
    <row r="2238">
      <c r="C2238" s="703"/>
      <c r="E2238" s="222"/>
      <c r="F2238" s="702"/>
    </row>
    <row r="2239">
      <c r="C2239" s="703"/>
      <c r="E2239" s="222"/>
      <c r="F2239" s="702"/>
    </row>
    <row r="2240">
      <c r="C2240" s="703"/>
      <c r="E2240" s="222"/>
      <c r="F2240" s="702"/>
    </row>
    <row r="2241">
      <c r="C2241" s="703"/>
      <c r="E2241" s="222"/>
      <c r="F2241" s="702"/>
    </row>
    <row r="2242">
      <c r="C2242" s="703"/>
      <c r="E2242" s="222"/>
      <c r="F2242" s="702"/>
    </row>
    <row r="2243">
      <c r="C2243" s="703"/>
      <c r="E2243" s="222"/>
      <c r="F2243" s="702"/>
    </row>
    <row r="2244">
      <c r="C2244" s="703"/>
      <c r="E2244" s="222"/>
      <c r="F2244" s="702"/>
    </row>
    <row r="2245">
      <c r="C2245" s="703"/>
      <c r="E2245" s="222"/>
      <c r="F2245" s="702"/>
    </row>
    <row r="2246">
      <c r="C2246" s="703"/>
      <c r="E2246" s="222"/>
      <c r="F2246" s="702"/>
    </row>
    <row r="2247">
      <c r="C2247" s="703"/>
      <c r="E2247" s="222"/>
      <c r="F2247" s="702"/>
    </row>
    <row r="2248">
      <c r="C2248" s="703"/>
      <c r="E2248" s="222"/>
      <c r="F2248" s="702"/>
    </row>
    <row r="2249">
      <c r="C2249" s="703"/>
      <c r="E2249" s="222"/>
      <c r="F2249" s="702"/>
    </row>
    <row r="2250">
      <c r="C2250" s="703"/>
      <c r="E2250" s="222"/>
      <c r="F2250" s="702"/>
    </row>
    <row r="2251">
      <c r="C2251" s="703"/>
      <c r="E2251" s="222"/>
      <c r="F2251" s="702"/>
    </row>
    <row r="2252">
      <c r="C2252" s="703"/>
      <c r="E2252" s="222"/>
      <c r="F2252" s="702"/>
    </row>
    <row r="2253">
      <c r="C2253" s="703"/>
      <c r="E2253" s="222"/>
      <c r="F2253" s="702"/>
    </row>
    <row r="2254">
      <c r="C2254" s="703"/>
      <c r="E2254" s="222"/>
      <c r="F2254" s="702"/>
    </row>
    <row r="2255">
      <c r="C2255" s="703"/>
      <c r="E2255" s="222"/>
      <c r="F2255" s="702"/>
    </row>
    <row r="2256">
      <c r="C2256" s="703"/>
      <c r="E2256" s="222"/>
      <c r="F2256" s="702"/>
    </row>
    <row r="2257">
      <c r="C2257" s="703"/>
      <c r="E2257" s="222"/>
      <c r="F2257" s="702"/>
    </row>
    <row r="2258">
      <c r="C2258" s="703"/>
      <c r="E2258" s="222"/>
      <c r="F2258" s="702"/>
    </row>
    <row r="2259">
      <c r="C2259" s="703"/>
      <c r="E2259" s="222"/>
      <c r="F2259" s="702"/>
    </row>
    <row r="2260">
      <c r="C2260" s="703"/>
      <c r="E2260" s="222"/>
      <c r="F2260" s="702"/>
    </row>
    <row r="2261">
      <c r="C2261" s="703"/>
      <c r="E2261" s="222"/>
      <c r="F2261" s="702"/>
    </row>
    <row r="2262">
      <c r="C2262" s="703"/>
      <c r="E2262" s="222"/>
      <c r="F2262" s="702"/>
    </row>
    <row r="2263">
      <c r="C2263" s="703"/>
      <c r="E2263" s="222"/>
      <c r="F2263" s="702"/>
    </row>
    <row r="2264">
      <c r="C2264" s="703"/>
      <c r="E2264" s="222"/>
      <c r="F2264" s="702"/>
    </row>
    <row r="2265">
      <c r="C2265" s="703"/>
      <c r="E2265" s="222"/>
      <c r="F2265" s="702"/>
    </row>
    <row r="2266">
      <c r="C2266" s="703"/>
      <c r="E2266" s="222"/>
      <c r="F2266" s="702"/>
    </row>
    <row r="2267">
      <c r="C2267" s="703"/>
      <c r="E2267" s="222"/>
      <c r="F2267" s="702"/>
    </row>
    <row r="2268">
      <c r="C2268" s="703"/>
      <c r="E2268" s="222"/>
      <c r="F2268" s="702"/>
    </row>
    <row r="2269">
      <c r="C2269" s="703"/>
      <c r="E2269" s="222"/>
      <c r="F2269" s="702"/>
    </row>
    <row r="2270">
      <c r="C2270" s="703"/>
      <c r="E2270" s="222"/>
      <c r="F2270" s="702"/>
    </row>
    <row r="2271">
      <c r="C2271" s="703"/>
      <c r="E2271" s="222"/>
      <c r="F2271" s="702"/>
    </row>
    <row r="2272">
      <c r="C2272" s="703"/>
      <c r="E2272" s="222"/>
      <c r="F2272" s="702"/>
    </row>
    <row r="2273">
      <c r="C2273" s="703"/>
      <c r="E2273" s="222"/>
      <c r="F2273" s="702"/>
    </row>
    <row r="2274">
      <c r="C2274" s="703"/>
      <c r="E2274" s="222"/>
      <c r="F2274" s="702"/>
    </row>
    <row r="2275">
      <c r="C2275" s="703"/>
      <c r="E2275" s="222"/>
      <c r="F2275" s="702"/>
    </row>
    <row r="2276">
      <c r="C2276" s="703"/>
      <c r="E2276" s="222"/>
      <c r="F2276" s="702"/>
    </row>
    <row r="2277">
      <c r="C2277" s="703"/>
      <c r="E2277" s="222"/>
      <c r="F2277" s="702"/>
    </row>
    <row r="2278">
      <c r="C2278" s="703"/>
      <c r="E2278" s="222"/>
      <c r="F2278" s="702"/>
    </row>
    <row r="2279">
      <c r="C2279" s="703"/>
      <c r="E2279" s="222"/>
      <c r="F2279" s="702"/>
    </row>
    <row r="2280">
      <c r="C2280" s="703"/>
      <c r="E2280" s="222"/>
      <c r="F2280" s="702"/>
    </row>
    <row r="2281">
      <c r="C2281" s="703"/>
      <c r="E2281" s="222"/>
      <c r="F2281" s="702"/>
    </row>
    <row r="2282">
      <c r="C2282" s="703"/>
      <c r="E2282" s="222"/>
      <c r="F2282" s="702"/>
    </row>
    <row r="2283">
      <c r="C2283" s="703"/>
      <c r="E2283" s="222"/>
      <c r="F2283" s="702"/>
    </row>
    <row r="2284">
      <c r="C2284" s="703"/>
      <c r="E2284" s="222"/>
      <c r="F2284" s="702"/>
    </row>
    <row r="2285">
      <c r="C2285" s="703"/>
      <c r="E2285" s="222"/>
      <c r="F2285" s="702"/>
    </row>
    <row r="2286">
      <c r="C2286" s="703"/>
      <c r="E2286" s="222"/>
      <c r="F2286" s="702"/>
    </row>
    <row r="2287">
      <c r="C2287" s="703"/>
      <c r="E2287" s="222"/>
      <c r="F2287" s="702"/>
    </row>
    <row r="2288">
      <c r="C2288" s="703"/>
      <c r="E2288" s="222"/>
      <c r="F2288" s="702"/>
    </row>
    <row r="2289">
      <c r="C2289" s="703"/>
      <c r="E2289" s="222"/>
      <c r="F2289" s="702"/>
    </row>
    <row r="2290">
      <c r="C2290" s="703"/>
      <c r="E2290" s="222"/>
      <c r="F2290" s="702"/>
    </row>
    <row r="2291">
      <c r="C2291" s="703"/>
      <c r="E2291" s="222"/>
      <c r="F2291" s="702"/>
    </row>
    <row r="2292">
      <c r="C2292" s="703"/>
      <c r="E2292" s="222"/>
      <c r="F2292" s="702"/>
    </row>
    <row r="2293">
      <c r="C2293" s="703"/>
      <c r="E2293" s="222"/>
      <c r="F2293" s="702"/>
    </row>
    <row r="2294">
      <c r="C2294" s="703"/>
      <c r="E2294" s="222"/>
      <c r="F2294" s="702"/>
    </row>
    <row r="2295">
      <c r="C2295" s="703"/>
      <c r="E2295" s="222"/>
      <c r="F2295" s="702"/>
    </row>
    <row r="2296">
      <c r="C2296" s="703"/>
      <c r="E2296" s="222"/>
      <c r="F2296" s="702"/>
    </row>
    <row r="2297">
      <c r="C2297" s="703"/>
      <c r="E2297" s="222"/>
      <c r="F2297" s="702"/>
    </row>
    <row r="2298">
      <c r="C2298" s="703"/>
      <c r="E2298" s="222"/>
      <c r="F2298" s="702"/>
    </row>
    <row r="2299">
      <c r="C2299" s="703"/>
      <c r="E2299" s="222"/>
      <c r="F2299" s="702"/>
    </row>
    <row r="2300">
      <c r="C2300" s="703"/>
      <c r="E2300" s="222"/>
      <c r="F2300" s="702"/>
    </row>
    <row r="2301">
      <c r="C2301" s="703"/>
      <c r="E2301" s="222"/>
      <c r="F2301" s="702"/>
    </row>
    <row r="2302">
      <c r="C2302" s="703"/>
      <c r="E2302" s="222"/>
      <c r="F2302" s="702"/>
    </row>
    <row r="2303">
      <c r="C2303" s="703"/>
      <c r="E2303" s="222"/>
      <c r="F2303" s="702"/>
    </row>
    <row r="2304">
      <c r="C2304" s="703"/>
      <c r="E2304" s="222"/>
      <c r="F2304" s="702"/>
    </row>
    <row r="2305">
      <c r="C2305" s="703"/>
      <c r="E2305" s="222"/>
      <c r="F2305" s="702"/>
    </row>
    <row r="2306">
      <c r="C2306" s="703"/>
      <c r="E2306" s="222"/>
      <c r="F2306" s="702"/>
    </row>
    <row r="2307">
      <c r="C2307" s="703"/>
      <c r="E2307" s="222"/>
      <c r="F2307" s="702"/>
    </row>
    <row r="2308">
      <c r="C2308" s="703"/>
      <c r="E2308" s="222"/>
      <c r="F2308" s="702"/>
    </row>
    <row r="2309">
      <c r="C2309" s="703"/>
      <c r="E2309" s="222"/>
      <c r="F2309" s="702"/>
    </row>
    <row r="2310">
      <c r="C2310" s="703"/>
      <c r="E2310" s="222"/>
      <c r="F2310" s="702"/>
    </row>
    <row r="2311">
      <c r="C2311" s="703"/>
      <c r="E2311" s="222"/>
      <c r="F2311" s="702"/>
    </row>
    <row r="2312">
      <c r="C2312" s="703"/>
      <c r="E2312" s="222"/>
      <c r="F2312" s="702"/>
    </row>
    <row r="2313">
      <c r="C2313" s="703"/>
      <c r="E2313" s="222"/>
      <c r="F2313" s="702"/>
    </row>
    <row r="2314">
      <c r="C2314" s="703"/>
      <c r="E2314" s="222"/>
      <c r="F2314" s="702"/>
    </row>
    <row r="2315">
      <c r="C2315" s="703"/>
      <c r="E2315" s="222"/>
      <c r="F2315" s="702"/>
    </row>
    <row r="2316">
      <c r="C2316" s="703"/>
      <c r="E2316" s="222"/>
      <c r="F2316" s="702"/>
    </row>
    <row r="2317">
      <c r="C2317" s="703"/>
      <c r="E2317" s="222"/>
      <c r="F2317" s="702"/>
    </row>
    <row r="2318">
      <c r="C2318" s="703"/>
      <c r="E2318" s="222"/>
      <c r="F2318" s="702"/>
    </row>
    <row r="2319">
      <c r="C2319" s="703"/>
      <c r="E2319" s="222"/>
      <c r="F2319" s="702"/>
    </row>
    <row r="2320">
      <c r="C2320" s="703"/>
      <c r="E2320" s="222"/>
      <c r="F2320" s="702"/>
    </row>
    <row r="2321">
      <c r="C2321" s="703"/>
      <c r="E2321" s="222"/>
      <c r="F2321" s="702"/>
    </row>
    <row r="2322">
      <c r="C2322" s="703"/>
      <c r="E2322" s="222"/>
      <c r="F2322" s="702"/>
    </row>
    <row r="2323">
      <c r="C2323" s="703"/>
      <c r="E2323" s="222"/>
      <c r="F2323" s="702"/>
    </row>
    <row r="2324">
      <c r="C2324" s="703"/>
      <c r="E2324" s="222"/>
      <c r="F2324" s="702"/>
    </row>
    <row r="2325">
      <c r="C2325" s="703"/>
      <c r="E2325" s="222"/>
      <c r="F2325" s="702"/>
    </row>
    <row r="2326">
      <c r="C2326" s="703"/>
      <c r="E2326" s="222"/>
      <c r="F2326" s="702"/>
    </row>
    <row r="2327">
      <c r="C2327" s="703"/>
      <c r="E2327" s="222"/>
      <c r="F2327" s="702"/>
    </row>
    <row r="2328">
      <c r="C2328" s="703"/>
      <c r="E2328" s="222"/>
      <c r="F2328" s="702"/>
    </row>
    <row r="2329">
      <c r="C2329" s="703"/>
      <c r="E2329" s="222"/>
      <c r="F2329" s="702"/>
    </row>
    <row r="2330">
      <c r="C2330" s="703"/>
      <c r="E2330" s="222"/>
      <c r="F2330" s="702"/>
    </row>
    <row r="2331">
      <c r="C2331" s="703"/>
      <c r="E2331" s="222"/>
      <c r="F2331" s="702"/>
    </row>
    <row r="2332">
      <c r="C2332" s="703"/>
      <c r="E2332" s="222"/>
      <c r="F2332" s="702"/>
    </row>
    <row r="2333">
      <c r="C2333" s="703"/>
      <c r="E2333" s="222"/>
      <c r="F2333" s="702"/>
    </row>
    <row r="2334">
      <c r="C2334" s="703"/>
      <c r="E2334" s="222"/>
      <c r="F2334" s="702"/>
    </row>
    <row r="2335">
      <c r="C2335" s="703"/>
      <c r="E2335" s="222"/>
      <c r="F2335" s="702"/>
    </row>
    <row r="2336">
      <c r="C2336" s="703"/>
      <c r="E2336" s="222"/>
      <c r="F2336" s="702"/>
    </row>
    <row r="2337">
      <c r="C2337" s="703"/>
      <c r="E2337" s="222"/>
      <c r="F2337" s="702"/>
    </row>
    <row r="2338">
      <c r="C2338" s="703"/>
      <c r="E2338" s="222"/>
      <c r="F2338" s="702"/>
    </row>
    <row r="2339">
      <c r="C2339" s="703"/>
      <c r="E2339" s="222"/>
      <c r="F2339" s="702"/>
    </row>
    <row r="2340">
      <c r="C2340" s="703"/>
      <c r="E2340" s="222"/>
      <c r="F2340" s="702"/>
    </row>
    <row r="2341">
      <c r="C2341" s="703"/>
      <c r="E2341" s="222"/>
      <c r="F2341" s="702"/>
    </row>
    <row r="2342">
      <c r="C2342" s="703"/>
      <c r="E2342" s="222"/>
      <c r="F2342" s="702"/>
    </row>
    <row r="2343">
      <c r="C2343" s="703"/>
      <c r="E2343" s="222"/>
      <c r="F2343" s="702"/>
    </row>
    <row r="2344">
      <c r="C2344" s="703"/>
      <c r="E2344" s="222"/>
      <c r="F2344" s="702"/>
    </row>
    <row r="2345">
      <c r="C2345" s="703"/>
      <c r="E2345" s="222"/>
      <c r="F2345" s="702"/>
    </row>
    <row r="2346">
      <c r="C2346" s="703"/>
      <c r="E2346" s="222"/>
      <c r="F2346" s="702"/>
    </row>
    <row r="2347">
      <c r="C2347" s="703"/>
      <c r="E2347" s="222"/>
      <c r="F2347" s="702"/>
    </row>
    <row r="2348">
      <c r="C2348" s="703"/>
      <c r="E2348" s="222"/>
      <c r="F2348" s="702"/>
    </row>
    <row r="2349">
      <c r="C2349" s="703"/>
      <c r="E2349" s="222"/>
      <c r="F2349" s="702"/>
    </row>
    <row r="2350">
      <c r="C2350" s="703"/>
      <c r="E2350" s="222"/>
      <c r="F2350" s="702"/>
    </row>
    <row r="2351">
      <c r="C2351" s="703"/>
      <c r="E2351" s="222"/>
      <c r="F2351" s="702"/>
    </row>
    <row r="2352">
      <c r="C2352" s="703"/>
      <c r="E2352" s="222"/>
      <c r="F2352" s="702"/>
    </row>
    <row r="2353">
      <c r="C2353" s="703"/>
      <c r="E2353" s="222"/>
      <c r="F2353" s="702"/>
    </row>
    <row r="2354">
      <c r="C2354" s="703"/>
      <c r="E2354" s="222"/>
      <c r="F2354" s="702"/>
    </row>
    <row r="2355">
      <c r="C2355" s="703"/>
      <c r="E2355" s="222"/>
      <c r="F2355" s="702"/>
    </row>
    <row r="2356">
      <c r="C2356" s="703"/>
      <c r="E2356" s="222"/>
      <c r="F2356" s="702"/>
    </row>
    <row r="2357">
      <c r="C2357" s="703"/>
      <c r="E2357" s="222"/>
      <c r="F2357" s="702"/>
    </row>
    <row r="2358">
      <c r="C2358" s="703"/>
      <c r="E2358" s="222"/>
      <c r="F2358" s="702"/>
    </row>
    <row r="2359">
      <c r="C2359" s="703"/>
      <c r="E2359" s="222"/>
      <c r="F2359" s="702"/>
    </row>
    <row r="2360">
      <c r="C2360" s="703"/>
      <c r="E2360" s="222"/>
      <c r="F2360" s="702"/>
    </row>
    <row r="2361">
      <c r="C2361" s="703"/>
      <c r="E2361" s="222"/>
      <c r="F2361" s="702"/>
    </row>
    <row r="2362">
      <c r="C2362" s="703"/>
      <c r="E2362" s="222"/>
      <c r="F2362" s="702"/>
    </row>
    <row r="2363">
      <c r="C2363" s="703"/>
      <c r="E2363" s="222"/>
      <c r="F2363" s="702"/>
    </row>
    <row r="2364">
      <c r="C2364" s="703"/>
      <c r="E2364" s="222"/>
      <c r="F2364" s="702"/>
    </row>
    <row r="2365">
      <c r="C2365" s="703"/>
      <c r="E2365" s="222"/>
      <c r="F2365" s="702"/>
    </row>
    <row r="2366">
      <c r="C2366" s="703"/>
      <c r="E2366" s="222"/>
      <c r="F2366" s="702"/>
    </row>
    <row r="2367">
      <c r="C2367" s="703"/>
      <c r="E2367" s="222"/>
      <c r="F2367" s="702"/>
    </row>
    <row r="2368">
      <c r="C2368" s="703"/>
      <c r="E2368" s="222"/>
      <c r="F2368" s="702"/>
    </row>
    <row r="2369">
      <c r="C2369" s="703"/>
      <c r="E2369" s="222"/>
      <c r="F2369" s="702"/>
    </row>
    <row r="2370">
      <c r="C2370" s="703"/>
      <c r="E2370" s="222"/>
      <c r="F2370" s="702"/>
    </row>
    <row r="2371">
      <c r="C2371" s="703"/>
      <c r="E2371" s="222"/>
      <c r="F2371" s="702"/>
    </row>
    <row r="2372">
      <c r="C2372" s="703"/>
      <c r="E2372" s="222"/>
      <c r="F2372" s="702"/>
    </row>
    <row r="2373">
      <c r="C2373" s="703"/>
      <c r="E2373" s="222"/>
      <c r="F2373" s="702"/>
    </row>
    <row r="2374">
      <c r="C2374" s="703"/>
      <c r="E2374" s="222"/>
      <c r="F2374" s="702"/>
    </row>
    <row r="2375">
      <c r="C2375" s="703"/>
      <c r="E2375" s="222"/>
      <c r="F2375" s="702"/>
    </row>
    <row r="2376">
      <c r="C2376" s="703"/>
      <c r="E2376" s="222"/>
      <c r="F2376" s="702"/>
    </row>
    <row r="2377">
      <c r="C2377" s="703"/>
      <c r="E2377" s="222"/>
      <c r="F2377" s="702"/>
    </row>
    <row r="2378">
      <c r="C2378" s="703"/>
      <c r="E2378" s="222"/>
      <c r="F2378" s="702"/>
    </row>
    <row r="2379">
      <c r="C2379" s="703"/>
      <c r="E2379" s="222"/>
      <c r="F2379" s="702"/>
    </row>
    <row r="2380">
      <c r="C2380" s="703"/>
      <c r="E2380" s="222"/>
      <c r="F2380" s="702"/>
    </row>
    <row r="2381">
      <c r="C2381" s="703"/>
      <c r="E2381" s="222"/>
      <c r="F2381" s="702"/>
    </row>
    <row r="2382">
      <c r="C2382" s="703"/>
      <c r="E2382" s="222"/>
      <c r="F2382" s="702"/>
    </row>
    <row r="2383">
      <c r="C2383" s="703"/>
      <c r="E2383" s="222"/>
      <c r="F2383" s="702"/>
    </row>
    <row r="2384">
      <c r="C2384" s="703"/>
      <c r="E2384" s="222"/>
      <c r="F2384" s="702"/>
    </row>
    <row r="2385">
      <c r="C2385" s="703"/>
      <c r="E2385" s="222"/>
      <c r="F2385" s="702"/>
    </row>
    <row r="2386">
      <c r="C2386" s="703"/>
      <c r="E2386" s="222"/>
      <c r="F2386" s="702"/>
    </row>
    <row r="2387">
      <c r="C2387" s="703"/>
      <c r="E2387" s="222"/>
      <c r="F2387" s="702"/>
    </row>
    <row r="2388">
      <c r="C2388" s="703"/>
      <c r="E2388" s="222"/>
      <c r="F2388" s="702"/>
    </row>
    <row r="2389">
      <c r="C2389" s="703"/>
      <c r="E2389" s="222"/>
      <c r="F2389" s="702"/>
    </row>
    <row r="2390">
      <c r="C2390" s="703"/>
      <c r="E2390" s="222"/>
      <c r="F2390" s="702"/>
    </row>
    <row r="2391">
      <c r="C2391" s="703"/>
      <c r="E2391" s="222"/>
      <c r="F2391" s="702"/>
    </row>
    <row r="2392">
      <c r="C2392" s="703"/>
      <c r="E2392" s="222"/>
      <c r="F2392" s="702"/>
    </row>
    <row r="2393">
      <c r="C2393" s="703"/>
      <c r="E2393" s="222"/>
      <c r="F2393" s="702"/>
    </row>
    <row r="2394">
      <c r="C2394" s="703"/>
      <c r="E2394" s="222"/>
      <c r="F2394" s="702"/>
    </row>
    <row r="2395">
      <c r="C2395" s="703"/>
      <c r="E2395" s="222"/>
      <c r="F2395" s="702"/>
    </row>
    <row r="2396">
      <c r="C2396" s="703"/>
      <c r="E2396" s="222"/>
      <c r="F2396" s="702"/>
    </row>
    <row r="2397">
      <c r="C2397" s="703"/>
      <c r="E2397" s="222"/>
      <c r="F2397" s="702"/>
    </row>
    <row r="2398">
      <c r="C2398" s="703"/>
      <c r="E2398" s="222"/>
      <c r="F2398" s="702"/>
    </row>
    <row r="2399">
      <c r="C2399" s="703"/>
      <c r="E2399" s="222"/>
      <c r="F2399" s="702"/>
    </row>
    <row r="2400">
      <c r="C2400" s="703"/>
      <c r="E2400" s="222"/>
      <c r="F2400" s="702"/>
    </row>
    <row r="2401">
      <c r="C2401" s="703"/>
      <c r="E2401" s="222"/>
      <c r="F2401" s="702"/>
    </row>
    <row r="2402">
      <c r="C2402" s="703"/>
      <c r="E2402" s="222"/>
      <c r="F2402" s="702"/>
    </row>
    <row r="2403">
      <c r="C2403" s="703"/>
      <c r="E2403" s="222"/>
      <c r="F2403" s="702"/>
    </row>
    <row r="2404">
      <c r="C2404" s="703"/>
      <c r="E2404" s="222"/>
      <c r="F2404" s="702"/>
    </row>
    <row r="2405">
      <c r="C2405" s="703"/>
      <c r="E2405" s="222"/>
      <c r="F2405" s="702"/>
    </row>
    <row r="2406">
      <c r="C2406" s="703"/>
      <c r="E2406" s="222"/>
      <c r="F2406" s="702"/>
    </row>
    <row r="2407">
      <c r="C2407" s="703"/>
      <c r="E2407" s="222"/>
      <c r="F2407" s="702"/>
    </row>
    <row r="2408">
      <c r="C2408" s="703"/>
      <c r="E2408" s="222"/>
      <c r="F2408" s="702"/>
    </row>
    <row r="2409">
      <c r="C2409" s="703"/>
      <c r="E2409" s="222"/>
      <c r="F2409" s="702"/>
    </row>
    <row r="2410">
      <c r="C2410" s="703"/>
      <c r="E2410" s="222"/>
      <c r="F2410" s="702"/>
    </row>
    <row r="2411">
      <c r="C2411" s="703"/>
      <c r="E2411" s="222"/>
      <c r="F2411" s="702"/>
    </row>
    <row r="2412">
      <c r="C2412" s="703"/>
      <c r="E2412" s="222"/>
      <c r="F2412" s="702"/>
    </row>
    <row r="2413">
      <c r="C2413" s="703"/>
      <c r="E2413" s="222"/>
      <c r="F2413" s="702"/>
    </row>
    <row r="2414">
      <c r="C2414" s="703"/>
      <c r="E2414" s="222"/>
      <c r="F2414" s="702"/>
    </row>
    <row r="2415">
      <c r="C2415" s="703"/>
      <c r="E2415" s="222"/>
      <c r="F2415" s="702"/>
    </row>
    <row r="2416">
      <c r="C2416" s="703"/>
      <c r="E2416" s="222"/>
      <c r="F2416" s="702"/>
    </row>
    <row r="2417">
      <c r="C2417" s="703"/>
      <c r="E2417" s="222"/>
      <c r="F2417" s="702"/>
    </row>
    <row r="2418">
      <c r="C2418" s="703"/>
      <c r="E2418" s="222"/>
      <c r="F2418" s="702"/>
    </row>
    <row r="2419">
      <c r="C2419" s="703"/>
      <c r="E2419" s="222"/>
      <c r="F2419" s="702"/>
    </row>
    <row r="2420">
      <c r="C2420" s="703"/>
      <c r="E2420" s="222"/>
      <c r="F2420" s="702"/>
    </row>
    <row r="2421">
      <c r="C2421" s="703"/>
      <c r="E2421" s="222"/>
      <c r="F2421" s="702"/>
    </row>
    <row r="2422">
      <c r="C2422" s="703"/>
      <c r="E2422" s="222"/>
      <c r="F2422" s="702"/>
    </row>
    <row r="2423">
      <c r="C2423" s="703"/>
      <c r="E2423" s="222"/>
      <c r="F2423" s="702"/>
    </row>
    <row r="2424">
      <c r="C2424" s="703"/>
      <c r="E2424" s="222"/>
      <c r="F2424" s="702"/>
    </row>
    <row r="2425">
      <c r="C2425" s="703"/>
      <c r="E2425" s="222"/>
      <c r="F2425" s="702"/>
    </row>
    <row r="2426">
      <c r="C2426" s="703"/>
      <c r="E2426" s="222"/>
      <c r="F2426" s="702"/>
    </row>
    <row r="2427">
      <c r="C2427" s="703"/>
      <c r="E2427" s="222"/>
      <c r="F2427" s="702"/>
    </row>
    <row r="2428">
      <c r="C2428" s="703"/>
      <c r="E2428" s="222"/>
      <c r="F2428" s="702"/>
    </row>
    <row r="2429">
      <c r="C2429" s="703"/>
      <c r="E2429" s="222"/>
      <c r="F2429" s="702"/>
    </row>
    <row r="2430">
      <c r="C2430" s="703"/>
      <c r="E2430" s="222"/>
      <c r="F2430" s="702"/>
    </row>
    <row r="2431">
      <c r="C2431" s="703"/>
      <c r="E2431" s="222"/>
      <c r="F2431" s="702"/>
    </row>
    <row r="2432">
      <c r="C2432" s="703"/>
      <c r="E2432" s="222"/>
      <c r="F2432" s="702"/>
    </row>
    <row r="2433">
      <c r="C2433" s="703"/>
      <c r="E2433" s="222"/>
      <c r="F2433" s="702"/>
    </row>
    <row r="2434">
      <c r="C2434" s="703"/>
      <c r="E2434" s="222"/>
      <c r="F2434" s="702"/>
    </row>
    <row r="2435">
      <c r="C2435" s="703"/>
      <c r="E2435" s="222"/>
      <c r="F2435" s="702"/>
    </row>
    <row r="2436">
      <c r="C2436" s="703"/>
      <c r="E2436" s="222"/>
      <c r="F2436" s="702"/>
    </row>
    <row r="2437">
      <c r="C2437" s="703"/>
      <c r="E2437" s="222"/>
      <c r="F2437" s="702"/>
    </row>
    <row r="2438">
      <c r="C2438" s="703"/>
      <c r="E2438" s="222"/>
      <c r="F2438" s="702"/>
    </row>
    <row r="2439">
      <c r="C2439" s="703"/>
      <c r="E2439" s="222"/>
      <c r="F2439" s="702"/>
    </row>
    <row r="2440">
      <c r="C2440" s="703"/>
      <c r="E2440" s="222"/>
      <c r="F2440" s="702"/>
    </row>
    <row r="2441">
      <c r="C2441" s="703"/>
      <c r="E2441" s="222"/>
      <c r="F2441" s="702"/>
    </row>
    <row r="2442">
      <c r="C2442" s="703"/>
      <c r="E2442" s="222"/>
      <c r="F2442" s="702"/>
    </row>
    <row r="2443">
      <c r="C2443" s="703"/>
      <c r="E2443" s="222"/>
      <c r="F2443" s="702"/>
    </row>
    <row r="2444">
      <c r="C2444" s="703"/>
      <c r="E2444" s="222"/>
      <c r="F2444" s="702"/>
    </row>
    <row r="2445">
      <c r="C2445" s="703"/>
      <c r="E2445" s="222"/>
      <c r="F2445" s="702"/>
    </row>
    <row r="2446">
      <c r="C2446" s="703"/>
      <c r="E2446" s="222"/>
      <c r="F2446" s="702"/>
    </row>
    <row r="2447">
      <c r="C2447" s="703"/>
      <c r="E2447" s="222"/>
      <c r="F2447" s="702"/>
    </row>
    <row r="2448">
      <c r="C2448" s="703"/>
      <c r="E2448" s="222"/>
      <c r="F2448" s="702"/>
    </row>
    <row r="2449">
      <c r="C2449" s="703"/>
      <c r="E2449" s="222"/>
      <c r="F2449" s="702"/>
    </row>
    <row r="2450">
      <c r="C2450" s="703"/>
      <c r="E2450" s="222"/>
      <c r="F2450" s="702"/>
    </row>
    <row r="2451">
      <c r="C2451" s="703"/>
      <c r="E2451" s="222"/>
      <c r="F2451" s="702"/>
    </row>
    <row r="2452">
      <c r="C2452" s="703"/>
      <c r="E2452" s="222"/>
      <c r="F2452" s="702"/>
    </row>
    <row r="2453">
      <c r="C2453" s="703"/>
      <c r="E2453" s="222"/>
      <c r="F2453" s="702"/>
    </row>
    <row r="2454">
      <c r="C2454" s="703"/>
      <c r="E2454" s="222"/>
      <c r="F2454" s="702"/>
    </row>
    <row r="2455">
      <c r="C2455" s="703"/>
      <c r="E2455" s="222"/>
      <c r="F2455" s="702"/>
    </row>
    <row r="2456">
      <c r="C2456" s="703"/>
      <c r="E2456" s="222"/>
      <c r="F2456" s="702"/>
    </row>
    <row r="2457">
      <c r="C2457" s="703"/>
      <c r="E2457" s="222"/>
      <c r="F2457" s="702"/>
    </row>
    <row r="2458">
      <c r="C2458" s="703"/>
      <c r="E2458" s="222"/>
      <c r="F2458" s="702"/>
    </row>
    <row r="2459">
      <c r="C2459" s="703"/>
      <c r="E2459" s="222"/>
      <c r="F2459" s="702"/>
    </row>
    <row r="2460">
      <c r="C2460" s="703"/>
      <c r="E2460" s="222"/>
      <c r="F2460" s="702"/>
    </row>
    <row r="2461">
      <c r="C2461" s="703"/>
      <c r="E2461" s="222"/>
      <c r="F2461" s="702"/>
    </row>
    <row r="2462">
      <c r="C2462" s="703"/>
      <c r="E2462" s="222"/>
      <c r="F2462" s="702"/>
    </row>
    <row r="2463">
      <c r="C2463" s="703"/>
      <c r="E2463" s="222"/>
      <c r="F2463" s="702"/>
    </row>
    <row r="2464">
      <c r="C2464" s="703"/>
      <c r="E2464" s="222"/>
      <c r="F2464" s="702"/>
    </row>
    <row r="2465">
      <c r="C2465" s="703"/>
      <c r="E2465" s="222"/>
      <c r="F2465" s="702"/>
    </row>
    <row r="2466">
      <c r="C2466" s="703"/>
      <c r="E2466" s="222"/>
      <c r="F2466" s="702"/>
    </row>
    <row r="2467">
      <c r="C2467" s="703"/>
      <c r="E2467" s="222"/>
      <c r="F2467" s="702"/>
    </row>
    <row r="2468">
      <c r="C2468" s="703"/>
      <c r="E2468" s="222"/>
      <c r="F2468" s="702"/>
    </row>
    <row r="2469">
      <c r="C2469" s="703"/>
      <c r="E2469" s="222"/>
      <c r="F2469" s="702"/>
    </row>
    <row r="2470">
      <c r="C2470" s="703"/>
      <c r="E2470" s="222"/>
      <c r="F2470" s="702"/>
    </row>
    <row r="2471">
      <c r="C2471" s="703"/>
      <c r="E2471" s="222"/>
      <c r="F2471" s="702"/>
    </row>
    <row r="2472">
      <c r="C2472" s="703"/>
      <c r="E2472" s="222"/>
      <c r="F2472" s="702"/>
    </row>
    <row r="2473">
      <c r="C2473" s="703"/>
      <c r="E2473" s="222"/>
      <c r="F2473" s="702"/>
    </row>
    <row r="2474">
      <c r="C2474" s="703"/>
      <c r="E2474" s="222"/>
      <c r="F2474" s="702"/>
    </row>
    <row r="2475">
      <c r="C2475" s="703"/>
      <c r="E2475" s="222"/>
      <c r="F2475" s="702"/>
    </row>
    <row r="2476">
      <c r="C2476" s="703"/>
      <c r="E2476" s="222"/>
      <c r="F2476" s="702"/>
    </row>
    <row r="2477">
      <c r="C2477" s="703"/>
      <c r="E2477" s="222"/>
      <c r="F2477" s="702"/>
    </row>
    <row r="2478">
      <c r="C2478" s="703"/>
      <c r="E2478" s="222"/>
      <c r="F2478" s="702"/>
    </row>
    <row r="2479">
      <c r="C2479" s="703"/>
      <c r="E2479" s="222"/>
      <c r="F2479" s="702"/>
    </row>
    <row r="2480">
      <c r="C2480" s="703"/>
      <c r="E2480" s="222"/>
      <c r="F2480" s="702"/>
    </row>
    <row r="2481">
      <c r="C2481" s="703"/>
      <c r="E2481" s="222"/>
      <c r="F2481" s="702"/>
    </row>
    <row r="2482">
      <c r="C2482" s="703"/>
      <c r="E2482" s="222"/>
      <c r="F2482" s="702"/>
    </row>
    <row r="2483">
      <c r="C2483" s="703"/>
      <c r="E2483" s="222"/>
      <c r="F2483" s="702"/>
    </row>
    <row r="2484">
      <c r="C2484" s="703"/>
      <c r="E2484" s="222"/>
      <c r="F2484" s="702"/>
    </row>
    <row r="2485">
      <c r="C2485" s="703"/>
      <c r="E2485" s="222"/>
      <c r="F2485" s="702"/>
    </row>
    <row r="2486">
      <c r="C2486" s="703"/>
      <c r="E2486" s="222"/>
      <c r="F2486" s="702"/>
    </row>
    <row r="2487">
      <c r="C2487" s="703"/>
      <c r="E2487" s="222"/>
      <c r="F2487" s="702"/>
    </row>
    <row r="2488">
      <c r="C2488" s="703"/>
      <c r="E2488" s="222"/>
      <c r="F2488" s="702"/>
    </row>
    <row r="2489">
      <c r="C2489" s="703"/>
      <c r="E2489" s="222"/>
      <c r="F2489" s="702"/>
    </row>
    <row r="2490">
      <c r="C2490" s="703"/>
      <c r="E2490" s="222"/>
      <c r="F2490" s="702"/>
    </row>
    <row r="2491">
      <c r="C2491" s="703"/>
      <c r="E2491" s="222"/>
      <c r="F2491" s="702"/>
    </row>
    <row r="2492">
      <c r="C2492" s="703"/>
      <c r="E2492" s="222"/>
      <c r="F2492" s="702"/>
    </row>
    <row r="2493">
      <c r="C2493" s="703"/>
      <c r="E2493" s="222"/>
      <c r="F2493" s="702"/>
    </row>
    <row r="2494">
      <c r="C2494" s="703"/>
      <c r="E2494" s="222"/>
      <c r="F2494" s="702"/>
    </row>
    <row r="2495">
      <c r="C2495" s="703"/>
      <c r="E2495" s="222"/>
      <c r="F2495" s="702"/>
    </row>
    <row r="2496">
      <c r="C2496" s="703"/>
      <c r="E2496" s="222"/>
      <c r="F2496" s="702"/>
    </row>
    <row r="2497">
      <c r="C2497" s="703"/>
      <c r="E2497" s="222"/>
      <c r="F2497" s="702"/>
    </row>
    <row r="2498">
      <c r="C2498" s="703"/>
      <c r="E2498" s="222"/>
      <c r="F2498" s="702"/>
    </row>
    <row r="2499">
      <c r="C2499" s="703"/>
      <c r="E2499" s="222"/>
      <c r="F2499" s="702"/>
    </row>
    <row r="2500">
      <c r="C2500" s="703"/>
      <c r="E2500" s="222"/>
      <c r="F2500" s="702"/>
    </row>
    <row r="2501">
      <c r="C2501" s="703"/>
      <c r="E2501" s="222"/>
      <c r="F2501" s="702"/>
    </row>
    <row r="2502">
      <c r="C2502" s="703"/>
      <c r="E2502" s="222"/>
      <c r="F2502" s="702"/>
    </row>
    <row r="2503">
      <c r="C2503" s="703"/>
      <c r="E2503" s="222"/>
      <c r="F2503" s="702"/>
    </row>
    <row r="2504">
      <c r="C2504" s="703"/>
      <c r="E2504" s="222"/>
      <c r="F2504" s="702"/>
    </row>
    <row r="2505">
      <c r="C2505" s="703"/>
      <c r="E2505" s="222"/>
      <c r="F2505" s="702"/>
    </row>
    <row r="2506">
      <c r="C2506" s="703"/>
      <c r="E2506" s="222"/>
      <c r="F2506" s="702"/>
    </row>
    <row r="2507">
      <c r="C2507" s="703"/>
      <c r="E2507" s="222"/>
      <c r="F2507" s="702"/>
    </row>
    <row r="2508">
      <c r="C2508" s="703"/>
      <c r="E2508" s="222"/>
      <c r="F2508" s="702"/>
    </row>
    <row r="2509">
      <c r="C2509" s="703"/>
      <c r="E2509" s="222"/>
      <c r="F2509" s="702"/>
    </row>
    <row r="2510">
      <c r="C2510" s="703"/>
      <c r="E2510" s="222"/>
      <c r="F2510" s="702"/>
    </row>
    <row r="2511">
      <c r="C2511" s="703"/>
      <c r="E2511" s="222"/>
      <c r="F2511" s="702"/>
    </row>
    <row r="2512">
      <c r="C2512" s="703"/>
      <c r="E2512" s="222"/>
      <c r="F2512" s="702"/>
    </row>
    <row r="2513">
      <c r="C2513" s="703"/>
      <c r="E2513" s="222"/>
      <c r="F2513" s="702"/>
    </row>
    <row r="2514">
      <c r="C2514" s="703"/>
      <c r="E2514" s="222"/>
      <c r="F2514" s="702"/>
    </row>
    <row r="2515">
      <c r="C2515" s="703"/>
      <c r="E2515" s="222"/>
      <c r="F2515" s="702"/>
    </row>
    <row r="2516">
      <c r="C2516" s="703"/>
      <c r="E2516" s="222"/>
      <c r="F2516" s="702"/>
    </row>
    <row r="2517">
      <c r="C2517" s="703"/>
      <c r="E2517" s="222"/>
      <c r="F2517" s="702"/>
    </row>
    <row r="2518">
      <c r="C2518" s="703"/>
      <c r="E2518" s="222"/>
      <c r="F2518" s="702"/>
    </row>
    <row r="2519">
      <c r="C2519" s="703"/>
      <c r="E2519" s="222"/>
      <c r="F2519" s="702"/>
    </row>
    <row r="2520">
      <c r="C2520" s="703"/>
      <c r="E2520" s="222"/>
      <c r="F2520" s="702"/>
    </row>
    <row r="2521">
      <c r="C2521" s="703"/>
      <c r="E2521" s="222"/>
      <c r="F2521" s="702"/>
    </row>
    <row r="2522">
      <c r="C2522" s="703"/>
      <c r="E2522" s="222"/>
      <c r="F2522" s="702"/>
    </row>
    <row r="2523">
      <c r="C2523" s="703"/>
      <c r="E2523" s="222"/>
      <c r="F2523" s="702"/>
    </row>
    <row r="2524">
      <c r="C2524" s="703"/>
      <c r="E2524" s="222"/>
      <c r="F2524" s="702"/>
    </row>
    <row r="2525">
      <c r="C2525" s="703"/>
      <c r="E2525" s="222"/>
      <c r="F2525" s="702"/>
    </row>
    <row r="2526">
      <c r="C2526" s="703"/>
      <c r="E2526" s="222"/>
      <c r="F2526" s="702"/>
    </row>
    <row r="2527">
      <c r="C2527" s="703"/>
      <c r="E2527" s="222"/>
      <c r="F2527" s="702"/>
    </row>
    <row r="2528">
      <c r="C2528" s="703"/>
      <c r="E2528" s="222"/>
      <c r="F2528" s="702"/>
    </row>
    <row r="2529">
      <c r="C2529" s="703"/>
      <c r="E2529" s="222"/>
      <c r="F2529" s="702"/>
    </row>
    <row r="2530">
      <c r="C2530" s="703"/>
      <c r="E2530" s="222"/>
      <c r="F2530" s="702"/>
    </row>
    <row r="2531">
      <c r="C2531" s="703"/>
      <c r="E2531" s="222"/>
      <c r="F2531" s="702"/>
    </row>
    <row r="2532">
      <c r="C2532" s="703"/>
      <c r="E2532" s="222"/>
      <c r="F2532" s="702"/>
    </row>
    <row r="2533">
      <c r="C2533" s="703"/>
      <c r="E2533" s="222"/>
      <c r="F2533" s="702"/>
    </row>
    <row r="2534">
      <c r="C2534" s="703"/>
      <c r="E2534" s="222"/>
      <c r="F2534" s="702"/>
    </row>
    <row r="2535">
      <c r="C2535" s="703"/>
      <c r="E2535" s="222"/>
      <c r="F2535" s="702"/>
    </row>
    <row r="2536">
      <c r="C2536" s="703"/>
      <c r="E2536" s="222"/>
      <c r="F2536" s="702"/>
    </row>
    <row r="2537">
      <c r="C2537" s="703"/>
      <c r="E2537" s="222"/>
      <c r="F2537" s="702"/>
    </row>
    <row r="2538">
      <c r="C2538" s="703"/>
      <c r="E2538" s="222"/>
      <c r="F2538" s="702"/>
    </row>
    <row r="2539">
      <c r="C2539" s="703"/>
      <c r="E2539" s="222"/>
      <c r="F2539" s="702"/>
    </row>
    <row r="2540">
      <c r="C2540" s="703"/>
      <c r="E2540" s="222"/>
      <c r="F2540" s="702"/>
    </row>
    <row r="2541">
      <c r="C2541" s="703"/>
      <c r="E2541" s="222"/>
      <c r="F2541" s="702"/>
    </row>
    <row r="2542">
      <c r="C2542" s="703"/>
      <c r="E2542" s="222"/>
      <c r="F2542" s="702"/>
    </row>
    <row r="2543">
      <c r="C2543" s="703"/>
      <c r="E2543" s="222"/>
      <c r="F2543" s="702"/>
    </row>
    <row r="2544">
      <c r="C2544" s="703"/>
      <c r="E2544" s="222"/>
      <c r="F2544" s="702"/>
    </row>
    <row r="2545">
      <c r="C2545" s="703"/>
      <c r="E2545" s="222"/>
      <c r="F2545" s="702"/>
    </row>
    <row r="2546">
      <c r="C2546" s="703"/>
      <c r="E2546" s="222"/>
      <c r="F2546" s="702"/>
    </row>
    <row r="2547">
      <c r="C2547" s="703"/>
      <c r="E2547" s="222"/>
      <c r="F2547" s="702"/>
    </row>
    <row r="2548">
      <c r="C2548" s="703"/>
      <c r="E2548" s="222"/>
      <c r="F2548" s="702"/>
    </row>
    <row r="2549">
      <c r="C2549" s="703"/>
      <c r="E2549" s="222"/>
      <c r="F2549" s="702"/>
    </row>
    <row r="2550">
      <c r="C2550" s="703"/>
      <c r="E2550" s="222"/>
      <c r="F2550" s="702"/>
    </row>
    <row r="2551">
      <c r="C2551" s="703"/>
      <c r="E2551" s="222"/>
      <c r="F2551" s="702"/>
    </row>
    <row r="2552">
      <c r="C2552" s="703"/>
      <c r="E2552" s="222"/>
      <c r="F2552" s="702"/>
    </row>
    <row r="2553">
      <c r="C2553" s="703"/>
      <c r="E2553" s="222"/>
      <c r="F2553" s="702"/>
    </row>
    <row r="2554">
      <c r="C2554" s="703"/>
      <c r="E2554" s="222"/>
      <c r="F2554" s="702"/>
    </row>
    <row r="2555">
      <c r="C2555" s="703"/>
      <c r="E2555" s="222"/>
      <c r="F2555" s="702"/>
    </row>
    <row r="2556">
      <c r="C2556" s="703"/>
      <c r="E2556" s="222"/>
      <c r="F2556" s="702"/>
    </row>
    <row r="2557">
      <c r="C2557" s="703"/>
      <c r="E2557" s="222"/>
      <c r="F2557" s="702"/>
    </row>
    <row r="2558">
      <c r="C2558" s="703"/>
      <c r="E2558" s="222"/>
      <c r="F2558" s="702"/>
    </row>
    <row r="2559">
      <c r="C2559" s="703"/>
      <c r="E2559" s="222"/>
      <c r="F2559" s="702"/>
    </row>
    <row r="2560">
      <c r="C2560" s="703"/>
      <c r="E2560" s="222"/>
      <c r="F2560" s="702"/>
    </row>
    <row r="2561">
      <c r="C2561" s="703"/>
      <c r="E2561" s="222"/>
      <c r="F2561" s="702"/>
    </row>
    <row r="2562">
      <c r="C2562" s="703"/>
      <c r="E2562" s="222"/>
      <c r="F2562" s="702"/>
    </row>
    <row r="2563">
      <c r="C2563" s="703"/>
      <c r="E2563" s="222"/>
      <c r="F2563" s="702"/>
    </row>
    <row r="2564">
      <c r="C2564" s="703"/>
      <c r="E2564" s="222"/>
      <c r="F2564" s="702"/>
    </row>
    <row r="2565">
      <c r="C2565" s="703"/>
      <c r="E2565" s="222"/>
      <c r="F2565" s="702"/>
    </row>
    <row r="2566">
      <c r="C2566" s="703"/>
      <c r="E2566" s="222"/>
      <c r="F2566" s="702"/>
    </row>
    <row r="2567">
      <c r="C2567" s="703"/>
      <c r="E2567" s="222"/>
      <c r="F2567" s="702"/>
    </row>
    <row r="2568">
      <c r="C2568" s="703"/>
      <c r="E2568" s="222"/>
      <c r="F2568" s="702"/>
    </row>
    <row r="2569">
      <c r="C2569" s="703"/>
      <c r="E2569" s="222"/>
      <c r="F2569" s="702"/>
    </row>
    <row r="2570">
      <c r="C2570" s="703"/>
      <c r="E2570" s="222"/>
      <c r="F2570" s="702"/>
    </row>
    <row r="2571">
      <c r="C2571" s="703"/>
      <c r="E2571" s="222"/>
      <c r="F2571" s="702"/>
    </row>
    <row r="2572">
      <c r="C2572" s="703"/>
      <c r="E2572" s="222"/>
      <c r="F2572" s="702"/>
    </row>
    <row r="2573">
      <c r="C2573" s="703"/>
      <c r="E2573" s="222"/>
      <c r="F2573" s="702"/>
    </row>
    <row r="2574">
      <c r="C2574" s="703"/>
      <c r="E2574" s="222"/>
      <c r="F2574" s="702"/>
    </row>
    <row r="2575">
      <c r="C2575" s="703"/>
      <c r="E2575" s="222"/>
      <c r="F2575" s="702"/>
    </row>
    <row r="2576">
      <c r="C2576" s="703"/>
      <c r="E2576" s="222"/>
      <c r="F2576" s="702"/>
    </row>
    <row r="2577">
      <c r="C2577" s="703"/>
      <c r="E2577" s="222"/>
      <c r="F2577" s="702"/>
    </row>
    <row r="2578">
      <c r="C2578" s="703"/>
      <c r="E2578" s="222"/>
      <c r="F2578" s="702"/>
    </row>
    <row r="2579">
      <c r="C2579" s="703"/>
      <c r="E2579" s="222"/>
      <c r="F2579" s="702"/>
    </row>
    <row r="2580">
      <c r="C2580" s="703"/>
      <c r="E2580" s="222"/>
      <c r="F2580" s="702"/>
    </row>
    <row r="2581">
      <c r="C2581" s="703"/>
      <c r="E2581" s="222"/>
      <c r="F2581" s="702"/>
    </row>
    <row r="2582">
      <c r="C2582" s="703"/>
      <c r="E2582" s="222"/>
      <c r="F2582" s="702"/>
    </row>
    <row r="2583">
      <c r="C2583" s="703"/>
      <c r="E2583" s="222"/>
      <c r="F2583" s="702"/>
    </row>
    <row r="2584">
      <c r="C2584" s="703"/>
      <c r="E2584" s="222"/>
      <c r="F2584" s="702"/>
    </row>
    <row r="2585">
      <c r="C2585" s="703"/>
      <c r="E2585" s="222"/>
      <c r="F2585" s="702"/>
    </row>
    <row r="2586">
      <c r="C2586" s="703"/>
      <c r="E2586" s="222"/>
      <c r="F2586" s="702"/>
    </row>
    <row r="2587">
      <c r="C2587" s="703"/>
      <c r="E2587" s="222"/>
      <c r="F2587" s="702"/>
    </row>
    <row r="2588">
      <c r="C2588" s="703"/>
      <c r="E2588" s="222"/>
      <c r="F2588" s="702"/>
    </row>
    <row r="2589">
      <c r="C2589" s="703"/>
      <c r="E2589" s="222"/>
      <c r="F2589" s="702"/>
    </row>
    <row r="2590">
      <c r="C2590" s="703"/>
      <c r="E2590" s="222"/>
      <c r="F2590" s="702"/>
    </row>
    <row r="2591">
      <c r="C2591" s="703"/>
      <c r="E2591" s="222"/>
      <c r="F2591" s="702"/>
    </row>
    <row r="2592">
      <c r="C2592" s="703"/>
      <c r="E2592" s="222"/>
      <c r="F2592" s="702"/>
    </row>
    <row r="2593">
      <c r="C2593" s="703"/>
      <c r="E2593" s="222"/>
      <c r="F2593" s="702"/>
    </row>
    <row r="2594">
      <c r="C2594" s="703"/>
      <c r="E2594" s="222"/>
      <c r="F2594" s="702"/>
    </row>
    <row r="2595">
      <c r="C2595" s="703"/>
      <c r="E2595" s="222"/>
      <c r="F2595" s="702"/>
    </row>
    <row r="2596">
      <c r="C2596" s="703"/>
      <c r="E2596" s="222"/>
      <c r="F2596" s="702"/>
    </row>
    <row r="2597">
      <c r="C2597" s="703"/>
      <c r="E2597" s="222"/>
      <c r="F2597" s="702"/>
    </row>
    <row r="2598">
      <c r="C2598" s="703"/>
      <c r="E2598" s="222"/>
      <c r="F2598" s="702"/>
    </row>
    <row r="2599">
      <c r="C2599" s="703"/>
      <c r="E2599" s="222"/>
      <c r="F2599" s="702"/>
    </row>
    <row r="2600">
      <c r="C2600" s="703"/>
      <c r="E2600" s="222"/>
      <c r="F2600" s="702"/>
    </row>
    <row r="2601">
      <c r="C2601" s="703"/>
      <c r="E2601" s="222"/>
      <c r="F2601" s="702"/>
    </row>
    <row r="2602">
      <c r="C2602" s="703"/>
      <c r="E2602" s="222"/>
      <c r="F2602" s="702"/>
    </row>
    <row r="2603">
      <c r="C2603" s="703"/>
      <c r="E2603" s="222"/>
      <c r="F2603" s="702"/>
    </row>
    <row r="2604">
      <c r="C2604" s="703"/>
      <c r="E2604" s="222"/>
      <c r="F2604" s="702"/>
    </row>
    <row r="2605">
      <c r="C2605" s="703"/>
      <c r="E2605" s="222"/>
      <c r="F2605" s="702"/>
    </row>
    <row r="2606">
      <c r="C2606" s="703"/>
      <c r="E2606" s="222"/>
      <c r="F2606" s="702"/>
    </row>
    <row r="2607">
      <c r="C2607" s="703"/>
      <c r="E2607" s="222"/>
      <c r="F2607" s="702"/>
    </row>
    <row r="2608">
      <c r="C2608" s="703"/>
      <c r="E2608" s="222"/>
      <c r="F2608" s="702"/>
    </row>
    <row r="2609">
      <c r="C2609" s="703"/>
      <c r="E2609" s="222"/>
      <c r="F2609" s="702"/>
    </row>
    <row r="2610">
      <c r="C2610" s="703"/>
      <c r="E2610" s="222"/>
      <c r="F2610" s="702"/>
    </row>
    <row r="2611">
      <c r="C2611" s="703"/>
      <c r="E2611" s="222"/>
      <c r="F2611" s="702"/>
    </row>
    <row r="2612">
      <c r="C2612" s="703"/>
      <c r="E2612" s="222"/>
      <c r="F2612" s="702"/>
    </row>
    <row r="2613">
      <c r="C2613" s="703"/>
      <c r="E2613" s="222"/>
      <c r="F2613" s="702"/>
    </row>
    <row r="2614">
      <c r="C2614" s="703"/>
      <c r="E2614" s="222"/>
      <c r="F2614" s="702"/>
    </row>
    <row r="2615">
      <c r="C2615" s="703"/>
      <c r="E2615" s="222"/>
      <c r="F2615" s="702"/>
    </row>
    <row r="2616">
      <c r="C2616" s="703"/>
      <c r="E2616" s="222"/>
      <c r="F2616" s="702"/>
    </row>
    <row r="2617">
      <c r="C2617" s="703"/>
      <c r="E2617" s="222"/>
      <c r="F2617" s="702"/>
    </row>
    <row r="2618">
      <c r="C2618" s="703"/>
      <c r="E2618" s="222"/>
      <c r="F2618" s="702"/>
    </row>
    <row r="2619">
      <c r="C2619" s="703"/>
      <c r="E2619" s="222"/>
      <c r="F2619" s="702"/>
    </row>
    <row r="2620">
      <c r="C2620" s="703"/>
      <c r="E2620" s="222"/>
      <c r="F2620" s="702"/>
    </row>
    <row r="2621">
      <c r="C2621" s="703"/>
      <c r="E2621" s="222"/>
      <c r="F2621" s="702"/>
    </row>
    <row r="2622">
      <c r="C2622" s="703"/>
      <c r="E2622" s="222"/>
      <c r="F2622" s="702"/>
    </row>
    <row r="2623">
      <c r="C2623" s="703"/>
      <c r="E2623" s="222"/>
      <c r="F2623" s="702"/>
    </row>
    <row r="2624">
      <c r="C2624" s="703"/>
      <c r="E2624" s="222"/>
      <c r="F2624" s="702"/>
    </row>
    <row r="2625">
      <c r="C2625" s="703"/>
      <c r="E2625" s="222"/>
      <c r="F2625" s="702"/>
    </row>
    <row r="2626">
      <c r="C2626" s="703"/>
      <c r="E2626" s="222"/>
      <c r="F2626" s="702"/>
    </row>
    <row r="2627">
      <c r="C2627" s="703"/>
      <c r="E2627" s="222"/>
      <c r="F2627" s="702"/>
    </row>
    <row r="2628">
      <c r="C2628" s="703"/>
      <c r="E2628" s="222"/>
      <c r="F2628" s="702"/>
    </row>
    <row r="2629">
      <c r="C2629" s="703"/>
      <c r="E2629" s="222"/>
      <c r="F2629" s="702"/>
    </row>
    <row r="2630">
      <c r="C2630" s="703"/>
      <c r="E2630" s="222"/>
      <c r="F2630" s="702"/>
    </row>
    <row r="2631">
      <c r="C2631" s="703"/>
      <c r="E2631" s="222"/>
      <c r="F2631" s="702"/>
    </row>
    <row r="2632">
      <c r="C2632" s="703"/>
      <c r="E2632" s="222"/>
      <c r="F2632" s="702"/>
    </row>
    <row r="2633">
      <c r="C2633" s="703"/>
      <c r="E2633" s="222"/>
      <c r="F2633" s="702"/>
    </row>
    <row r="2634">
      <c r="C2634" s="703"/>
      <c r="E2634" s="222"/>
      <c r="F2634" s="702"/>
    </row>
    <row r="2635">
      <c r="C2635" s="703"/>
      <c r="E2635" s="222"/>
      <c r="F2635" s="702"/>
    </row>
    <row r="2636">
      <c r="C2636" s="703"/>
      <c r="E2636" s="222"/>
      <c r="F2636" s="702"/>
    </row>
    <row r="2637">
      <c r="C2637" s="703"/>
      <c r="E2637" s="222"/>
      <c r="F2637" s="702"/>
    </row>
    <row r="2638">
      <c r="C2638" s="703"/>
      <c r="E2638" s="222"/>
      <c r="F2638" s="702"/>
    </row>
    <row r="2639">
      <c r="C2639" s="703"/>
      <c r="E2639" s="222"/>
      <c r="F2639" s="702"/>
    </row>
    <row r="2640">
      <c r="C2640" s="703"/>
      <c r="E2640" s="222"/>
      <c r="F2640" s="702"/>
    </row>
    <row r="2641">
      <c r="C2641" s="703"/>
      <c r="E2641" s="222"/>
      <c r="F2641" s="702"/>
    </row>
    <row r="2642">
      <c r="C2642" s="703"/>
      <c r="E2642" s="222"/>
      <c r="F2642" s="702"/>
    </row>
    <row r="2643">
      <c r="C2643" s="703"/>
      <c r="E2643" s="222"/>
      <c r="F2643" s="702"/>
    </row>
    <row r="2644">
      <c r="C2644" s="703"/>
      <c r="E2644" s="222"/>
      <c r="F2644" s="702"/>
    </row>
    <row r="2645">
      <c r="C2645" s="703"/>
      <c r="E2645" s="222"/>
      <c r="F2645" s="702"/>
    </row>
    <row r="2646">
      <c r="C2646" s="703"/>
      <c r="E2646" s="222"/>
      <c r="F2646" s="702"/>
    </row>
    <row r="2647">
      <c r="C2647" s="703"/>
      <c r="E2647" s="222"/>
      <c r="F2647" s="702"/>
    </row>
    <row r="2648">
      <c r="C2648" s="703"/>
      <c r="E2648" s="222"/>
      <c r="F2648" s="702"/>
    </row>
    <row r="2649">
      <c r="C2649" s="703"/>
      <c r="E2649" s="222"/>
      <c r="F2649" s="702"/>
    </row>
    <row r="2650">
      <c r="C2650" s="703"/>
      <c r="E2650" s="222"/>
      <c r="F2650" s="702"/>
    </row>
    <row r="2651">
      <c r="C2651" s="703"/>
      <c r="E2651" s="222"/>
      <c r="F2651" s="702"/>
    </row>
    <row r="2652">
      <c r="C2652" s="703"/>
      <c r="E2652" s="222"/>
      <c r="F2652" s="702"/>
    </row>
    <row r="2653">
      <c r="C2653" s="703"/>
      <c r="E2653" s="222"/>
      <c r="F2653" s="702"/>
    </row>
    <row r="2654">
      <c r="C2654" s="703"/>
      <c r="E2654" s="222"/>
      <c r="F2654" s="702"/>
    </row>
    <row r="2655">
      <c r="C2655" s="703"/>
      <c r="E2655" s="222"/>
      <c r="F2655" s="702"/>
    </row>
    <row r="2656">
      <c r="C2656" s="703"/>
      <c r="E2656" s="222"/>
      <c r="F2656" s="702"/>
    </row>
    <row r="2657">
      <c r="C2657" s="703"/>
      <c r="E2657" s="222"/>
      <c r="F2657" s="702"/>
    </row>
    <row r="2658">
      <c r="C2658" s="703"/>
      <c r="E2658" s="222"/>
      <c r="F2658" s="702"/>
    </row>
    <row r="2659">
      <c r="C2659" s="703"/>
      <c r="E2659" s="222"/>
      <c r="F2659" s="702"/>
    </row>
    <row r="2660">
      <c r="C2660" s="703"/>
      <c r="E2660" s="222"/>
      <c r="F2660" s="702"/>
    </row>
    <row r="2661">
      <c r="C2661" s="703"/>
      <c r="E2661" s="222"/>
      <c r="F2661" s="702"/>
    </row>
    <row r="2662">
      <c r="C2662" s="703"/>
      <c r="E2662" s="222"/>
      <c r="F2662" s="702"/>
    </row>
    <row r="2663">
      <c r="C2663" s="703"/>
      <c r="E2663" s="222"/>
      <c r="F2663" s="702"/>
    </row>
    <row r="2664">
      <c r="C2664" s="703"/>
      <c r="E2664" s="222"/>
      <c r="F2664" s="702"/>
    </row>
    <row r="2665">
      <c r="C2665" s="703"/>
      <c r="E2665" s="222"/>
      <c r="F2665" s="702"/>
    </row>
    <row r="2666">
      <c r="C2666" s="703"/>
      <c r="E2666" s="222"/>
      <c r="F2666" s="702"/>
    </row>
    <row r="2667">
      <c r="C2667" s="703"/>
      <c r="E2667" s="222"/>
      <c r="F2667" s="702"/>
    </row>
    <row r="2668">
      <c r="C2668" s="703"/>
      <c r="E2668" s="222"/>
      <c r="F2668" s="702"/>
    </row>
    <row r="2669">
      <c r="C2669" s="703"/>
      <c r="E2669" s="222"/>
      <c r="F2669" s="702"/>
    </row>
    <row r="2670">
      <c r="C2670" s="703"/>
      <c r="E2670" s="222"/>
      <c r="F2670" s="702"/>
    </row>
    <row r="2671">
      <c r="C2671" s="703"/>
      <c r="E2671" s="222"/>
      <c r="F2671" s="702"/>
    </row>
    <row r="2672">
      <c r="C2672" s="703"/>
      <c r="E2672" s="222"/>
      <c r="F2672" s="702"/>
    </row>
    <row r="2673">
      <c r="C2673" s="703"/>
      <c r="E2673" s="222"/>
      <c r="F2673" s="702"/>
    </row>
    <row r="2674">
      <c r="C2674" s="703"/>
      <c r="E2674" s="222"/>
      <c r="F2674" s="702"/>
    </row>
    <row r="2675">
      <c r="C2675" s="703"/>
      <c r="E2675" s="222"/>
      <c r="F2675" s="702"/>
    </row>
    <row r="2676">
      <c r="C2676" s="703"/>
      <c r="E2676" s="222"/>
      <c r="F2676" s="702"/>
    </row>
    <row r="2677">
      <c r="C2677" s="703"/>
      <c r="E2677" s="222"/>
      <c r="F2677" s="702"/>
    </row>
    <row r="2678">
      <c r="C2678" s="703"/>
      <c r="E2678" s="222"/>
      <c r="F2678" s="702"/>
    </row>
    <row r="2679">
      <c r="C2679" s="703"/>
      <c r="E2679" s="222"/>
      <c r="F2679" s="702"/>
    </row>
    <row r="2680">
      <c r="C2680" s="703"/>
      <c r="E2680" s="222"/>
      <c r="F2680" s="702"/>
    </row>
    <row r="2681">
      <c r="C2681" s="703"/>
      <c r="E2681" s="222"/>
      <c r="F2681" s="702"/>
    </row>
    <row r="2682">
      <c r="C2682" s="703"/>
      <c r="E2682" s="222"/>
      <c r="F2682" s="702"/>
    </row>
    <row r="2683">
      <c r="C2683" s="703"/>
      <c r="E2683" s="222"/>
      <c r="F2683" s="702"/>
    </row>
    <row r="2684">
      <c r="C2684" s="703"/>
      <c r="E2684" s="222"/>
      <c r="F2684" s="702"/>
    </row>
    <row r="2685">
      <c r="C2685" s="703"/>
      <c r="E2685" s="222"/>
      <c r="F2685" s="702"/>
    </row>
    <row r="2686">
      <c r="C2686" s="703"/>
      <c r="E2686" s="222"/>
      <c r="F2686" s="702"/>
    </row>
    <row r="2687">
      <c r="C2687" s="703"/>
      <c r="E2687" s="222"/>
      <c r="F2687" s="702"/>
    </row>
    <row r="2688">
      <c r="C2688" s="703"/>
      <c r="E2688" s="222"/>
      <c r="F2688" s="702"/>
    </row>
    <row r="2689">
      <c r="C2689" s="703"/>
      <c r="E2689" s="222"/>
      <c r="F2689" s="702"/>
    </row>
    <row r="2690">
      <c r="C2690" s="703"/>
      <c r="E2690" s="222"/>
      <c r="F2690" s="702"/>
    </row>
    <row r="2691">
      <c r="C2691" s="703"/>
      <c r="E2691" s="222"/>
      <c r="F2691" s="702"/>
    </row>
    <row r="2692">
      <c r="C2692" s="703"/>
      <c r="E2692" s="222"/>
      <c r="F2692" s="702"/>
    </row>
    <row r="2693">
      <c r="C2693" s="703"/>
      <c r="E2693" s="222"/>
      <c r="F2693" s="702"/>
    </row>
    <row r="2694">
      <c r="C2694" s="703"/>
      <c r="E2694" s="222"/>
      <c r="F2694" s="702"/>
    </row>
    <row r="2695">
      <c r="C2695" s="703"/>
      <c r="E2695" s="222"/>
      <c r="F2695" s="702"/>
    </row>
    <row r="2696">
      <c r="C2696" s="703"/>
      <c r="E2696" s="222"/>
      <c r="F2696" s="702"/>
    </row>
    <row r="2697">
      <c r="C2697" s="703"/>
      <c r="E2697" s="222"/>
      <c r="F2697" s="702"/>
    </row>
    <row r="2698">
      <c r="C2698" s="703"/>
      <c r="E2698" s="222"/>
      <c r="F2698" s="702"/>
    </row>
    <row r="2699">
      <c r="C2699" s="703"/>
      <c r="E2699" s="222"/>
      <c r="F2699" s="702"/>
    </row>
    <row r="2700">
      <c r="C2700" s="703"/>
      <c r="E2700" s="222"/>
      <c r="F2700" s="702"/>
    </row>
    <row r="2701">
      <c r="C2701" s="703"/>
      <c r="E2701" s="222"/>
      <c r="F2701" s="702"/>
    </row>
    <row r="2702">
      <c r="C2702" s="703"/>
      <c r="E2702" s="222"/>
      <c r="F2702" s="702"/>
    </row>
    <row r="2703">
      <c r="C2703" s="703"/>
      <c r="E2703" s="222"/>
      <c r="F2703" s="702"/>
    </row>
    <row r="2704">
      <c r="C2704" s="703"/>
      <c r="E2704" s="222"/>
      <c r="F2704" s="702"/>
    </row>
    <row r="2705">
      <c r="C2705" s="703"/>
      <c r="E2705" s="222"/>
      <c r="F2705" s="702"/>
    </row>
    <row r="2706">
      <c r="C2706" s="703"/>
      <c r="E2706" s="222"/>
      <c r="F2706" s="702"/>
    </row>
    <row r="2707">
      <c r="C2707" s="703"/>
      <c r="E2707" s="222"/>
      <c r="F2707" s="702"/>
    </row>
    <row r="2708">
      <c r="C2708" s="703"/>
      <c r="E2708" s="222"/>
      <c r="F2708" s="702"/>
    </row>
    <row r="2709">
      <c r="C2709" s="703"/>
      <c r="E2709" s="222"/>
      <c r="F2709" s="702"/>
    </row>
    <row r="2710">
      <c r="C2710" s="703"/>
      <c r="E2710" s="222"/>
      <c r="F2710" s="702"/>
    </row>
    <row r="2711">
      <c r="C2711" s="703"/>
      <c r="E2711" s="222"/>
      <c r="F2711" s="702"/>
    </row>
    <row r="2712">
      <c r="C2712" s="703"/>
      <c r="E2712" s="222"/>
      <c r="F2712" s="702"/>
    </row>
    <row r="2713">
      <c r="C2713" s="703"/>
      <c r="E2713" s="222"/>
      <c r="F2713" s="702"/>
    </row>
    <row r="2714">
      <c r="C2714" s="703"/>
      <c r="E2714" s="222"/>
      <c r="F2714" s="702"/>
    </row>
    <row r="2715">
      <c r="C2715" s="703"/>
      <c r="E2715" s="222"/>
      <c r="F2715" s="702"/>
    </row>
    <row r="2716">
      <c r="C2716" s="703"/>
      <c r="E2716" s="222"/>
      <c r="F2716" s="702"/>
    </row>
    <row r="2717">
      <c r="C2717" s="703"/>
      <c r="E2717" s="222"/>
      <c r="F2717" s="702"/>
    </row>
    <row r="2718">
      <c r="C2718" s="703"/>
      <c r="E2718" s="222"/>
      <c r="F2718" s="702"/>
    </row>
    <row r="2719">
      <c r="C2719" s="703"/>
      <c r="E2719" s="222"/>
      <c r="F2719" s="702"/>
    </row>
    <row r="2720">
      <c r="C2720" s="703"/>
      <c r="E2720" s="222"/>
      <c r="F2720" s="702"/>
    </row>
    <row r="2721">
      <c r="C2721" s="703"/>
      <c r="E2721" s="222"/>
      <c r="F2721" s="702"/>
    </row>
    <row r="2722">
      <c r="C2722" s="703"/>
      <c r="E2722" s="222"/>
      <c r="F2722" s="702"/>
    </row>
    <row r="2723">
      <c r="C2723" s="703"/>
      <c r="E2723" s="222"/>
      <c r="F2723" s="702"/>
    </row>
    <row r="2724">
      <c r="C2724" s="703"/>
      <c r="E2724" s="222"/>
      <c r="F2724" s="702"/>
    </row>
    <row r="2725">
      <c r="C2725" s="703"/>
      <c r="E2725" s="222"/>
      <c r="F2725" s="702"/>
    </row>
    <row r="2726">
      <c r="C2726" s="703"/>
      <c r="E2726" s="222"/>
      <c r="F2726" s="702"/>
    </row>
    <row r="2727">
      <c r="C2727" s="703"/>
      <c r="E2727" s="222"/>
      <c r="F2727" s="702"/>
    </row>
    <row r="2728">
      <c r="C2728" s="703"/>
      <c r="E2728" s="222"/>
      <c r="F2728" s="702"/>
    </row>
    <row r="2729">
      <c r="C2729" s="703"/>
      <c r="E2729" s="222"/>
      <c r="F2729" s="702"/>
    </row>
    <row r="2730">
      <c r="C2730" s="703"/>
      <c r="E2730" s="222"/>
      <c r="F2730" s="702"/>
    </row>
    <row r="2731">
      <c r="C2731" s="703"/>
      <c r="E2731" s="222"/>
      <c r="F2731" s="702"/>
    </row>
    <row r="2732">
      <c r="C2732" s="703"/>
      <c r="E2732" s="222"/>
      <c r="F2732" s="702"/>
    </row>
    <row r="2733">
      <c r="C2733" s="703"/>
      <c r="E2733" s="222"/>
      <c r="F2733" s="702"/>
    </row>
    <row r="2734">
      <c r="C2734" s="703"/>
      <c r="E2734" s="222"/>
      <c r="F2734" s="702"/>
    </row>
    <row r="2735">
      <c r="C2735" s="703"/>
      <c r="E2735" s="222"/>
      <c r="F2735" s="702"/>
    </row>
    <row r="2736">
      <c r="C2736" s="703"/>
      <c r="E2736" s="222"/>
      <c r="F2736" s="702"/>
    </row>
    <row r="2737">
      <c r="C2737" s="703"/>
      <c r="E2737" s="222"/>
      <c r="F2737" s="702"/>
    </row>
    <row r="2738">
      <c r="C2738" s="703"/>
      <c r="E2738" s="222"/>
      <c r="F2738" s="702"/>
    </row>
    <row r="2739">
      <c r="C2739" s="703"/>
      <c r="E2739" s="222"/>
      <c r="F2739" s="702"/>
    </row>
    <row r="2740">
      <c r="C2740" s="703"/>
      <c r="E2740" s="222"/>
      <c r="F2740" s="702"/>
    </row>
    <row r="2741">
      <c r="C2741" s="703"/>
      <c r="E2741" s="222"/>
      <c r="F2741" s="702"/>
    </row>
    <row r="2742">
      <c r="C2742" s="703"/>
      <c r="E2742" s="222"/>
      <c r="F2742" s="702"/>
    </row>
    <row r="2743">
      <c r="C2743" s="703"/>
      <c r="E2743" s="222"/>
      <c r="F2743" s="702"/>
    </row>
    <row r="2744">
      <c r="C2744" s="703"/>
      <c r="E2744" s="222"/>
      <c r="F2744" s="702"/>
    </row>
    <row r="2745">
      <c r="C2745" s="703"/>
      <c r="E2745" s="222"/>
      <c r="F2745" s="702"/>
    </row>
    <row r="2746">
      <c r="C2746" s="703"/>
      <c r="E2746" s="222"/>
      <c r="F2746" s="702"/>
    </row>
    <row r="2747">
      <c r="C2747" s="703"/>
      <c r="E2747" s="222"/>
      <c r="F2747" s="702"/>
    </row>
    <row r="2748">
      <c r="C2748" s="703"/>
      <c r="E2748" s="222"/>
      <c r="F2748" s="702"/>
    </row>
    <row r="2749">
      <c r="C2749" s="703"/>
      <c r="E2749" s="222"/>
      <c r="F2749" s="702"/>
    </row>
    <row r="2750">
      <c r="C2750" s="703"/>
      <c r="E2750" s="222"/>
      <c r="F2750" s="702"/>
    </row>
    <row r="2751">
      <c r="C2751" s="703"/>
      <c r="E2751" s="222"/>
      <c r="F2751" s="702"/>
    </row>
    <row r="2752">
      <c r="C2752" s="703"/>
      <c r="E2752" s="222"/>
      <c r="F2752" s="702"/>
    </row>
    <row r="2753">
      <c r="C2753" s="703"/>
      <c r="E2753" s="222"/>
      <c r="F2753" s="702"/>
    </row>
    <row r="2754">
      <c r="C2754" s="703"/>
      <c r="E2754" s="222"/>
      <c r="F2754" s="702"/>
    </row>
    <row r="2755">
      <c r="C2755" s="703"/>
      <c r="E2755" s="222"/>
      <c r="F2755" s="702"/>
    </row>
    <row r="2756">
      <c r="C2756" s="703"/>
      <c r="E2756" s="222"/>
      <c r="F2756" s="702"/>
    </row>
    <row r="2757">
      <c r="C2757" s="703"/>
      <c r="E2757" s="222"/>
      <c r="F2757" s="702"/>
    </row>
    <row r="2758">
      <c r="C2758" s="703"/>
      <c r="E2758" s="222"/>
      <c r="F2758" s="702"/>
    </row>
    <row r="2759">
      <c r="C2759" s="703"/>
      <c r="E2759" s="222"/>
      <c r="F2759" s="702"/>
    </row>
    <row r="2760">
      <c r="C2760" s="703"/>
      <c r="E2760" s="222"/>
      <c r="F2760" s="702"/>
    </row>
    <row r="2761">
      <c r="C2761" s="703"/>
      <c r="E2761" s="222"/>
      <c r="F2761" s="702"/>
    </row>
    <row r="2762">
      <c r="C2762" s="703"/>
      <c r="E2762" s="222"/>
      <c r="F2762" s="702"/>
    </row>
    <row r="2763">
      <c r="C2763" s="703"/>
      <c r="E2763" s="222"/>
      <c r="F2763" s="702"/>
    </row>
    <row r="2764">
      <c r="C2764" s="703"/>
      <c r="E2764" s="222"/>
      <c r="F2764" s="702"/>
    </row>
    <row r="2765">
      <c r="C2765" s="703"/>
      <c r="E2765" s="222"/>
      <c r="F2765" s="702"/>
    </row>
    <row r="2766">
      <c r="C2766" s="703"/>
      <c r="E2766" s="222"/>
      <c r="F2766" s="702"/>
    </row>
    <row r="2767">
      <c r="C2767" s="703"/>
      <c r="E2767" s="222"/>
      <c r="F2767" s="702"/>
    </row>
    <row r="2768">
      <c r="C2768" s="703"/>
      <c r="E2768" s="222"/>
      <c r="F2768" s="702"/>
    </row>
    <row r="2769">
      <c r="C2769" s="703"/>
      <c r="E2769" s="222"/>
      <c r="F2769" s="702"/>
    </row>
    <row r="2770">
      <c r="C2770" s="703"/>
      <c r="E2770" s="222"/>
      <c r="F2770" s="702"/>
    </row>
    <row r="2771">
      <c r="C2771" s="703"/>
      <c r="E2771" s="222"/>
      <c r="F2771" s="702"/>
    </row>
    <row r="2772">
      <c r="C2772" s="703"/>
      <c r="E2772" s="222"/>
      <c r="F2772" s="702"/>
    </row>
    <row r="2773">
      <c r="C2773" s="703"/>
      <c r="E2773" s="222"/>
      <c r="F2773" s="702"/>
    </row>
    <row r="2774">
      <c r="C2774" s="703"/>
      <c r="E2774" s="222"/>
      <c r="F2774" s="702"/>
    </row>
    <row r="2775">
      <c r="C2775" s="703"/>
      <c r="E2775" s="222"/>
      <c r="F2775" s="702"/>
    </row>
    <row r="2776">
      <c r="C2776" s="703"/>
      <c r="E2776" s="222"/>
      <c r="F2776" s="702"/>
    </row>
    <row r="2777">
      <c r="C2777" s="703"/>
      <c r="E2777" s="222"/>
      <c r="F2777" s="702"/>
    </row>
    <row r="2778">
      <c r="C2778" s="703"/>
      <c r="E2778" s="222"/>
      <c r="F2778" s="702"/>
    </row>
    <row r="2779">
      <c r="C2779" s="703"/>
      <c r="E2779" s="222"/>
      <c r="F2779" s="702"/>
    </row>
    <row r="2780">
      <c r="C2780" s="703"/>
      <c r="E2780" s="222"/>
      <c r="F2780" s="702"/>
    </row>
    <row r="2781">
      <c r="C2781" s="703"/>
      <c r="E2781" s="222"/>
      <c r="F2781" s="702"/>
    </row>
    <row r="2782">
      <c r="C2782" s="703"/>
      <c r="E2782" s="222"/>
      <c r="F2782" s="702"/>
    </row>
    <row r="2783">
      <c r="C2783" s="703"/>
      <c r="E2783" s="222"/>
      <c r="F2783" s="702"/>
    </row>
    <row r="2784">
      <c r="C2784" s="703"/>
      <c r="E2784" s="222"/>
      <c r="F2784" s="702"/>
    </row>
    <row r="2785">
      <c r="C2785" s="703"/>
      <c r="E2785" s="222"/>
      <c r="F2785" s="702"/>
    </row>
    <row r="2786">
      <c r="C2786" s="703"/>
      <c r="E2786" s="222"/>
      <c r="F2786" s="702"/>
    </row>
    <row r="2787">
      <c r="C2787" s="703"/>
      <c r="E2787" s="222"/>
      <c r="F2787" s="702"/>
    </row>
    <row r="2788">
      <c r="C2788" s="703"/>
      <c r="E2788" s="222"/>
      <c r="F2788" s="702"/>
    </row>
    <row r="2789">
      <c r="C2789" s="703"/>
      <c r="E2789" s="222"/>
      <c r="F2789" s="702"/>
    </row>
    <row r="2790">
      <c r="C2790" s="703"/>
      <c r="E2790" s="222"/>
      <c r="F2790" s="702"/>
    </row>
    <row r="2791">
      <c r="C2791" s="703"/>
      <c r="E2791" s="222"/>
      <c r="F2791" s="702"/>
    </row>
    <row r="2792">
      <c r="C2792" s="703"/>
      <c r="E2792" s="222"/>
      <c r="F2792" s="702"/>
    </row>
    <row r="2793">
      <c r="C2793" s="703"/>
      <c r="E2793" s="222"/>
      <c r="F2793" s="702"/>
    </row>
    <row r="2794">
      <c r="C2794" s="703"/>
      <c r="E2794" s="222"/>
      <c r="F2794" s="702"/>
    </row>
    <row r="2795">
      <c r="C2795" s="703"/>
      <c r="E2795" s="222"/>
      <c r="F2795" s="702"/>
    </row>
    <row r="2796">
      <c r="C2796" s="703"/>
      <c r="E2796" s="222"/>
      <c r="F2796" s="702"/>
    </row>
    <row r="2797">
      <c r="C2797" s="703"/>
      <c r="E2797" s="222"/>
      <c r="F2797" s="702"/>
    </row>
    <row r="2798">
      <c r="C2798" s="703"/>
      <c r="E2798" s="222"/>
      <c r="F2798" s="702"/>
    </row>
    <row r="2799">
      <c r="C2799" s="703"/>
      <c r="E2799" s="222"/>
      <c r="F2799" s="702"/>
    </row>
    <row r="2800">
      <c r="C2800" s="703"/>
      <c r="E2800" s="222"/>
      <c r="F2800" s="702"/>
    </row>
    <row r="2801">
      <c r="C2801" s="703"/>
      <c r="E2801" s="222"/>
      <c r="F2801" s="702"/>
    </row>
    <row r="2802">
      <c r="C2802" s="703"/>
      <c r="E2802" s="222"/>
      <c r="F2802" s="702"/>
    </row>
    <row r="2803">
      <c r="C2803" s="703"/>
      <c r="E2803" s="222"/>
      <c r="F2803" s="702"/>
    </row>
    <row r="2804">
      <c r="C2804" s="703"/>
      <c r="E2804" s="222"/>
      <c r="F2804" s="702"/>
    </row>
    <row r="2805">
      <c r="C2805" s="703"/>
      <c r="E2805" s="222"/>
      <c r="F2805" s="702"/>
    </row>
    <row r="2806">
      <c r="C2806" s="703"/>
      <c r="E2806" s="222"/>
      <c r="F2806" s="702"/>
    </row>
    <row r="2807">
      <c r="C2807" s="703"/>
      <c r="E2807" s="222"/>
      <c r="F2807" s="702"/>
    </row>
    <row r="2808">
      <c r="C2808" s="703"/>
      <c r="E2808" s="222"/>
      <c r="F2808" s="702"/>
    </row>
    <row r="2809">
      <c r="C2809" s="703"/>
      <c r="E2809" s="222"/>
      <c r="F2809" s="702"/>
    </row>
    <row r="2810">
      <c r="C2810" s="703"/>
      <c r="E2810" s="222"/>
      <c r="F2810" s="702"/>
    </row>
    <row r="2811">
      <c r="C2811" s="703"/>
      <c r="E2811" s="222"/>
      <c r="F2811" s="702"/>
    </row>
    <row r="2812">
      <c r="C2812" s="703"/>
      <c r="E2812" s="222"/>
      <c r="F2812" s="702"/>
    </row>
    <row r="2813">
      <c r="C2813" s="703"/>
      <c r="E2813" s="222"/>
      <c r="F2813" s="702"/>
    </row>
    <row r="2814">
      <c r="C2814" s="703"/>
      <c r="E2814" s="222"/>
      <c r="F2814" s="702"/>
    </row>
    <row r="2815">
      <c r="C2815" s="703"/>
      <c r="E2815" s="222"/>
      <c r="F2815" s="702"/>
    </row>
    <row r="2816">
      <c r="C2816" s="703"/>
      <c r="E2816" s="222"/>
      <c r="F2816" s="702"/>
    </row>
    <row r="2817">
      <c r="C2817" s="703"/>
      <c r="E2817" s="222"/>
      <c r="F2817" s="702"/>
    </row>
    <row r="2818">
      <c r="C2818" s="703"/>
      <c r="E2818" s="222"/>
      <c r="F2818" s="702"/>
    </row>
    <row r="2819">
      <c r="C2819" s="703"/>
      <c r="E2819" s="222"/>
      <c r="F2819" s="702"/>
    </row>
    <row r="2820">
      <c r="C2820" s="703"/>
      <c r="E2820" s="222"/>
      <c r="F2820" s="702"/>
    </row>
    <row r="2821">
      <c r="C2821" s="703"/>
      <c r="E2821" s="222"/>
      <c r="F2821" s="702"/>
    </row>
    <row r="2822">
      <c r="C2822" s="703"/>
      <c r="E2822" s="222"/>
      <c r="F2822" s="702"/>
    </row>
    <row r="2823">
      <c r="C2823" s="703"/>
      <c r="E2823" s="222"/>
      <c r="F2823" s="702"/>
    </row>
    <row r="2824">
      <c r="C2824" s="703"/>
      <c r="E2824" s="222"/>
      <c r="F2824" s="702"/>
    </row>
    <row r="2825">
      <c r="C2825" s="703"/>
      <c r="E2825" s="222"/>
      <c r="F2825" s="702"/>
    </row>
    <row r="2826">
      <c r="C2826" s="703"/>
      <c r="E2826" s="222"/>
      <c r="F2826" s="702"/>
    </row>
    <row r="2827">
      <c r="C2827" s="703"/>
      <c r="E2827" s="222"/>
      <c r="F2827" s="702"/>
    </row>
    <row r="2828">
      <c r="C2828" s="703"/>
      <c r="E2828" s="222"/>
      <c r="F2828" s="702"/>
    </row>
    <row r="2829">
      <c r="C2829" s="703"/>
      <c r="E2829" s="222"/>
      <c r="F2829" s="702"/>
    </row>
    <row r="2830">
      <c r="C2830" s="703"/>
      <c r="E2830" s="222"/>
      <c r="F2830" s="702"/>
    </row>
    <row r="2831">
      <c r="C2831" s="703"/>
      <c r="E2831" s="222"/>
      <c r="F2831" s="702"/>
    </row>
    <row r="2832">
      <c r="C2832" s="703"/>
      <c r="E2832" s="222"/>
      <c r="F2832" s="702"/>
    </row>
    <row r="2833">
      <c r="C2833" s="703"/>
      <c r="E2833" s="222"/>
      <c r="F2833" s="702"/>
    </row>
    <row r="2834">
      <c r="C2834" s="703"/>
      <c r="E2834" s="222"/>
      <c r="F2834" s="702"/>
    </row>
    <row r="2835">
      <c r="C2835" s="703"/>
      <c r="E2835" s="222"/>
      <c r="F2835" s="702"/>
    </row>
    <row r="2836">
      <c r="C2836" s="703"/>
      <c r="E2836" s="222"/>
      <c r="F2836" s="702"/>
    </row>
    <row r="2837">
      <c r="C2837" s="703"/>
      <c r="E2837" s="222"/>
      <c r="F2837" s="702"/>
    </row>
    <row r="2838">
      <c r="C2838" s="703"/>
      <c r="E2838" s="222"/>
      <c r="F2838" s="702"/>
    </row>
    <row r="2839">
      <c r="C2839" s="703"/>
      <c r="E2839" s="222"/>
      <c r="F2839" s="702"/>
    </row>
    <row r="2840">
      <c r="C2840" s="703"/>
      <c r="E2840" s="222"/>
      <c r="F2840" s="702"/>
    </row>
    <row r="2841">
      <c r="C2841" s="703"/>
      <c r="E2841" s="222"/>
      <c r="F2841" s="702"/>
    </row>
    <row r="2842">
      <c r="C2842" s="703"/>
      <c r="E2842" s="222"/>
      <c r="F2842" s="702"/>
    </row>
    <row r="2843">
      <c r="C2843" s="703"/>
      <c r="E2843" s="222"/>
      <c r="F2843" s="702"/>
    </row>
    <row r="2844">
      <c r="C2844" s="703"/>
      <c r="E2844" s="222"/>
      <c r="F2844" s="702"/>
    </row>
    <row r="2845">
      <c r="C2845" s="703"/>
      <c r="E2845" s="222"/>
      <c r="F2845" s="702"/>
    </row>
    <row r="2846">
      <c r="C2846" s="703"/>
      <c r="E2846" s="222"/>
      <c r="F2846" s="702"/>
    </row>
    <row r="2847">
      <c r="C2847" s="703"/>
      <c r="E2847" s="222"/>
      <c r="F2847" s="702"/>
    </row>
    <row r="2848">
      <c r="C2848" s="703"/>
      <c r="E2848" s="222"/>
      <c r="F2848" s="702"/>
    </row>
    <row r="2849">
      <c r="C2849" s="703"/>
      <c r="E2849" s="222"/>
      <c r="F2849" s="702"/>
    </row>
    <row r="2850">
      <c r="C2850" s="703"/>
      <c r="E2850" s="222"/>
      <c r="F2850" s="702"/>
    </row>
    <row r="2851">
      <c r="C2851" s="703"/>
      <c r="E2851" s="222"/>
      <c r="F2851" s="702"/>
    </row>
    <row r="2852">
      <c r="C2852" s="703"/>
      <c r="E2852" s="222"/>
      <c r="F2852" s="702"/>
    </row>
    <row r="2853">
      <c r="C2853" s="703"/>
      <c r="E2853" s="222"/>
      <c r="F2853" s="702"/>
    </row>
    <row r="2854">
      <c r="C2854" s="703"/>
      <c r="E2854" s="222"/>
      <c r="F2854" s="702"/>
    </row>
    <row r="2855">
      <c r="C2855" s="703"/>
      <c r="E2855" s="222"/>
      <c r="F2855" s="702"/>
    </row>
    <row r="2856">
      <c r="C2856" s="703"/>
      <c r="E2856" s="222"/>
      <c r="F2856" s="702"/>
    </row>
    <row r="2857">
      <c r="C2857" s="703"/>
      <c r="E2857" s="222"/>
      <c r="F2857" s="702"/>
    </row>
    <row r="2858">
      <c r="C2858" s="703"/>
      <c r="E2858" s="222"/>
      <c r="F2858" s="702"/>
    </row>
    <row r="2859">
      <c r="C2859" s="703"/>
      <c r="E2859" s="222"/>
      <c r="F2859" s="702"/>
    </row>
    <row r="2860">
      <c r="C2860" s="703"/>
      <c r="E2860" s="222"/>
      <c r="F2860" s="702"/>
    </row>
    <row r="2861">
      <c r="C2861" s="703"/>
      <c r="E2861" s="222"/>
      <c r="F2861" s="702"/>
    </row>
    <row r="2862">
      <c r="C2862" s="703"/>
      <c r="E2862" s="222"/>
      <c r="F2862" s="702"/>
    </row>
    <row r="2863">
      <c r="C2863" s="703"/>
      <c r="E2863" s="222"/>
      <c r="F2863" s="702"/>
    </row>
    <row r="2864">
      <c r="C2864" s="703"/>
      <c r="E2864" s="222"/>
      <c r="F2864" s="702"/>
    </row>
    <row r="2865">
      <c r="C2865" s="703"/>
      <c r="E2865" s="222"/>
      <c r="F2865" s="702"/>
    </row>
    <row r="2866">
      <c r="C2866" s="703"/>
      <c r="E2866" s="222"/>
      <c r="F2866" s="702"/>
    </row>
    <row r="2867">
      <c r="C2867" s="703"/>
      <c r="E2867" s="222"/>
      <c r="F2867" s="702"/>
    </row>
    <row r="2868">
      <c r="C2868" s="703"/>
      <c r="E2868" s="222"/>
      <c r="F2868" s="702"/>
    </row>
    <row r="2869">
      <c r="C2869" s="703"/>
      <c r="E2869" s="222"/>
      <c r="F2869" s="702"/>
    </row>
    <row r="2870">
      <c r="C2870" s="703"/>
      <c r="E2870" s="222"/>
      <c r="F2870" s="702"/>
    </row>
    <row r="2871">
      <c r="C2871" s="703"/>
      <c r="E2871" s="222"/>
      <c r="F2871" s="702"/>
    </row>
    <row r="2872">
      <c r="C2872" s="703"/>
      <c r="E2872" s="222"/>
      <c r="F2872" s="702"/>
    </row>
    <row r="2873">
      <c r="C2873" s="703"/>
      <c r="E2873" s="222"/>
      <c r="F2873" s="702"/>
    </row>
    <row r="2874">
      <c r="C2874" s="703"/>
      <c r="E2874" s="222"/>
      <c r="F2874" s="702"/>
    </row>
    <row r="2875">
      <c r="C2875" s="703"/>
      <c r="E2875" s="222"/>
      <c r="F2875" s="702"/>
    </row>
    <row r="2876">
      <c r="C2876" s="703"/>
      <c r="E2876" s="222"/>
      <c r="F2876" s="702"/>
    </row>
    <row r="2877">
      <c r="C2877" s="703"/>
      <c r="E2877" s="222"/>
      <c r="F2877" s="702"/>
    </row>
    <row r="2878">
      <c r="C2878" s="703"/>
      <c r="E2878" s="222"/>
      <c r="F2878" s="702"/>
    </row>
    <row r="2879">
      <c r="C2879" s="703"/>
      <c r="E2879" s="222"/>
      <c r="F2879" s="702"/>
    </row>
    <row r="2880">
      <c r="C2880" s="703"/>
      <c r="E2880" s="222"/>
      <c r="F2880" s="702"/>
    </row>
    <row r="2881">
      <c r="C2881" s="703"/>
      <c r="E2881" s="222"/>
      <c r="F2881" s="702"/>
    </row>
    <row r="2882">
      <c r="C2882" s="703"/>
      <c r="E2882" s="222"/>
      <c r="F2882" s="702"/>
    </row>
    <row r="2883">
      <c r="C2883" s="703"/>
      <c r="E2883" s="222"/>
      <c r="F2883" s="702"/>
    </row>
    <row r="2884">
      <c r="C2884" s="703"/>
      <c r="E2884" s="222"/>
      <c r="F2884" s="702"/>
    </row>
    <row r="2885">
      <c r="C2885" s="703"/>
      <c r="E2885" s="222"/>
      <c r="F2885" s="702"/>
    </row>
    <row r="2886">
      <c r="C2886" s="703"/>
      <c r="E2886" s="222"/>
      <c r="F2886" s="702"/>
    </row>
    <row r="2887">
      <c r="C2887" s="703"/>
      <c r="E2887" s="222"/>
      <c r="F2887" s="702"/>
    </row>
    <row r="2888">
      <c r="C2888" s="703"/>
      <c r="E2888" s="222"/>
      <c r="F2888" s="702"/>
    </row>
    <row r="2889">
      <c r="C2889" s="703"/>
      <c r="E2889" s="222"/>
      <c r="F2889" s="702"/>
    </row>
    <row r="2890">
      <c r="C2890" s="703"/>
      <c r="E2890" s="222"/>
      <c r="F2890" s="702"/>
    </row>
    <row r="2891">
      <c r="C2891" s="703"/>
      <c r="E2891" s="222"/>
      <c r="F2891" s="702"/>
    </row>
    <row r="2892">
      <c r="C2892" s="703"/>
      <c r="E2892" s="222"/>
      <c r="F2892" s="702"/>
    </row>
    <row r="2893">
      <c r="C2893" s="703"/>
      <c r="E2893" s="222"/>
      <c r="F2893" s="702"/>
    </row>
    <row r="2894">
      <c r="C2894" s="703"/>
      <c r="E2894" s="222"/>
      <c r="F2894" s="702"/>
    </row>
    <row r="2895">
      <c r="C2895" s="703"/>
      <c r="E2895" s="222"/>
      <c r="F2895" s="702"/>
    </row>
    <row r="2896">
      <c r="C2896" s="703"/>
      <c r="E2896" s="222"/>
      <c r="F2896" s="702"/>
    </row>
    <row r="2897">
      <c r="C2897" s="703"/>
      <c r="E2897" s="222"/>
      <c r="F2897" s="702"/>
    </row>
    <row r="2898">
      <c r="C2898" s="703"/>
      <c r="E2898" s="222"/>
      <c r="F2898" s="702"/>
    </row>
    <row r="2899">
      <c r="C2899" s="703"/>
      <c r="E2899" s="222"/>
      <c r="F2899" s="702"/>
    </row>
    <row r="2900">
      <c r="C2900" s="703"/>
      <c r="E2900" s="222"/>
      <c r="F2900" s="702"/>
    </row>
    <row r="2901">
      <c r="C2901" s="703"/>
      <c r="E2901" s="222"/>
      <c r="F2901" s="702"/>
    </row>
    <row r="2902">
      <c r="C2902" s="703"/>
      <c r="E2902" s="222"/>
      <c r="F2902" s="702"/>
    </row>
    <row r="2903">
      <c r="C2903" s="703"/>
      <c r="E2903" s="222"/>
      <c r="F2903" s="702"/>
    </row>
    <row r="2904">
      <c r="C2904" s="703"/>
      <c r="E2904" s="222"/>
      <c r="F2904" s="702"/>
    </row>
    <row r="2905">
      <c r="C2905" s="703"/>
      <c r="E2905" s="222"/>
      <c r="F2905" s="702"/>
    </row>
    <row r="2906">
      <c r="C2906" s="703"/>
      <c r="E2906" s="222"/>
      <c r="F2906" s="702"/>
    </row>
    <row r="2907">
      <c r="C2907" s="703"/>
      <c r="E2907" s="222"/>
      <c r="F2907" s="702"/>
    </row>
    <row r="2908">
      <c r="C2908" s="703"/>
      <c r="E2908" s="222"/>
      <c r="F2908" s="702"/>
    </row>
    <row r="2909">
      <c r="C2909" s="703"/>
      <c r="E2909" s="222"/>
      <c r="F2909" s="702"/>
    </row>
    <row r="2910">
      <c r="C2910" s="703"/>
      <c r="E2910" s="222"/>
      <c r="F2910" s="702"/>
    </row>
    <row r="2911">
      <c r="C2911" s="703"/>
      <c r="E2911" s="222"/>
      <c r="F2911" s="702"/>
    </row>
    <row r="2912">
      <c r="C2912" s="703"/>
      <c r="E2912" s="222"/>
      <c r="F2912" s="702"/>
    </row>
    <row r="2913">
      <c r="C2913" s="703"/>
      <c r="E2913" s="222"/>
      <c r="F2913" s="702"/>
    </row>
    <row r="2914">
      <c r="C2914" s="703"/>
      <c r="E2914" s="222"/>
      <c r="F2914" s="702"/>
    </row>
    <row r="2915">
      <c r="C2915" s="703"/>
      <c r="E2915" s="222"/>
      <c r="F2915" s="702"/>
    </row>
    <row r="2916">
      <c r="C2916" s="703"/>
      <c r="E2916" s="222"/>
      <c r="F2916" s="702"/>
    </row>
    <row r="2917">
      <c r="C2917" s="703"/>
      <c r="E2917" s="222"/>
      <c r="F2917" s="702"/>
    </row>
    <row r="2918">
      <c r="C2918" s="703"/>
      <c r="E2918" s="222"/>
      <c r="F2918" s="702"/>
    </row>
    <row r="2919">
      <c r="C2919" s="703"/>
      <c r="E2919" s="222"/>
      <c r="F2919" s="702"/>
    </row>
    <row r="2920">
      <c r="C2920" s="703"/>
      <c r="E2920" s="222"/>
      <c r="F2920" s="702"/>
    </row>
    <row r="2921">
      <c r="C2921" s="703"/>
      <c r="E2921" s="222"/>
      <c r="F2921" s="702"/>
    </row>
    <row r="2922">
      <c r="C2922" s="703"/>
      <c r="E2922" s="222"/>
      <c r="F2922" s="702"/>
    </row>
    <row r="2923">
      <c r="C2923" s="703"/>
      <c r="E2923" s="222"/>
      <c r="F2923" s="702"/>
    </row>
    <row r="2924">
      <c r="C2924" s="703"/>
      <c r="E2924" s="222"/>
      <c r="F2924" s="702"/>
    </row>
    <row r="2925">
      <c r="C2925" s="703"/>
      <c r="E2925" s="222"/>
      <c r="F2925" s="702"/>
    </row>
    <row r="2926">
      <c r="C2926" s="703"/>
      <c r="E2926" s="222"/>
      <c r="F2926" s="702"/>
    </row>
    <row r="2927">
      <c r="C2927" s="703"/>
      <c r="E2927" s="222"/>
      <c r="F2927" s="702"/>
    </row>
    <row r="2928">
      <c r="C2928" s="703"/>
      <c r="E2928" s="222"/>
      <c r="F2928" s="702"/>
    </row>
    <row r="2929">
      <c r="C2929" s="703"/>
      <c r="E2929" s="222"/>
      <c r="F2929" s="702"/>
    </row>
    <row r="2930">
      <c r="C2930" s="703"/>
      <c r="E2930" s="222"/>
      <c r="F2930" s="702"/>
    </row>
    <row r="2931">
      <c r="C2931" s="703"/>
      <c r="E2931" s="222"/>
      <c r="F2931" s="702"/>
    </row>
    <row r="2932">
      <c r="C2932" s="703"/>
      <c r="E2932" s="222"/>
      <c r="F2932" s="702"/>
    </row>
    <row r="2933">
      <c r="C2933" s="703"/>
      <c r="E2933" s="222"/>
      <c r="F2933" s="702"/>
    </row>
    <row r="2934">
      <c r="C2934" s="703"/>
      <c r="E2934" s="222"/>
      <c r="F2934" s="702"/>
    </row>
    <row r="2935">
      <c r="C2935" s="703"/>
      <c r="E2935" s="222"/>
      <c r="F2935" s="702"/>
    </row>
    <row r="2936">
      <c r="C2936" s="703"/>
      <c r="E2936" s="222"/>
      <c r="F2936" s="702"/>
    </row>
    <row r="2937">
      <c r="C2937" s="703"/>
      <c r="E2937" s="222"/>
      <c r="F2937" s="702"/>
    </row>
    <row r="2938">
      <c r="C2938" s="703"/>
      <c r="E2938" s="222"/>
      <c r="F2938" s="702"/>
    </row>
    <row r="2939">
      <c r="C2939" s="703"/>
      <c r="E2939" s="222"/>
      <c r="F2939" s="702"/>
    </row>
    <row r="2940">
      <c r="C2940" s="703"/>
      <c r="E2940" s="222"/>
      <c r="F2940" s="702"/>
    </row>
    <row r="2941">
      <c r="C2941" s="703"/>
      <c r="E2941" s="222"/>
      <c r="F2941" s="702"/>
    </row>
    <row r="2942">
      <c r="C2942" s="703"/>
      <c r="E2942" s="222"/>
      <c r="F2942" s="702"/>
    </row>
    <row r="2943">
      <c r="C2943" s="703"/>
      <c r="E2943" s="222"/>
      <c r="F2943" s="702"/>
    </row>
    <row r="2944">
      <c r="C2944" s="703"/>
      <c r="E2944" s="222"/>
      <c r="F2944" s="702"/>
    </row>
    <row r="2945">
      <c r="C2945" s="703"/>
      <c r="E2945" s="222"/>
      <c r="F2945" s="702"/>
    </row>
    <row r="2946">
      <c r="C2946" s="703"/>
      <c r="E2946" s="222"/>
      <c r="F2946" s="702"/>
    </row>
    <row r="2947">
      <c r="C2947" s="703"/>
      <c r="E2947" s="222"/>
      <c r="F2947" s="702"/>
    </row>
    <row r="2948">
      <c r="C2948" s="703"/>
      <c r="E2948" s="222"/>
      <c r="F2948" s="702"/>
    </row>
    <row r="2949">
      <c r="C2949" s="703"/>
      <c r="E2949" s="222"/>
      <c r="F2949" s="702"/>
    </row>
    <row r="2950">
      <c r="C2950" s="703"/>
      <c r="E2950" s="222"/>
      <c r="F2950" s="702"/>
    </row>
    <row r="2951">
      <c r="C2951" s="703"/>
      <c r="E2951" s="222"/>
      <c r="F2951" s="702"/>
    </row>
    <row r="2952">
      <c r="C2952" s="703"/>
      <c r="E2952" s="222"/>
      <c r="F2952" s="702"/>
    </row>
    <row r="2953">
      <c r="C2953" s="703"/>
      <c r="E2953" s="222"/>
      <c r="F2953" s="702"/>
    </row>
    <row r="2954">
      <c r="C2954" s="703"/>
      <c r="E2954" s="222"/>
      <c r="F2954" s="702"/>
    </row>
    <row r="2955">
      <c r="C2955" s="703"/>
      <c r="E2955" s="222"/>
      <c r="F2955" s="702"/>
    </row>
    <row r="2956">
      <c r="C2956" s="703"/>
      <c r="E2956" s="222"/>
      <c r="F2956" s="702"/>
    </row>
    <row r="2957">
      <c r="C2957" s="703"/>
      <c r="E2957" s="222"/>
      <c r="F2957" s="702"/>
    </row>
    <row r="2958">
      <c r="C2958" s="703"/>
      <c r="E2958" s="222"/>
      <c r="F2958" s="702"/>
    </row>
    <row r="2959">
      <c r="C2959" s="703"/>
      <c r="E2959" s="222"/>
      <c r="F2959" s="702"/>
    </row>
    <row r="2960">
      <c r="C2960" s="703"/>
      <c r="E2960" s="222"/>
      <c r="F2960" s="702"/>
    </row>
    <row r="2961">
      <c r="C2961" s="703"/>
      <c r="E2961" s="222"/>
      <c r="F2961" s="702"/>
    </row>
    <row r="2962">
      <c r="C2962" s="703"/>
      <c r="E2962" s="222"/>
      <c r="F2962" s="702"/>
    </row>
    <row r="2963">
      <c r="C2963" s="703"/>
      <c r="E2963" s="222"/>
      <c r="F2963" s="702"/>
    </row>
    <row r="2964">
      <c r="C2964" s="703"/>
      <c r="E2964" s="222"/>
      <c r="F2964" s="702"/>
    </row>
    <row r="2965">
      <c r="C2965" s="703"/>
      <c r="E2965" s="222"/>
      <c r="F2965" s="702"/>
    </row>
    <row r="2966">
      <c r="C2966" s="703"/>
      <c r="E2966" s="222"/>
      <c r="F2966" s="702"/>
    </row>
    <row r="2967">
      <c r="C2967" s="703"/>
      <c r="E2967" s="222"/>
      <c r="F2967" s="702"/>
    </row>
    <row r="2968">
      <c r="C2968" s="703"/>
      <c r="E2968" s="222"/>
      <c r="F2968" s="702"/>
    </row>
    <row r="2969">
      <c r="C2969" s="703"/>
      <c r="E2969" s="222"/>
      <c r="F2969" s="702"/>
    </row>
    <row r="2970">
      <c r="C2970" s="703"/>
      <c r="E2970" s="222"/>
      <c r="F2970" s="702"/>
    </row>
    <row r="2971">
      <c r="C2971" s="703"/>
      <c r="E2971" s="222"/>
      <c r="F2971" s="702"/>
    </row>
    <row r="2972">
      <c r="C2972" s="703"/>
      <c r="E2972" s="222"/>
      <c r="F2972" s="702"/>
    </row>
    <row r="2973">
      <c r="C2973" s="703"/>
      <c r="E2973" s="222"/>
      <c r="F2973" s="702"/>
    </row>
    <row r="2974">
      <c r="C2974" s="703"/>
      <c r="E2974" s="222"/>
      <c r="F2974" s="702"/>
    </row>
    <row r="2975">
      <c r="C2975" s="703"/>
      <c r="E2975" s="222"/>
      <c r="F2975" s="702"/>
    </row>
    <row r="2976">
      <c r="C2976" s="703"/>
      <c r="E2976" s="222"/>
      <c r="F2976" s="702"/>
    </row>
    <row r="2977">
      <c r="C2977" s="703"/>
      <c r="E2977" s="222"/>
      <c r="F2977" s="702"/>
    </row>
    <row r="2978">
      <c r="C2978" s="703"/>
      <c r="E2978" s="222"/>
      <c r="F2978" s="702"/>
    </row>
    <row r="2979">
      <c r="C2979" s="703"/>
      <c r="E2979" s="222"/>
      <c r="F2979" s="702"/>
    </row>
    <row r="2980">
      <c r="C2980" s="703"/>
      <c r="E2980" s="222"/>
      <c r="F2980" s="702"/>
    </row>
    <row r="2981">
      <c r="C2981" s="703"/>
      <c r="E2981" s="222"/>
      <c r="F2981" s="702"/>
    </row>
    <row r="2982">
      <c r="C2982" s="703"/>
      <c r="E2982" s="222"/>
      <c r="F2982" s="702"/>
    </row>
    <row r="2983">
      <c r="C2983" s="703"/>
      <c r="E2983" s="222"/>
      <c r="F2983" s="702"/>
    </row>
    <row r="2984">
      <c r="C2984" s="703"/>
      <c r="E2984" s="222"/>
      <c r="F2984" s="702"/>
    </row>
    <row r="2985">
      <c r="C2985" s="703"/>
      <c r="E2985" s="222"/>
      <c r="F2985" s="702"/>
    </row>
    <row r="2986">
      <c r="C2986" s="703"/>
      <c r="E2986" s="222"/>
      <c r="F2986" s="702"/>
    </row>
    <row r="2987">
      <c r="C2987" s="703"/>
      <c r="E2987" s="222"/>
      <c r="F2987" s="702"/>
    </row>
    <row r="2988">
      <c r="C2988" s="703"/>
      <c r="E2988" s="222"/>
      <c r="F2988" s="702"/>
    </row>
    <row r="2989">
      <c r="C2989" s="703"/>
      <c r="E2989" s="222"/>
      <c r="F2989" s="702"/>
    </row>
    <row r="2990">
      <c r="C2990" s="703"/>
      <c r="E2990" s="222"/>
      <c r="F2990" s="702"/>
    </row>
  </sheetData>
  <mergeCells count="1">
    <mergeCell ref="A1:F1"/>
  </mergeCells>
  <conditionalFormatting sqref="C2:F2990">
    <cfRule type="expression" dxfId="4" priority="1">
      <formula>$C2=TRUE</formula>
    </cfRule>
  </conditionalFormatting>
  <conditionalFormatting sqref="C2:C2990">
    <cfRule type="expression" dxfId="5" priority="2">
      <formula>$F2="Description"</formula>
    </cfRule>
  </conditionalFormatting>
  <conditionalFormatting sqref="C2:F2990">
    <cfRule type="expression" dxfId="6" priority="3">
      <formula>$F2="Description"</formula>
    </cfRule>
  </conditionalFormatting>
  <drawing r:id="rId1"/>
</worksheet>
</file>