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arnet\Desktop\"/>
    </mc:Choice>
  </mc:AlternateContent>
  <bookViews>
    <workbookView xWindow="0" yWindow="0" windowWidth="28800" windowHeight="12000"/>
  </bookViews>
  <sheets>
    <sheet name="Feuil1" sheetId="1" r:id="rId1"/>
  </sheets>
  <definedNames>
    <definedName name="_1H">Feuil1!$P$3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6" i="1" l="1"/>
  <c r="M125" i="1"/>
  <c r="M124" i="1"/>
  <c r="M123" i="1"/>
  <c r="M122" i="1"/>
  <c r="M121" i="1"/>
  <c r="M120" i="1"/>
  <c r="L119" i="1"/>
  <c r="K119" i="1"/>
  <c r="J119" i="1"/>
  <c r="M119" i="1" s="1"/>
  <c r="I119" i="1"/>
  <c r="H119" i="1"/>
  <c r="L118" i="1"/>
  <c r="K118" i="1"/>
  <c r="J118" i="1"/>
  <c r="M118" i="1" s="1"/>
  <c r="I118" i="1"/>
  <c r="H118" i="1"/>
  <c r="L117" i="1"/>
  <c r="K117" i="1"/>
  <c r="J117" i="1"/>
  <c r="M117" i="1" s="1"/>
  <c r="I117" i="1"/>
  <c r="H117" i="1"/>
  <c r="L116" i="1"/>
  <c r="K116" i="1"/>
  <c r="J116" i="1"/>
  <c r="M116" i="1" s="1"/>
  <c r="I116" i="1"/>
  <c r="H116" i="1"/>
  <c r="L115" i="1"/>
  <c r="K115" i="1"/>
  <c r="J115" i="1"/>
  <c r="M115" i="1" s="1"/>
  <c r="I115" i="1"/>
  <c r="H115" i="1"/>
  <c r="L114" i="1"/>
  <c r="K114" i="1"/>
  <c r="J114" i="1"/>
  <c r="M114" i="1" s="1"/>
  <c r="I114" i="1"/>
  <c r="H114" i="1"/>
  <c r="L113" i="1"/>
  <c r="K113" i="1"/>
  <c r="J113" i="1"/>
  <c r="M113" i="1" s="1"/>
  <c r="I113" i="1"/>
  <c r="H113" i="1"/>
  <c r="L112" i="1"/>
  <c r="K112" i="1"/>
  <c r="J112" i="1"/>
  <c r="M112" i="1" s="1"/>
  <c r="I112" i="1"/>
  <c r="H112" i="1"/>
  <c r="L111" i="1"/>
  <c r="K111" i="1"/>
  <c r="M111" i="1" s="1"/>
  <c r="N111" i="1" s="1"/>
  <c r="J111" i="1"/>
  <c r="H111" i="1"/>
  <c r="L110" i="1"/>
  <c r="K110" i="1"/>
  <c r="M110" i="1" s="1"/>
  <c r="N110" i="1" s="1"/>
  <c r="J110" i="1"/>
  <c r="H110" i="1"/>
  <c r="L109" i="1"/>
  <c r="K109" i="1"/>
  <c r="M109" i="1" s="1"/>
  <c r="N109" i="1" s="1"/>
  <c r="J109" i="1"/>
  <c r="I109" i="1"/>
  <c r="H109" i="1"/>
  <c r="L108" i="1"/>
  <c r="M108" i="1" s="1"/>
  <c r="N108" i="1" s="1"/>
  <c r="K108" i="1"/>
  <c r="J108" i="1"/>
  <c r="I108" i="1"/>
  <c r="H108" i="1"/>
  <c r="L107" i="1"/>
  <c r="M107" i="1" s="1"/>
  <c r="K107" i="1"/>
  <c r="J107" i="1"/>
  <c r="I107" i="1"/>
  <c r="H107" i="1"/>
  <c r="M106" i="1"/>
  <c r="N106" i="1" s="1"/>
  <c r="L106" i="1"/>
  <c r="K106" i="1"/>
  <c r="J106" i="1"/>
  <c r="H106" i="1"/>
  <c r="M105" i="1"/>
  <c r="N105" i="1" s="1"/>
  <c r="L105" i="1"/>
  <c r="K105" i="1"/>
  <c r="J105" i="1"/>
  <c r="H105" i="1"/>
  <c r="L104" i="1"/>
  <c r="M104" i="1" s="1"/>
  <c r="K104" i="1"/>
  <c r="J104" i="1"/>
  <c r="I104" i="1"/>
  <c r="H104" i="1"/>
  <c r="L103" i="1"/>
  <c r="M103" i="1" s="1"/>
  <c r="K103" i="1"/>
  <c r="J103" i="1"/>
  <c r="I103" i="1"/>
  <c r="H103" i="1"/>
  <c r="L102" i="1"/>
  <c r="M102" i="1" s="1"/>
  <c r="K102" i="1"/>
  <c r="J102" i="1"/>
  <c r="I102" i="1"/>
  <c r="H102" i="1"/>
  <c r="L101" i="1"/>
  <c r="M101" i="1" s="1"/>
  <c r="K101" i="1"/>
  <c r="J101" i="1"/>
  <c r="I101" i="1"/>
  <c r="H101" i="1"/>
  <c r="L100" i="1"/>
  <c r="M100" i="1" s="1"/>
  <c r="K100" i="1"/>
  <c r="J100" i="1"/>
  <c r="I100" i="1"/>
  <c r="H100" i="1"/>
  <c r="L99" i="1"/>
  <c r="M99" i="1" s="1"/>
  <c r="K99" i="1"/>
  <c r="J99" i="1"/>
  <c r="I99" i="1"/>
  <c r="H99" i="1"/>
  <c r="L98" i="1"/>
  <c r="M98" i="1" s="1"/>
  <c r="K98" i="1"/>
  <c r="J98" i="1"/>
  <c r="I98" i="1"/>
  <c r="H98" i="1"/>
  <c r="L97" i="1"/>
  <c r="M97" i="1" s="1"/>
  <c r="K97" i="1"/>
  <c r="J97" i="1"/>
  <c r="I97" i="1"/>
  <c r="H97" i="1"/>
  <c r="L96" i="1"/>
  <c r="M96" i="1" s="1"/>
  <c r="K96" i="1"/>
  <c r="J96" i="1"/>
  <c r="I96" i="1"/>
  <c r="H96" i="1"/>
  <c r="M95" i="1"/>
  <c r="N95" i="1" s="1"/>
  <c r="L95" i="1"/>
  <c r="K95" i="1"/>
  <c r="J95" i="1"/>
  <c r="H95" i="1"/>
  <c r="M94" i="1"/>
  <c r="N94" i="1" s="1"/>
  <c r="L94" i="1"/>
  <c r="K94" i="1"/>
  <c r="J94" i="1"/>
  <c r="H94" i="1"/>
  <c r="L93" i="1"/>
  <c r="M93" i="1" s="1"/>
  <c r="K93" i="1"/>
  <c r="J93" i="1"/>
  <c r="I93" i="1"/>
  <c r="H93" i="1"/>
  <c r="L92" i="1"/>
  <c r="M92" i="1" s="1"/>
  <c r="K92" i="1"/>
  <c r="J92" i="1"/>
  <c r="I92" i="1"/>
  <c r="H92" i="1"/>
  <c r="M91" i="1"/>
  <c r="N91" i="1" s="1"/>
  <c r="L91" i="1"/>
  <c r="K91" i="1"/>
  <c r="J91" i="1"/>
  <c r="L90" i="1"/>
  <c r="M90" i="1" s="1"/>
  <c r="N90" i="1" s="1"/>
  <c r="K90" i="1"/>
  <c r="J90" i="1"/>
  <c r="I90" i="1"/>
  <c r="H90" i="1"/>
  <c r="L89" i="1"/>
  <c r="M89" i="1" s="1"/>
  <c r="K89" i="1"/>
  <c r="J89" i="1"/>
  <c r="I89" i="1"/>
  <c r="H89" i="1"/>
  <c r="L88" i="1"/>
  <c r="M88" i="1" s="1"/>
  <c r="K88" i="1"/>
  <c r="J88" i="1"/>
  <c r="I88" i="1"/>
  <c r="H88" i="1"/>
  <c r="M87" i="1"/>
  <c r="N87" i="1" s="1"/>
  <c r="L87" i="1"/>
  <c r="K87" i="1"/>
  <c r="J87" i="1"/>
  <c r="H87" i="1"/>
  <c r="M86" i="1"/>
  <c r="N86" i="1" s="1"/>
  <c r="L86" i="1"/>
  <c r="K86" i="1"/>
  <c r="J86" i="1"/>
  <c r="H86" i="1"/>
  <c r="M85" i="1"/>
  <c r="N85" i="1" s="1"/>
  <c r="L85" i="1"/>
  <c r="K85" i="1"/>
  <c r="J85" i="1"/>
  <c r="H85" i="1"/>
  <c r="M84" i="1"/>
  <c r="N84" i="1" s="1"/>
  <c r="L84" i="1"/>
  <c r="K84" i="1"/>
  <c r="J84" i="1"/>
  <c r="H84" i="1"/>
  <c r="L83" i="1"/>
  <c r="K83" i="1"/>
  <c r="J83" i="1"/>
  <c r="M83" i="1" s="1"/>
  <c r="N83" i="1" s="1"/>
  <c r="L82" i="1"/>
  <c r="K82" i="1"/>
  <c r="M82" i="1" s="1"/>
  <c r="J82" i="1"/>
  <c r="I82" i="1"/>
  <c r="H82" i="1"/>
  <c r="L81" i="1"/>
  <c r="K81" i="1"/>
  <c r="M81" i="1" s="1"/>
  <c r="J81" i="1"/>
  <c r="I81" i="1"/>
  <c r="H81" i="1"/>
  <c r="L80" i="1"/>
  <c r="K80" i="1"/>
  <c r="M80" i="1" s="1"/>
  <c r="J80" i="1"/>
  <c r="I80" i="1"/>
  <c r="H80" i="1"/>
  <c r="L79" i="1"/>
  <c r="K79" i="1"/>
  <c r="M79" i="1" s="1"/>
  <c r="J79" i="1"/>
  <c r="I79" i="1"/>
  <c r="H79" i="1"/>
  <c r="L78" i="1"/>
  <c r="K78" i="1"/>
  <c r="M78" i="1" s="1"/>
  <c r="J78" i="1"/>
  <c r="I78" i="1"/>
  <c r="H78" i="1"/>
  <c r="L77" i="1"/>
  <c r="K77" i="1"/>
  <c r="M77" i="1" s="1"/>
  <c r="J77" i="1"/>
  <c r="I77" i="1"/>
  <c r="H77" i="1"/>
  <c r="L76" i="1"/>
  <c r="K76" i="1"/>
  <c r="M76" i="1" s="1"/>
  <c r="J76" i="1"/>
  <c r="I76" i="1"/>
  <c r="H76" i="1"/>
  <c r="L75" i="1"/>
  <c r="K75" i="1"/>
  <c r="M75" i="1" s="1"/>
  <c r="J75" i="1"/>
  <c r="I75" i="1"/>
  <c r="H75" i="1"/>
  <c r="L74" i="1"/>
  <c r="K74" i="1"/>
  <c r="M74" i="1" s="1"/>
  <c r="J74" i="1"/>
  <c r="I74" i="1"/>
  <c r="H74" i="1"/>
  <c r="L73" i="1"/>
  <c r="M73" i="1" s="1"/>
  <c r="N73" i="1" s="1"/>
  <c r="K73" i="1"/>
  <c r="J73" i="1"/>
  <c r="H73" i="1"/>
  <c r="L72" i="1"/>
  <c r="M72" i="1" s="1"/>
  <c r="N72" i="1" s="1"/>
  <c r="K72" i="1"/>
  <c r="J72" i="1"/>
  <c r="I72" i="1"/>
  <c r="H72" i="1"/>
  <c r="M71" i="1"/>
  <c r="N71" i="1" s="1"/>
  <c r="L71" i="1"/>
  <c r="K71" i="1"/>
  <c r="J71" i="1"/>
  <c r="I71" i="1"/>
  <c r="H71" i="1"/>
  <c r="L70" i="1"/>
  <c r="K70" i="1"/>
  <c r="J70" i="1"/>
  <c r="I70" i="1"/>
  <c r="H70" i="1"/>
  <c r="M70" i="1" s="1"/>
  <c r="N70" i="1" s="1"/>
  <c r="L69" i="1"/>
  <c r="K69" i="1"/>
  <c r="J69" i="1"/>
  <c r="I69" i="1"/>
  <c r="H69" i="1"/>
  <c r="M69" i="1" s="1"/>
  <c r="L68" i="1"/>
  <c r="K68" i="1"/>
  <c r="J68" i="1"/>
  <c r="H68" i="1"/>
  <c r="M68" i="1" s="1"/>
  <c r="N68" i="1" s="1"/>
  <c r="L67" i="1"/>
  <c r="K67" i="1"/>
  <c r="J67" i="1"/>
  <c r="I67" i="1"/>
  <c r="H67" i="1"/>
  <c r="M67" i="1" s="1"/>
  <c r="L66" i="1"/>
  <c r="K66" i="1"/>
  <c r="J66" i="1"/>
  <c r="H66" i="1"/>
  <c r="M66" i="1" s="1"/>
  <c r="N66" i="1" s="1"/>
  <c r="L65" i="1"/>
  <c r="K65" i="1"/>
  <c r="J65" i="1"/>
  <c r="I65" i="1"/>
  <c r="H65" i="1"/>
  <c r="M65" i="1" s="1"/>
  <c r="L64" i="1"/>
  <c r="K64" i="1"/>
  <c r="J64" i="1"/>
  <c r="H64" i="1"/>
  <c r="M64" i="1" s="1"/>
  <c r="N64" i="1" s="1"/>
  <c r="L63" i="1"/>
  <c r="K63" i="1"/>
  <c r="J63" i="1"/>
  <c r="I63" i="1"/>
  <c r="H63" i="1"/>
  <c r="M63" i="1" s="1"/>
  <c r="L62" i="1"/>
  <c r="J62" i="1"/>
  <c r="M62" i="1" s="1"/>
  <c r="N62" i="1" s="1"/>
  <c r="M61" i="1"/>
  <c r="N61" i="1" s="1"/>
  <c r="L61" i="1"/>
  <c r="K61" i="1"/>
  <c r="J61" i="1"/>
  <c r="H61" i="1"/>
  <c r="M60" i="1"/>
  <c r="N60" i="1" s="1"/>
  <c r="L60" i="1"/>
  <c r="K60" i="1"/>
  <c r="J60" i="1"/>
  <c r="H60" i="1"/>
  <c r="M59" i="1"/>
  <c r="N59" i="1" s="1"/>
  <c r="L59" i="1"/>
  <c r="K59" i="1"/>
  <c r="J59" i="1"/>
  <c r="H59" i="1"/>
  <c r="L58" i="1"/>
  <c r="M58" i="1" s="1"/>
  <c r="K58" i="1"/>
  <c r="J58" i="1"/>
  <c r="I58" i="1"/>
  <c r="H58" i="1"/>
  <c r="L57" i="1"/>
  <c r="M57" i="1" s="1"/>
  <c r="K57" i="1"/>
  <c r="J57" i="1"/>
  <c r="I57" i="1"/>
  <c r="H57" i="1"/>
  <c r="L56" i="1"/>
  <c r="M56" i="1" s="1"/>
  <c r="K56" i="1"/>
  <c r="J56" i="1"/>
  <c r="I56" i="1"/>
  <c r="H56" i="1"/>
  <c r="M55" i="1"/>
  <c r="N55" i="1" s="1"/>
  <c r="L55" i="1"/>
  <c r="K55" i="1"/>
  <c r="J55" i="1"/>
  <c r="H55" i="1"/>
  <c r="L54" i="1"/>
  <c r="M54" i="1" s="1"/>
  <c r="K54" i="1"/>
  <c r="J54" i="1"/>
  <c r="I54" i="1"/>
  <c r="H54" i="1"/>
  <c r="M53" i="1"/>
  <c r="N53" i="1" s="1"/>
  <c r="L53" i="1"/>
  <c r="K53" i="1"/>
  <c r="J53" i="1"/>
  <c r="H53" i="1"/>
  <c r="L52" i="1"/>
  <c r="M52" i="1" s="1"/>
  <c r="K52" i="1"/>
  <c r="J52" i="1"/>
  <c r="I52" i="1"/>
  <c r="H52" i="1"/>
  <c r="L51" i="1"/>
  <c r="M51" i="1" s="1"/>
  <c r="K51" i="1"/>
  <c r="J51" i="1"/>
  <c r="I51" i="1"/>
  <c r="H51" i="1"/>
  <c r="M50" i="1"/>
  <c r="N50" i="1" s="1"/>
  <c r="L50" i="1"/>
  <c r="K50" i="1"/>
  <c r="J50" i="1"/>
  <c r="H50" i="1"/>
  <c r="J49" i="1"/>
  <c r="M49" i="1" s="1"/>
  <c r="I49" i="1"/>
  <c r="H49" i="1"/>
  <c r="L48" i="1"/>
  <c r="K48" i="1"/>
  <c r="M48" i="1" s="1"/>
  <c r="N48" i="1" s="1"/>
  <c r="J48" i="1"/>
  <c r="H48" i="1"/>
  <c r="L47" i="1"/>
  <c r="K47" i="1"/>
  <c r="J47" i="1"/>
  <c r="M47" i="1" s="1"/>
  <c r="I47" i="1"/>
  <c r="H47" i="1"/>
  <c r="L46" i="1"/>
  <c r="K46" i="1"/>
  <c r="M46" i="1" s="1"/>
  <c r="N46" i="1" s="1"/>
  <c r="J46" i="1"/>
  <c r="H46" i="1"/>
  <c r="L45" i="1"/>
  <c r="K45" i="1"/>
  <c r="M45" i="1" s="1"/>
  <c r="N45" i="1" s="1"/>
  <c r="J45" i="1"/>
  <c r="H45" i="1"/>
  <c r="L44" i="1"/>
  <c r="K44" i="1"/>
  <c r="J44" i="1"/>
  <c r="M44" i="1" s="1"/>
  <c r="I44" i="1"/>
  <c r="H44" i="1"/>
  <c r="L43" i="1"/>
  <c r="K43" i="1"/>
  <c r="J43" i="1"/>
  <c r="M43" i="1" s="1"/>
  <c r="I43" i="1"/>
  <c r="H43" i="1"/>
  <c r="L42" i="1"/>
  <c r="K42" i="1"/>
  <c r="J42" i="1"/>
  <c r="M42" i="1" s="1"/>
  <c r="I42" i="1"/>
  <c r="H42" i="1"/>
  <c r="L41" i="1"/>
  <c r="K41" i="1"/>
  <c r="J41" i="1"/>
  <c r="M41" i="1" s="1"/>
  <c r="I41" i="1"/>
  <c r="H41" i="1"/>
  <c r="L40" i="1"/>
  <c r="K40" i="1"/>
  <c r="J40" i="1"/>
  <c r="M40" i="1" s="1"/>
  <c r="I40" i="1"/>
  <c r="H40" i="1"/>
  <c r="L39" i="1"/>
  <c r="K39" i="1"/>
  <c r="J39" i="1"/>
  <c r="M39" i="1" s="1"/>
  <c r="I39" i="1"/>
  <c r="H39" i="1"/>
  <c r="L38" i="1"/>
  <c r="K38" i="1"/>
  <c r="M38" i="1" s="1"/>
  <c r="N38" i="1" s="1"/>
  <c r="J38" i="1"/>
  <c r="L37" i="1"/>
  <c r="K37" i="1"/>
  <c r="M37" i="1" s="1"/>
  <c r="J37" i="1"/>
  <c r="H37" i="1"/>
  <c r="L36" i="1"/>
  <c r="K36" i="1"/>
  <c r="J36" i="1"/>
  <c r="M36" i="1" s="1"/>
  <c r="I36" i="1"/>
  <c r="H36" i="1"/>
  <c r="L35" i="1"/>
  <c r="K35" i="1"/>
  <c r="M35" i="1" s="1"/>
  <c r="N35" i="1" s="1"/>
  <c r="J35" i="1"/>
  <c r="I35" i="1"/>
  <c r="H35" i="1"/>
  <c r="L34" i="1"/>
  <c r="K34" i="1"/>
  <c r="M34" i="1" s="1"/>
  <c r="J34" i="1"/>
  <c r="I34" i="1"/>
  <c r="H34" i="1"/>
  <c r="L33" i="1"/>
  <c r="K33" i="1"/>
  <c r="M33" i="1" s="1"/>
  <c r="J33" i="1"/>
  <c r="I33" i="1"/>
  <c r="H33" i="1"/>
  <c r="L32" i="1"/>
  <c r="K32" i="1"/>
  <c r="M32" i="1" s="1"/>
  <c r="J32" i="1"/>
  <c r="I32" i="1"/>
  <c r="H32" i="1"/>
  <c r="L31" i="1"/>
  <c r="K31" i="1"/>
  <c r="M31" i="1" s="1"/>
  <c r="J31" i="1"/>
  <c r="I31" i="1"/>
  <c r="H31" i="1"/>
  <c r="L30" i="1"/>
  <c r="K30" i="1"/>
  <c r="M30" i="1" s="1"/>
  <c r="J30" i="1"/>
  <c r="I30" i="1"/>
  <c r="H30" i="1"/>
  <c r="L29" i="1"/>
  <c r="K29" i="1"/>
  <c r="M29" i="1" s="1"/>
  <c r="J29" i="1"/>
  <c r="I29" i="1"/>
  <c r="H29" i="1"/>
  <c r="L28" i="1"/>
  <c r="K28" i="1"/>
  <c r="M28" i="1" s="1"/>
  <c r="J28" i="1"/>
  <c r="I28" i="1"/>
  <c r="H28" i="1"/>
  <c r="L27" i="1"/>
  <c r="K27" i="1"/>
  <c r="M27" i="1" s="1"/>
  <c r="J27" i="1"/>
  <c r="I27" i="1"/>
  <c r="H27" i="1"/>
  <c r="L26" i="1"/>
  <c r="M26" i="1" s="1"/>
  <c r="N26" i="1" s="1"/>
  <c r="K26" i="1"/>
  <c r="H26" i="1"/>
  <c r="L25" i="1"/>
  <c r="K25" i="1"/>
  <c r="M25" i="1" s="1"/>
  <c r="N25" i="1" s="1"/>
  <c r="H25" i="1"/>
  <c r="O24" i="1"/>
  <c r="L24" i="1"/>
  <c r="K24" i="1"/>
  <c r="M24" i="1" s="1"/>
  <c r="N24" i="1" s="1"/>
  <c r="H24" i="1"/>
  <c r="L23" i="1"/>
  <c r="K23" i="1"/>
  <c r="J23" i="1"/>
  <c r="I23" i="1"/>
  <c r="M23" i="1" s="1"/>
  <c r="H23" i="1"/>
  <c r="L22" i="1"/>
  <c r="K22" i="1"/>
  <c r="J22" i="1"/>
  <c r="I22" i="1"/>
  <c r="M22" i="1" s="1"/>
  <c r="H22" i="1"/>
  <c r="L21" i="1"/>
  <c r="K21" i="1"/>
  <c r="J21" i="1"/>
  <c r="I21" i="1"/>
  <c r="M21" i="1" s="1"/>
  <c r="H21" i="1"/>
  <c r="L20" i="1"/>
  <c r="K20" i="1"/>
  <c r="J20" i="1"/>
  <c r="M20" i="1" s="1"/>
  <c r="N20" i="1" s="1"/>
  <c r="H20" i="1"/>
  <c r="L19" i="1"/>
  <c r="K19" i="1"/>
  <c r="J19" i="1"/>
  <c r="M19" i="1" s="1"/>
  <c r="N19" i="1" s="1"/>
  <c r="H19" i="1"/>
  <c r="L18" i="1"/>
  <c r="K18" i="1"/>
  <c r="J18" i="1"/>
  <c r="H18" i="1"/>
  <c r="M18" i="1" s="1"/>
  <c r="L17" i="1"/>
  <c r="K17" i="1"/>
  <c r="J17" i="1"/>
  <c r="H17" i="1"/>
  <c r="M17" i="1" s="1"/>
  <c r="N17" i="1" s="1"/>
  <c r="L16" i="1"/>
  <c r="K16" i="1"/>
  <c r="J16" i="1"/>
  <c r="H16" i="1"/>
  <c r="M16" i="1" s="1"/>
  <c r="N16" i="1" s="1"/>
  <c r="L15" i="1"/>
  <c r="K15" i="1"/>
  <c r="M15" i="1" s="1"/>
  <c r="J15" i="1"/>
  <c r="I15" i="1"/>
  <c r="H15" i="1"/>
  <c r="L14" i="1"/>
  <c r="M14" i="1" s="1"/>
  <c r="N14" i="1" s="1"/>
  <c r="K14" i="1"/>
  <c r="J14" i="1"/>
  <c r="I14" i="1"/>
  <c r="H14" i="1"/>
  <c r="M13" i="1"/>
  <c r="N13" i="1" s="1"/>
  <c r="L13" i="1"/>
  <c r="K13" i="1"/>
  <c r="J13" i="1"/>
  <c r="H13" i="1"/>
  <c r="M12" i="1"/>
  <c r="N12" i="1" s="1"/>
  <c r="L12" i="1"/>
  <c r="K12" i="1"/>
  <c r="J12" i="1"/>
  <c r="H12" i="1"/>
  <c r="M11" i="1"/>
  <c r="N11" i="1" s="1"/>
  <c r="L11" i="1"/>
  <c r="K11" i="1"/>
  <c r="J11" i="1"/>
  <c r="H11" i="1"/>
  <c r="M10" i="1"/>
  <c r="N10" i="1" s="1"/>
  <c r="L10" i="1"/>
  <c r="K10" i="1"/>
  <c r="J10" i="1"/>
  <c r="I10" i="1"/>
  <c r="H10" i="1"/>
  <c r="L9" i="1"/>
  <c r="K9" i="1"/>
  <c r="J9" i="1"/>
  <c r="H9" i="1"/>
  <c r="M9" i="1" s="1"/>
  <c r="N9" i="1" s="1"/>
  <c r="L8" i="1"/>
  <c r="K8" i="1"/>
  <c r="J8" i="1"/>
  <c r="I8" i="1"/>
  <c r="H8" i="1"/>
  <c r="M8" i="1" s="1"/>
  <c r="N8" i="1" s="1"/>
  <c r="L7" i="1"/>
  <c r="K7" i="1"/>
  <c r="J7" i="1"/>
  <c r="H7" i="1"/>
  <c r="M7" i="1" s="1"/>
  <c r="N7" i="1" s="1"/>
  <c r="L6" i="1"/>
  <c r="K6" i="1"/>
  <c r="J6" i="1"/>
  <c r="I6" i="1"/>
  <c r="H6" i="1"/>
  <c r="M6" i="1" s="1"/>
  <c r="L5" i="1"/>
  <c r="K5" i="1"/>
  <c r="J5" i="1"/>
  <c r="I5" i="1"/>
  <c r="H5" i="1"/>
  <c r="M5" i="1" s="1"/>
  <c r="L4" i="1"/>
  <c r="K4" i="1"/>
  <c r="J4" i="1"/>
  <c r="I4" i="1"/>
  <c r="H4" i="1"/>
  <c r="M4" i="1" s="1"/>
  <c r="L3" i="1"/>
  <c r="K3" i="1"/>
  <c r="J3" i="1"/>
  <c r="I3" i="1"/>
  <c r="H3" i="1"/>
  <c r="M3" i="1" s="1"/>
  <c r="L2" i="1"/>
  <c r="K2" i="1"/>
  <c r="J2" i="1"/>
  <c r="I2" i="1"/>
  <c r="H2" i="1"/>
  <c r="M2" i="1" s="1"/>
  <c r="N37" i="1" l="1"/>
  <c r="Q37" i="1"/>
  <c r="N15" i="1"/>
  <c r="P15" i="1"/>
  <c r="O15" i="1" s="1"/>
</calcChain>
</file>

<file path=xl/sharedStrings.xml><?xml version="1.0" encoding="utf-8"?>
<sst xmlns="http://schemas.openxmlformats.org/spreadsheetml/2006/main" count="464" uniqueCount="431">
  <si>
    <t>numéero Fahey</t>
  </si>
  <si>
    <t>nom chimique</t>
  </si>
  <si>
    <t>abréviation</t>
  </si>
  <si>
    <t>nom commun</t>
  </si>
  <si>
    <t>formule brute</t>
  </si>
  <si>
    <t>nb C</t>
  </si>
  <si>
    <t>nb H</t>
  </si>
  <si>
    <t>nb O</t>
  </si>
  <si>
    <t>nB S</t>
  </si>
  <si>
    <t>nb N</t>
  </si>
  <si>
    <t>M</t>
  </si>
  <si>
    <r>
      <t>[M-H]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9"/>
        <color theme="1"/>
        <rFont val="Calibri"/>
        <family val="2"/>
        <scheme val="minor"/>
      </rPr>
      <t>formule chimique vérifiée</t>
    </r>
  </si>
  <si>
    <t>Isotope</t>
  </si>
  <si>
    <t>Masse atomique</t>
  </si>
  <si>
    <t>Aliphatic Straight Chain</t>
  </si>
  <si>
    <t>methyl</t>
  </si>
  <si>
    <t>glucoapparin</t>
  </si>
  <si>
    <t>C8H14O9S2N1</t>
  </si>
  <si>
    <r>
      <t>12</t>
    </r>
    <r>
      <rPr>
        <sz val="10.45"/>
        <color theme="1"/>
        <rFont val="Calibri"/>
        <family val="2"/>
        <scheme val="minor"/>
      </rPr>
      <t>C</t>
    </r>
  </si>
  <si>
    <t>table isotopic masses (Guenot)</t>
  </si>
  <si>
    <t>ethyl</t>
  </si>
  <si>
    <t>E</t>
  </si>
  <si>
    <t>glucolepidiin</t>
  </si>
  <si>
    <t>C9H16O9S2N1</t>
  </si>
  <si>
    <r>
      <t>1</t>
    </r>
    <r>
      <rPr>
        <sz val="10.45"/>
        <color theme="1"/>
        <rFont val="Calibri"/>
        <family val="2"/>
        <scheme val="minor"/>
      </rPr>
      <t>H</t>
    </r>
  </si>
  <si>
    <t>n-propyl</t>
  </si>
  <si>
    <t>P</t>
  </si>
  <si>
    <t>C10H18O9S2N1</t>
  </si>
  <si>
    <r>
      <t>16</t>
    </r>
    <r>
      <rPr>
        <sz val="10.45"/>
        <color theme="1"/>
        <rFont val="Calibri"/>
        <family val="2"/>
        <scheme val="minor"/>
      </rPr>
      <t>O</t>
    </r>
  </si>
  <si>
    <t>n-butyl</t>
  </si>
  <si>
    <t>B</t>
  </si>
  <si>
    <t>C11H20O9S2N1</t>
  </si>
  <si>
    <r>
      <t>32</t>
    </r>
    <r>
      <rPr>
        <sz val="10.45"/>
        <color theme="1"/>
        <rFont val="Calibri"/>
        <family val="2"/>
        <scheme val="minor"/>
      </rPr>
      <t>S</t>
    </r>
  </si>
  <si>
    <t>n-pentyl</t>
  </si>
  <si>
    <t>C12H22O9S2N1</t>
  </si>
  <si>
    <r>
      <t>14</t>
    </r>
    <r>
      <rPr>
        <sz val="10.45"/>
        <color theme="1"/>
        <rFont val="Calibri"/>
        <family val="2"/>
        <scheme val="minor"/>
      </rPr>
      <t>N</t>
    </r>
  </si>
  <si>
    <t>n-hexyl</t>
  </si>
  <si>
    <t>H</t>
  </si>
  <si>
    <t>C13H25O9S2N1</t>
  </si>
  <si>
    <t>SO4(2-) (Glauser 2002)</t>
  </si>
  <si>
    <t>Aliphatic Branches Chain</t>
  </si>
  <si>
    <t>1-methylethyl</t>
  </si>
  <si>
    <t>1ME</t>
  </si>
  <si>
    <t>glucoputranjivin</t>
  </si>
  <si>
    <t>C10H199S2N1</t>
  </si>
  <si>
    <t>1-methylpropyl</t>
  </si>
  <si>
    <t>1MP</t>
  </si>
  <si>
    <t>glucocochlearin</t>
  </si>
  <si>
    <t>C11H21O9S2N1</t>
  </si>
  <si>
    <t>2-methylpropyl</t>
  </si>
  <si>
    <t>2MP</t>
  </si>
  <si>
    <t>isobutyl</t>
  </si>
  <si>
    <t>1-methylbutyl</t>
  </si>
  <si>
    <t>1MB</t>
  </si>
  <si>
    <t>C12H23O9S2N1</t>
  </si>
  <si>
    <t>2-methylbutyl</t>
  </si>
  <si>
    <t>2MB</t>
  </si>
  <si>
    <t>3-methylbutyl</t>
  </si>
  <si>
    <t>3MB</t>
  </si>
  <si>
    <t>3-methylpentyl</t>
  </si>
  <si>
    <t>3MP</t>
  </si>
  <si>
    <t>C13H24O9S2N1</t>
  </si>
  <si>
    <t>4-methylpentyl</t>
  </si>
  <si>
    <t>4MP</t>
  </si>
  <si>
    <t>2h3mPe</t>
  </si>
  <si>
    <t>Unsaturated Chain</t>
  </si>
  <si>
    <t>Straight Chain</t>
  </si>
  <si>
    <t>2-propenyl</t>
  </si>
  <si>
    <t>2P</t>
  </si>
  <si>
    <t>sinigrin</t>
  </si>
  <si>
    <t>C10H17O9S2N1</t>
  </si>
  <si>
    <t>3-butenyl</t>
  </si>
  <si>
    <t>3B</t>
  </si>
  <si>
    <t>gluconapin</t>
  </si>
  <si>
    <t>C11H19O9S2N1</t>
  </si>
  <si>
    <t>1-pentenyl</t>
  </si>
  <si>
    <t>1P</t>
  </si>
  <si>
    <t>C12H20O9S2N1</t>
  </si>
  <si>
    <t>4-pentenyl</t>
  </si>
  <si>
    <t>4P</t>
  </si>
  <si>
    <t>glucobrassicanapin</t>
  </si>
  <si>
    <t>C12H21O9S2N1</t>
  </si>
  <si>
    <t>5-hexenyl</t>
  </si>
  <si>
    <t>5H</t>
  </si>
  <si>
    <t>C13H23O9S2N1</t>
  </si>
  <si>
    <t>6-heptenyl</t>
  </si>
  <si>
    <t>6H</t>
  </si>
  <si>
    <t>C14H24O9S2N1</t>
  </si>
  <si>
    <t>Branches Chain</t>
  </si>
  <si>
    <t>2-methyl-2-propenyl</t>
  </si>
  <si>
    <t>2M2P</t>
  </si>
  <si>
    <t>C11H18O9S2N1</t>
  </si>
  <si>
    <t>3-methyl-3-butenyl</t>
  </si>
  <si>
    <t>3M3B</t>
  </si>
  <si>
    <t>Alcohols</t>
  </si>
  <si>
    <t>2(R)-hydroxy-3-butenyl</t>
  </si>
  <si>
    <t>OH-3B</t>
  </si>
  <si>
    <t>progoitrin</t>
  </si>
  <si>
    <t>C11H19O10S2N1</t>
  </si>
  <si>
    <t>2(S)-hydroxy-3-butenyl</t>
  </si>
  <si>
    <t>epiprogroitrin</t>
  </si>
  <si>
    <t>2-hydroxy-4-pentenyl</t>
  </si>
  <si>
    <t>OH-4P</t>
  </si>
  <si>
    <t>gluconapoleiferin</t>
  </si>
  <si>
    <t>C12H21O10S2N1</t>
  </si>
  <si>
    <t>Aliphatic Chain</t>
  </si>
  <si>
    <t>2-hydroxyethyl</t>
  </si>
  <si>
    <t>OH-E</t>
  </si>
  <si>
    <t>C9H16O10S2N</t>
  </si>
  <si>
    <t>3-hydroxypropyl</t>
  </si>
  <si>
    <t>OH-P</t>
  </si>
  <si>
    <t>C10H18O10S2N</t>
  </si>
  <si>
    <t>4-hydroxybutyl</t>
  </si>
  <si>
    <t>OH-B</t>
  </si>
  <si>
    <t>C11H20O10S2N</t>
  </si>
  <si>
    <t>Branched Chain</t>
  </si>
  <si>
    <t>2-hydroxypropyl</t>
  </si>
  <si>
    <t>1-methyl-2-hydroxyethyl</t>
  </si>
  <si>
    <t>OH-1ME</t>
  </si>
  <si>
    <t>glucosisymbrin</t>
  </si>
  <si>
    <t>1-hydroxymethyl-propyl</t>
  </si>
  <si>
    <t>OH-1MP</t>
  </si>
  <si>
    <t>1-ethyl-2-hydroxyethyl</t>
  </si>
  <si>
    <t>OH-1EE</t>
  </si>
  <si>
    <t>3-hydroxybutyl</t>
  </si>
  <si>
    <t>2-hydroxy-2-methylpropyl</t>
  </si>
  <si>
    <t>OH-2MP</t>
  </si>
  <si>
    <t>glucoconnringiin</t>
  </si>
  <si>
    <t>C11H21O10S2N</t>
  </si>
  <si>
    <t>2-hydroxypentyl</t>
  </si>
  <si>
    <t>C12H22O10S2N</t>
  </si>
  <si>
    <t>2-hydroxy-2-methylbutyl</t>
  </si>
  <si>
    <t>OH-2MB</t>
  </si>
  <si>
    <t>glucocleomin</t>
  </si>
  <si>
    <t>C12H23O10S2N</t>
  </si>
  <si>
    <t>2-hydroxy-3-methylpentyl</t>
  </si>
  <si>
    <t>C13H23O10S2N</t>
  </si>
  <si>
    <t>4,5,6,7-tetrahydroxydexyl</t>
  </si>
  <si>
    <t>4OH-D</t>
  </si>
  <si>
    <t>C17H32O13S2N</t>
  </si>
  <si>
    <t>Ketones</t>
  </si>
  <si>
    <t>4-oxopentyl</t>
  </si>
  <si>
    <t>O-P</t>
  </si>
  <si>
    <t>C12H20O10S2N</t>
  </si>
  <si>
    <t>4-oxohexyl</t>
  </si>
  <si>
    <t>O-H</t>
  </si>
  <si>
    <t>glucoapangulin</t>
  </si>
  <si>
    <t>C13H22O10S2N</t>
  </si>
  <si>
    <t>5-oxohexyl</t>
  </si>
  <si>
    <t>gluconorcappasalin</t>
  </si>
  <si>
    <t>5-oxoheptyl</t>
  </si>
  <si>
    <t>glucoappasalin</t>
  </si>
  <si>
    <t>C14H24O10S2N</t>
  </si>
  <si>
    <t>AlkylThioAlkyl</t>
  </si>
  <si>
    <t>Methylthio</t>
  </si>
  <si>
    <t>2-(methylthio)ethyl</t>
  </si>
  <si>
    <t>2MTE</t>
  </si>
  <si>
    <t>glucoviorylin</t>
  </si>
  <si>
    <t>C10H18O9S3N</t>
  </si>
  <si>
    <t>3-(methylthio)propyl</t>
  </si>
  <si>
    <t>3MTP</t>
  </si>
  <si>
    <t>glucoiberverin</t>
  </si>
  <si>
    <t>C11H21O9S3N</t>
  </si>
  <si>
    <t>4-(methylthio)butyl</t>
  </si>
  <si>
    <t>4MTB</t>
  </si>
  <si>
    <t>glucoerucin</t>
  </si>
  <si>
    <t>C12H23O9S3N</t>
  </si>
  <si>
    <t>4-methylthio-3-butenyl</t>
  </si>
  <si>
    <t>dehydroerucin</t>
  </si>
  <si>
    <t>C12H22O9S3N</t>
  </si>
  <si>
    <t>5-(methylthio)pentyl</t>
  </si>
  <si>
    <t>5MTP</t>
  </si>
  <si>
    <t>glucoberteroin</t>
  </si>
  <si>
    <t>C13H25O9S3N</t>
  </si>
  <si>
    <t>3-hydroxy-5-(methylthio)pentyl</t>
  </si>
  <si>
    <t>OH-5MTP</t>
  </si>
  <si>
    <t>C13H24O10S3N</t>
  </si>
  <si>
    <t>6-(methylthio)hexyl</t>
  </si>
  <si>
    <t>6MTH</t>
  </si>
  <si>
    <t>glucolesquerellin</t>
  </si>
  <si>
    <t>C14H27O9S3N</t>
  </si>
  <si>
    <t>3-hydroxy-6-(methylthio)hexyl</t>
  </si>
  <si>
    <t>OH-6MTH</t>
  </si>
  <si>
    <t>C14H26O10S2N</t>
  </si>
  <si>
    <t>6-methylthio-3-oxohexyl</t>
  </si>
  <si>
    <t>O-6MTH</t>
  </si>
  <si>
    <t>7-(methylthio)heptyl</t>
  </si>
  <si>
    <t>7MTH</t>
  </si>
  <si>
    <t>C15H28O9S3N</t>
  </si>
  <si>
    <t>7-methylthio-3-oxoheptyl</t>
  </si>
  <si>
    <t>O-7MTH</t>
  </si>
  <si>
    <t>C15H26O10S3N</t>
  </si>
  <si>
    <t>8-(methylthio)octyl</t>
  </si>
  <si>
    <t>8MTO</t>
  </si>
  <si>
    <t>C16H31O9S3N</t>
  </si>
  <si>
    <t>8-methylthio-oxooctyl</t>
  </si>
  <si>
    <t>O-8MTH</t>
  </si>
  <si>
    <t>C16H28O10S3N</t>
  </si>
  <si>
    <t>9-(methylthio)nonyl</t>
  </si>
  <si>
    <t>9MTN</t>
  </si>
  <si>
    <t>C17H32O9S3N</t>
  </si>
  <si>
    <t>10-(methylthio)decyl</t>
  </si>
  <si>
    <t>10MTD</t>
  </si>
  <si>
    <t>C18H34O9S3N</t>
  </si>
  <si>
    <t>Sulphinyl</t>
  </si>
  <si>
    <t>3-(methylsulfinyl)propyl</t>
  </si>
  <si>
    <t>3MSOP</t>
  </si>
  <si>
    <t>glucoiberin</t>
  </si>
  <si>
    <t>C11H21O10S3N</t>
  </si>
  <si>
    <t>4-(methylsulfinyl)butyl</t>
  </si>
  <si>
    <t>4MSOB</t>
  </si>
  <si>
    <t>glucoraphranin</t>
  </si>
  <si>
    <t>C12H23O10S3N</t>
  </si>
  <si>
    <t>4-methylsulfinyl-3-butenyl</t>
  </si>
  <si>
    <t>glucoraphenin</t>
  </si>
  <si>
    <t>C12H21O10S3N</t>
  </si>
  <si>
    <t>5-(methylsulfinyl)pentyl</t>
  </si>
  <si>
    <t>5MSOP</t>
  </si>
  <si>
    <t>glucoalyssin</t>
  </si>
  <si>
    <t>C13H25O10S2N</t>
  </si>
  <si>
    <t>3-hydroxy-5-(methylsulfinyl)pentyl</t>
  </si>
  <si>
    <t>OH-5MSOP</t>
  </si>
  <si>
    <t>C13H24O11S3N</t>
  </si>
  <si>
    <t>6-(methylsulfinyl)hexyl</t>
  </si>
  <si>
    <t>6MSOH</t>
  </si>
  <si>
    <t>glucohesperin</t>
  </si>
  <si>
    <t>C14H27O10S3N</t>
  </si>
  <si>
    <t>3-hydroxy-6-(methylsulfinyl)hexyl</t>
  </si>
  <si>
    <t>OH-5MSOH</t>
  </si>
  <si>
    <t>C14H26O11S3N</t>
  </si>
  <si>
    <t>7-(methylsulfinyl)heptyl</t>
  </si>
  <si>
    <t>7MSOH</t>
  </si>
  <si>
    <t>glucoibarin</t>
  </si>
  <si>
    <t>C15H29O10S3N</t>
  </si>
  <si>
    <t>7-methylsulfinyl-3-oxoheptyl</t>
  </si>
  <si>
    <t>O-7MSOH</t>
  </si>
  <si>
    <t>C15H26O11S3N</t>
  </si>
  <si>
    <t>8-(methylsulfinyl)octyl</t>
  </si>
  <si>
    <t>8MSOO</t>
  </si>
  <si>
    <t>glucohirustin</t>
  </si>
  <si>
    <t>C16H31O10S3N</t>
  </si>
  <si>
    <t>8-methylsulfinyl-3-oxooctyl</t>
  </si>
  <si>
    <t>O-8MSOO</t>
  </si>
  <si>
    <t>C16H28O11S3N</t>
  </si>
  <si>
    <t>9-(methylsulfinyl)nonyl</t>
  </si>
  <si>
    <t>9MSON</t>
  </si>
  <si>
    <t>glucoarabin</t>
  </si>
  <si>
    <t>C17H33O10S3N</t>
  </si>
  <si>
    <t>10-(methylsulfinyl)decyl</t>
  </si>
  <si>
    <t>10MSOD</t>
  </si>
  <si>
    <t>glucocamelinin</t>
  </si>
  <si>
    <t>C18H35O10S3N</t>
  </si>
  <si>
    <t>11-(methylsulfonyl)undecyl</t>
  </si>
  <si>
    <t>11MSOU</t>
  </si>
  <si>
    <t>gluconesiliapanuculatin</t>
  </si>
  <si>
    <t>C19H37O10S3N</t>
  </si>
  <si>
    <t>Sulphonyl</t>
  </si>
  <si>
    <t>3-(methylsulfonyl)propyl</t>
  </si>
  <si>
    <t>3MSOOP</t>
  </si>
  <si>
    <t>glucocheirolin</t>
  </si>
  <si>
    <t>C11H21O11S3N</t>
  </si>
  <si>
    <t>4-(methylsulfonyl)butyl</t>
  </si>
  <si>
    <t>4MSOOB</t>
  </si>
  <si>
    <t>glucoerysolin</t>
  </si>
  <si>
    <t>C12H22O11S3N</t>
  </si>
  <si>
    <t>4-methylsulfonyl-3-butenyl</t>
  </si>
  <si>
    <t>C12H20O11S3N</t>
  </si>
  <si>
    <t>5-(methylsulfonyl)pentyl</t>
  </si>
  <si>
    <t>5MSOOP</t>
  </si>
  <si>
    <t>3-hydroxy-5-(methylsulfonyl)pentyl</t>
  </si>
  <si>
    <t>OH-5MSOOP</t>
  </si>
  <si>
    <t>C13H24O12S3N</t>
  </si>
  <si>
    <t>6-(methylsulfonyl)hexyl</t>
  </si>
  <si>
    <t>6MSOOH</t>
  </si>
  <si>
    <t>3-hydroxy-6-(methylsulfonyl)hexyl</t>
  </si>
  <si>
    <t>OH-6MSOOH</t>
  </si>
  <si>
    <t>C14H26O12S3N</t>
  </si>
  <si>
    <t>8-(methylsulfonyl)octyl</t>
  </si>
  <si>
    <t>8MSOOO</t>
  </si>
  <si>
    <t>C16H30O11S3N</t>
  </si>
  <si>
    <t>9-(methylsulfonyl)nonyl</t>
  </si>
  <si>
    <t>9MSOON</t>
  </si>
  <si>
    <t>C17H32O11S3N</t>
  </si>
  <si>
    <t>10-(methylsulfonyl)decyl</t>
  </si>
  <si>
    <t>10MSOOD</t>
  </si>
  <si>
    <t>C18H34O11S3N</t>
  </si>
  <si>
    <t>Aromatic</t>
  </si>
  <si>
    <t>Phenyl</t>
  </si>
  <si>
    <t>Glucotropaeolin</t>
  </si>
  <si>
    <t>C14H19O9S2N</t>
  </si>
  <si>
    <t>Benzyl</t>
  </si>
  <si>
    <t xml:space="preserve">idem </t>
  </si>
  <si>
    <t>2-Hydroxybenzyl</t>
  </si>
  <si>
    <t>C14H19O10S2N</t>
  </si>
  <si>
    <t>3-Hydroxybenzyl</t>
  </si>
  <si>
    <t>4-Hydroxybenzyl</t>
  </si>
  <si>
    <t xml:space="preserve">Sinalbin </t>
  </si>
  <si>
    <t>3,4-Dihydroxybenzyl</t>
  </si>
  <si>
    <t>Glucomatronalin</t>
  </si>
  <si>
    <t>C14H18O11S2N</t>
  </si>
  <si>
    <t>2-Methoxybenzyl</t>
  </si>
  <si>
    <t>C14H20O10S2N</t>
  </si>
  <si>
    <t>3-Methoxybenzyl</t>
  </si>
  <si>
    <t>Glucolimnanthin</t>
  </si>
  <si>
    <t>C15H21O10S2N</t>
  </si>
  <si>
    <t>4-Methoxybenzyl</t>
  </si>
  <si>
    <t>Glucoaubrietin</t>
  </si>
  <si>
    <t>3,4-Dimethoxybenzyl</t>
  </si>
  <si>
    <t>C16H22O11S2N</t>
  </si>
  <si>
    <t>3,4,5-Trimethoxybenzyl</t>
  </si>
  <si>
    <t>C17H24O12S2N</t>
  </si>
  <si>
    <t>2-Phenylethyl</t>
  </si>
  <si>
    <t>2PE</t>
  </si>
  <si>
    <t>Gluconasturtiin</t>
  </si>
  <si>
    <t>C15H21O9S2N</t>
  </si>
  <si>
    <t>2(R)-Hydroxy-2-phenylethyl</t>
  </si>
  <si>
    <t>OH-2PE</t>
  </si>
  <si>
    <t>Glucobarbarin</t>
  </si>
  <si>
    <t>C15H20O10S2N</t>
  </si>
  <si>
    <t>2-hydroxy-2-(4-methoxyphenyl)ethyl</t>
  </si>
  <si>
    <t>C16H22O10S2N</t>
  </si>
  <si>
    <t>3-Phenylpropyl</t>
  </si>
  <si>
    <t>3PP</t>
  </si>
  <si>
    <t>C16H22O9S2N</t>
  </si>
  <si>
    <t>4-Phenylbutyl</t>
  </si>
  <si>
    <t>4PB</t>
  </si>
  <si>
    <t>C17H24O9S2N</t>
  </si>
  <si>
    <t>2,2-dimethyl-2-(4-methoxyphenyl)ethyl</t>
  </si>
  <si>
    <t>C18H26O10S2N</t>
  </si>
  <si>
    <t>Benzoate ester</t>
  </si>
  <si>
    <t>Benzoyloxymethyl</t>
  </si>
  <si>
    <t>C15H18O11S2N</t>
  </si>
  <si>
    <t>2-(Benzoyloxy)ethyl</t>
  </si>
  <si>
    <t>C16H20O11S2N</t>
  </si>
  <si>
    <t>2-Benzoyloxy-1-methylethyl</t>
  </si>
  <si>
    <t>Glucobenzosisymbrin</t>
  </si>
  <si>
    <t>C17H22O11S2N</t>
  </si>
  <si>
    <t>2-Benzoyloxy-1-ethylethyl</t>
  </si>
  <si>
    <t>Glucobenzsisaustricin</t>
  </si>
  <si>
    <t>C19H24O11S2N</t>
  </si>
  <si>
    <t>3-(Benzoyloxy)propyl</t>
  </si>
  <si>
    <t>Glucomalcomiin</t>
  </si>
  <si>
    <t>C14H22O11S2N</t>
  </si>
  <si>
    <t>4-(Benzoyloxy)butyl</t>
  </si>
  <si>
    <t>"4-BOB"</t>
  </si>
  <si>
    <t>C18H25O11S2N</t>
  </si>
  <si>
    <t>5-(Benzoyloxy)pentyl</t>
  </si>
  <si>
    <t>"5-BOP"</t>
  </si>
  <si>
    <t>C19H27O11S2N</t>
  </si>
  <si>
    <t>6-(Benzoyloxy)hexyl</t>
  </si>
  <si>
    <t>C20H28O11S2N</t>
  </si>
  <si>
    <t>Indole</t>
  </si>
  <si>
    <t>Indol-3-ylmethyl</t>
  </si>
  <si>
    <t>I3M</t>
  </si>
  <si>
    <t>Glucobrassicin</t>
  </si>
  <si>
    <t>C16H20O9S2N2</t>
  </si>
  <si>
    <t>4-Hydroxyindol-3-ylmethyl</t>
  </si>
  <si>
    <t>OH-I3M</t>
  </si>
  <si>
    <t>4-Hydroxyglucobrassicin</t>
  </si>
  <si>
    <t>C16H20O10S2N2</t>
  </si>
  <si>
    <t>1-Methoxyindol-3-ylmethyl</t>
  </si>
  <si>
    <t>1MOI3M</t>
  </si>
  <si>
    <t>Neoglucobrassicin</t>
  </si>
  <si>
    <t>C17H22O10S2N2</t>
  </si>
  <si>
    <t>4-Methoxyindol-3-ylmethyl</t>
  </si>
  <si>
    <t>4MOI3M</t>
  </si>
  <si>
    <t>4-Methoxyglucobrassicin</t>
  </si>
  <si>
    <t>1-Acetyl-indol-3-ylmethyl</t>
  </si>
  <si>
    <t>1-Acetyl-glucobrassicin</t>
  </si>
  <si>
    <t>C18H21O10S2N2</t>
  </si>
  <si>
    <t>1-Sulfo-indol-3-ylmethyl</t>
  </si>
  <si>
    <t>Glucobrassicin-1-sulfate</t>
  </si>
  <si>
    <t>C16H18O13S3N2</t>
  </si>
  <si>
    <t>Other</t>
  </si>
  <si>
    <t>3-Methoxycarbonylpropyl</t>
  </si>
  <si>
    <t>Glucoerypestrin</t>
  </si>
  <si>
    <t>C12H20O11S2N</t>
  </si>
  <si>
    <t>2-(α-l-Rhamnopyranosyloxy)benzyl</t>
  </si>
  <si>
    <t>C20H29O14S2N</t>
  </si>
  <si>
    <t>4-(α-l-Rhamnopyranosyloxy)benzyl</t>
  </si>
  <si>
    <t>C10H29O14S2N</t>
  </si>
  <si>
    <t>4-(4'-O-Acetyl-α-l-rhamnopyranosyloxy)benzyl</t>
  </si>
  <si>
    <t>C21H30O15S2N</t>
  </si>
  <si>
    <t>2-(α-l-Arabinopyranosyloxy)-2-phenylethyl</t>
  </si>
  <si>
    <t>C20H28O14S2N</t>
  </si>
  <si>
    <t>6-Sinapoyl-β-D-1-thioglucoside of 4-methylsulfnylbut-3-enyl</t>
  </si>
  <si>
    <t>C22H30O14S2N</t>
  </si>
  <si>
    <t>Amino acid</t>
  </si>
  <si>
    <t>2-amino-4-(methylthio)butyrate</t>
  </si>
  <si>
    <t>methionine</t>
  </si>
  <si>
    <t>C5H10O2SN</t>
  </si>
  <si>
    <t>2-amino-5-(methylthio)pentanoate</t>
  </si>
  <si>
    <t>homomethionine</t>
  </si>
  <si>
    <t>C6H12O2SN</t>
  </si>
  <si>
    <t>2-amino-6-(methylthio)hexanoate</t>
  </si>
  <si>
    <t>dihomomethionine</t>
  </si>
  <si>
    <t>C7H14O2SN</t>
  </si>
  <si>
    <t>2-amino-7-(methylthio)heptanoate</t>
  </si>
  <si>
    <t>trihomomethionine</t>
  </si>
  <si>
    <t>C8H16O2SN</t>
  </si>
  <si>
    <t>2-amino-8-(methylthio)octanoate</t>
  </si>
  <si>
    <t>tetrahomomethionine</t>
  </si>
  <si>
    <t>C9H18O2SN</t>
  </si>
  <si>
    <t>2-amino-9-(methylthio)nonanoate</t>
  </si>
  <si>
    <t>pentahomomethionine</t>
  </si>
  <si>
    <t>C10H20O2SN</t>
  </si>
  <si>
    <t>2-amino-10-(methylthio)decanoate</t>
  </si>
  <si>
    <t>hexahomomethionine</t>
  </si>
  <si>
    <t>C11H22O2SN</t>
  </si>
  <si>
    <t>α-oxo-Amino acid</t>
  </si>
  <si>
    <t>2-oxo-4-(methylthio)butyrate</t>
  </si>
  <si>
    <t>α-oxo-methionine</t>
  </si>
  <si>
    <t>C5H9O3S</t>
  </si>
  <si>
    <t>2-oxo-5-(methylthio)pentanoate</t>
  </si>
  <si>
    <t>α-oxo-homomethionine</t>
  </si>
  <si>
    <t>C6H11O3S</t>
  </si>
  <si>
    <t>2-oxo-6-(methylthio)hexanoate</t>
  </si>
  <si>
    <t>α-oxo-dihomomethionine</t>
  </si>
  <si>
    <t>C7H13O3S</t>
  </si>
  <si>
    <t>2-oxo-7-(methylthio)heptanoate</t>
  </si>
  <si>
    <t>α-oxo-trihomomethionine</t>
  </si>
  <si>
    <t>C8H15O3S</t>
  </si>
  <si>
    <t>2-oxo-8-(methylthio)octanoate</t>
  </si>
  <si>
    <t>α-oxo-tetrahomomethionine</t>
  </si>
  <si>
    <t>C9H17O3S</t>
  </si>
  <si>
    <t>2-oxo-9-(methylthio)nonanoate</t>
  </si>
  <si>
    <t>α-oxo-pentahomomethionine</t>
  </si>
  <si>
    <t>C10H19O3S</t>
  </si>
  <si>
    <t>2-oxo-10-(methylthio)decanoate</t>
  </si>
  <si>
    <t>α-oxo-hexahomomethionine</t>
  </si>
  <si>
    <t>C11H21O3S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</si>
</sst>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.45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7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D81"/>
        <bgColor indexed="64"/>
      </patternFill>
    </fill>
    <fill>
      <patternFill patternType="solid">
        <fgColor rgb="FFFFE9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left" textRotation="90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textRotation="90" wrapText="1"/>
    </xf>
    <xf numFmtId="0" fontId="0" fillId="0" borderId="1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2" borderId="2" xfId="0" applyFill="1" applyBorder="1"/>
    <xf numFmtId="0" fontId="0" fillId="2" borderId="2" xfId="0" quotePrefix="1" applyFill="1" applyBorder="1"/>
    <xf numFmtId="164" fontId="0" fillId="2" borderId="3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horizontal="center" textRotation="90"/>
    </xf>
    <xf numFmtId="0" fontId="0" fillId="0" borderId="0" xfId="0" applyBorder="1" applyAlignment="1">
      <alignment horizontal="center" textRotation="90"/>
    </xf>
    <xf numFmtId="0" fontId="0" fillId="2" borderId="0" xfId="0" applyFill="1" applyBorder="1"/>
    <xf numFmtId="164" fontId="0" fillId="2" borderId="5" xfId="0" applyNumberForma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Border="1"/>
    <xf numFmtId="164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2" borderId="7" xfId="0" applyFill="1" applyBorder="1"/>
    <xf numFmtId="164" fontId="0" fillId="2" borderId="8" xfId="0" applyNumberFormat="1" applyFill="1" applyBorder="1" applyAlignment="1">
      <alignment horizontal="center"/>
    </xf>
    <xf numFmtId="0" fontId="0" fillId="0" borderId="0" xfId="0" applyFont="1"/>
    <xf numFmtId="0" fontId="0" fillId="3" borderId="2" xfId="0" applyFill="1" applyBorder="1"/>
    <xf numFmtId="164" fontId="0" fillId="3" borderId="3" xfId="0" applyNumberFormat="1" applyFill="1" applyBorder="1" applyAlignment="1">
      <alignment horizontal="center"/>
    </xf>
    <xf numFmtId="165" fontId="0" fillId="3" borderId="0" xfId="0" applyNumberFormat="1" applyFill="1" applyBorder="1" applyAlignment="1">
      <alignment horizontal="center"/>
    </xf>
    <xf numFmtId="0" fontId="0" fillId="3" borderId="0" xfId="0" applyFill="1" applyBorder="1"/>
    <xf numFmtId="164" fontId="0" fillId="3" borderId="5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0" borderId="0" xfId="0" applyNumberFormat="1"/>
    <xf numFmtId="0" fontId="0" fillId="0" borderId="9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7" xfId="0" applyBorder="1"/>
    <xf numFmtId="0" fontId="0" fillId="0" borderId="7" xfId="0" applyFill="1" applyBorder="1"/>
    <xf numFmtId="164" fontId="0" fillId="0" borderId="8" xfId="0" applyNumberFormat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0" fontId="0" fillId="0" borderId="11" xfId="0" applyBorder="1" applyAlignment="1">
      <alignment horizontal="center" textRotation="90"/>
    </xf>
    <xf numFmtId="0" fontId="0" fillId="3" borderId="7" xfId="0" applyFill="1" applyBorder="1"/>
    <xf numFmtId="164" fontId="1" fillId="3" borderId="8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/>
    <xf numFmtId="164" fontId="0" fillId="0" borderId="3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0" fillId="3" borderId="8" xfId="0" applyNumberFormat="1" applyFill="1" applyBorder="1" applyAlignment="1">
      <alignment horizontal="center"/>
    </xf>
    <xf numFmtId="0" fontId="0" fillId="5" borderId="0" xfId="0" applyFill="1" applyBorder="1"/>
    <xf numFmtId="164" fontId="0" fillId="5" borderId="5" xfId="0" applyNumberFormat="1" applyFill="1" applyBorder="1" applyAlignment="1">
      <alignment horizontal="center"/>
    </xf>
    <xf numFmtId="165" fontId="0" fillId="5" borderId="0" xfId="0" applyNumberFormat="1" applyFill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165" fontId="7" fillId="0" borderId="0" xfId="0" applyNumberFormat="1" applyFont="1" applyFill="1" applyBorder="1" applyAlignment="1">
      <alignment horizontal="center"/>
    </xf>
    <xf numFmtId="164" fontId="7" fillId="0" borderId="5" xfId="0" applyNumberFormat="1" applyFont="1" applyFill="1" applyBorder="1" applyAlignment="1">
      <alignment horizontal="center"/>
    </xf>
    <xf numFmtId="164" fontId="7" fillId="0" borderId="8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workbookViewId="0">
      <selection activeCell="Q16" sqref="Q16"/>
    </sheetView>
  </sheetViews>
  <sheetFormatPr baseColWidth="10" defaultRowHeight="15" x14ac:dyDescent="0.25"/>
  <cols>
    <col min="1" max="2" width="11.42578125" style="3"/>
    <col min="4" max="4" width="36.5703125" customWidth="1"/>
    <col min="6" max="6" width="27.42578125" customWidth="1"/>
    <col min="7" max="7" width="17" customWidth="1"/>
    <col min="8" max="8" width="4.85546875" customWidth="1"/>
    <col min="9" max="9" width="5.28515625" customWidth="1"/>
    <col min="10" max="10" width="6.7109375" customWidth="1"/>
    <col min="11" max="11" width="5.5703125" customWidth="1"/>
    <col min="12" max="12" width="6.85546875" customWidth="1"/>
    <col min="13" max="13" width="11.42578125" style="5"/>
    <col min="14" max="14" width="11.42578125" style="63" customWidth="1"/>
    <col min="15" max="15" width="20.7109375" customWidth="1"/>
    <col min="16" max="16" width="13.5703125" customWidth="1"/>
    <col min="18" max="18" width="17.140625" customWidth="1"/>
  </cols>
  <sheetData>
    <row r="1" spans="1:21" s="2" customFormat="1" ht="66.75" customHeight="1" x14ac:dyDescent="0.2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6" t="s">
        <v>11</v>
      </c>
      <c r="O1" s="2" t="s">
        <v>12</v>
      </c>
      <c r="P1" s="2" t="s">
        <v>13</v>
      </c>
    </row>
    <row r="2" spans="1:21" ht="15" customHeight="1" x14ac:dyDescent="0.25">
      <c r="A2" s="7" t="s">
        <v>14</v>
      </c>
      <c r="B2" s="8"/>
      <c r="C2" s="9">
        <v>51</v>
      </c>
      <c r="D2" s="9" t="s">
        <v>15</v>
      </c>
      <c r="E2" s="9" t="s">
        <v>10</v>
      </c>
      <c r="F2" s="9" t="s">
        <v>16</v>
      </c>
      <c r="G2" s="10" t="s">
        <v>17</v>
      </c>
      <c r="H2" s="9">
        <f>7+1</f>
        <v>8</v>
      </c>
      <c r="I2" s="9">
        <f>11+3</f>
        <v>14</v>
      </c>
      <c r="J2" s="9">
        <f>9</f>
        <v>9</v>
      </c>
      <c r="K2" s="9">
        <f>2</f>
        <v>2</v>
      </c>
      <c r="L2" s="9">
        <f>1</f>
        <v>1</v>
      </c>
      <c r="M2" s="11">
        <f t="shared" ref="M2:M65" si="0">H2*$P$2+I2*$P$3+J2*$P$4+K2*$P$5+L2*$P$6</f>
        <v>332.01071999999999</v>
      </c>
      <c r="N2" s="12"/>
      <c r="O2" s="13" t="s">
        <v>18</v>
      </c>
      <c r="P2" s="14">
        <v>12</v>
      </c>
      <c r="Q2" s="15" t="s">
        <v>19</v>
      </c>
    </row>
    <row r="3" spans="1:21" ht="16.5" x14ac:dyDescent="0.25">
      <c r="A3" s="16"/>
      <c r="B3" s="17"/>
      <c r="C3" s="18">
        <v>16</v>
      </c>
      <c r="D3" s="18" t="s">
        <v>20</v>
      </c>
      <c r="E3" s="18" t="s">
        <v>21</v>
      </c>
      <c r="F3" s="18" t="s">
        <v>22</v>
      </c>
      <c r="G3" s="18" t="s">
        <v>23</v>
      </c>
      <c r="H3" s="18">
        <f>7+2</f>
        <v>9</v>
      </c>
      <c r="I3" s="18">
        <f>11+5</f>
        <v>16</v>
      </c>
      <c r="J3" s="18">
        <f>9</f>
        <v>9</v>
      </c>
      <c r="K3" s="18">
        <f>2</f>
        <v>2</v>
      </c>
      <c r="L3" s="18">
        <f>1</f>
        <v>1</v>
      </c>
      <c r="M3" s="19">
        <f t="shared" si="0"/>
        <v>346.02636999999999</v>
      </c>
      <c r="N3" s="12"/>
      <c r="O3" s="13" t="s">
        <v>24</v>
      </c>
      <c r="P3" s="20">
        <v>1.007825</v>
      </c>
      <c r="Q3" s="21"/>
    </row>
    <row r="4" spans="1:21" ht="16.5" x14ac:dyDescent="0.25">
      <c r="A4" s="16"/>
      <c r="B4" s="17"/>
      <c r="C4" s="22">
        <v>108</v>
      </c>
      <c r="D4" s="22" t="s">
        <v>25</v>
      </c>
      <c r="E4" s="22" t="s">
        <v>26</v>
      </c>
      <c r="F4" s="22"/>
      <c r="G4" s="22" t="s">
        <v>27</v>
      </c>
      <c r="H4" s="22">
        <f>7+3</f>
        <v>10</v>
      </c>
      <c r="I4" s="22">
        <f>11+2+2+3</f>
        <v>18</v>
      </c>
      <c r="J4" s="22">
        <f>9</f>
        <v>9</v>
      </c>
      <c r="K4" s="22">
        <f>2</f>
        <v>2</v>
      </c>
      <c r="L4" s="22">
        <f>1</f>
        <v>1</v>
      </c>
      <c r="M4" s="23">
        <f t="shared" si="0"/>
        <v>360.04201999999998</v>
      </c>
      <c r="N4" s="24"/>
      <c r="O4" s="13" t="s">
        <v>28</v>
      </c>
      <c r="P4" s="25">
        <v>15.994899999999999</v>
      </c>
      <c r="Q4" s="26"/>
      <c r="S4" s="27"/>
      <c r="T4" s="27"/>
      <c r="U4" s="27"/>
    </row>
    <row r="5" spans="1:21" ht="16.5" x14ac:dyDescent="0.25">
      <c r="A5" s="16"/>
      <c r="B5" s="17"/>
      <c r="C5" s="18">
        <v>13</v>
      </c>
      <c r="D5" s="18" t="s">
        <v>29</v>
      </c>
      <c r="E5" s="18" t="s">
        <v>30</v>
      </c>
      <c r="F5" s="18"/>
      <c r="G5" s="18" t="s">
        <v>31</v>
      </c>
      <c r="H5" s="18">
        <f>7+4</f>
        <v>11</v>
      </c>
      <c r="I5" s="18">
        <f>11+2+2+2+3</f>
        <v>20</v>
      </c>
      <c r="J5" s="18">
        <f>9</f>
        <v>9</v>
      </c>
      <c r="K5" s="18">
        <f>2</f>
        <v>2</v>
      </c>
      <c r="L5" s="18">
        <f>1</f>
        <v>1</v>
      </c>
      <c r="M5" s="19">
        <f t="shared" si="0"/>
        <v>374.05766999999997</v>
      </c>
      <c r="N5" s="12"/>
      <c r="O5" s="13" t="s">
        <v>32</v>
      </c>
      <c r="P5" s="20">
        <v>31.972000000000001</v>
      </c>
      <c r="Q5" s="28"/>
    </row>
    <row r="6" spans="1:21" ht="16.5" x14ac:dyDescent="0.25">
      <c r="A6" s="16"/>
      <c r="B6" s="17"/>
      <c r="C6" s="18">
        <v>102</v>
      </c>
      <c r="D6" s="18" t="s">
        <v>33</v>
      </c>
      <c r="E6" s="18" t="s">
        <v>26</v>
      </c>
      <c r="F6" s="18"/>
      <c r="G6" s="18" t="s">
        <v>34</v>
      </c>
      <c r="H6" s="18">
        <f>7+5</f>
        <v>12</v>
      </c>
      <c r="I6" s="18">
        <f>11+4*2+3</f>
        <v>22</v>
      </c>
      <c r="J6" s="18">
        <f>9</f>
        <v>9</v>
      </c>
      <c r="K6" s="18">
        <f>2</f>
        <v>2</v>
      </c>
      <c r="L6" s="18">
        <f>1</f>
        <v>1</v>
      </c>
      <c r="M6" s="19">
        <f>H6*$P$2+I6*$P$3+J6*$P$4+K6*$P$5+L6*$P$6</f>
        <v>388.07331999999997</v>
      </c>
      <c r="N6" s="12"/>
      <c r="O6" s="13" t="s">
        <v>35</v>
      </c>
      <c r="P6" s="20">
        <v>14.003069999999999</v>
      </c>
    </row>
    <row r="7" spans="1:21" x14ac:dyDescent="0.25">
      <c r="A7" s="29"/>
      <c r="B7" s="30"/>
      <c r="C7" s="31">
        <v>20</v>
      </c>
      <c r="D7" s="31" t="s">
        <v>36</v>
      </c>
      <c r="E7" s="31" t="s">
        <v>37</v>
      </c>
      <c r="F7" s="31"/>
      <c r="G7" s="31" t="s">
        <v>38</v>
      </c>
      <c r="H7" s="31">
        <f>7+6</f>
        <v>13</v>
      </c>
      <c r="I7" s="31">
        <v>25</v>
      </c>
      <c r="J7" s="31">
        <f>9</f>
        <v>9</v>
      </c>
      <c r="K7" s="31">
        <f>2</f>
        <v>2</v>
      </c>
      <c r="L7" s="31">
        <f>1</f>
        <v>1</v>
      </c>
      <c r="M7" s="32">
        <f t="shared" si="0"/>
        <v>403.09679499999999</v>
      </c>
      <c r="N7" s="12">
        <f>M7-_1H</f>
        <v>402.08896999999996</v>
      </c>
      <c r="O7" s="33" t="s">
        <v>39</v>
      </c>
      <c r="P7">
        <v>96.959400000000002</v>
      </c>
    </row>
    <row r="8" spans="1:21" ht="15" customHeight="1" x14ac:dyDescent="0.25">
      <c r="A8" s="7" t="s">
        <v>40</v>
      </c>
      <c r="B8" s="8"/>
      <c r="C8" s="34">
        <v>56</v>
      </c>
      <c r="D8" s="34" t="s">
        <v>41</v>
      </c>
      <c r="E8" s="34" t="s">
        <v>42</v>
      </c>
      <c r="F8" s="34" t="s">
        <v>43</v>
      </c>
      <c r="G8" s="34" t="s">
        <v>44</v>
      </c>
      <c r="H8" s="34">
        <f>7+3</f>
        <v>10</v>
      </c>
      <c r="I8" s="34">
        <f>11+2+6</f>
        <v>19</v>
      </c>
      <c r="J8" s="34">
        <f>9</f>
        <v>9</v>
      </c>
      <c r="K8" s="34">
        <f>2</f>
        <v>2</v>
      </c>
      <c r="L8" s="34">
        <f>1</f>
        <v>1</v>
      </c>
      <c r="M8" s="35">
        <f t="shared" si="0"/>
        <v>361.04984499999995</v>
      </c>
      <c r="N8" s="36">
        <f>M8-_1H</f>
        <v>360.04201999999992</v>
      </c>
    </row>
    <row r="9" spans="1:21" x14ac:dyDescent="0.25">
      <c r="A9" s="16"/>
      <c r="B9" s="17"/>
      <c r="C9" s="37">
        <v>61</v>
      </c>
      <c r="D9" s="37" t="s">
        <v>45</v>
      </c>
      <c r="E9" s="37" t="s">
        <v>46</v>
      </c>
      <c r="F9" s="37" t="s">
        <v>47</v>
      </c>
      <c r="G9" s="37" t="s">
        <v>48</v>
      </c>
      <c r="H9" s="37">
        <f>7+4</f>
        <v>11</v>
      </c>
      <c r="I9" s="37">
        <v>21</v>
      </c>
      <c r="J9" s="37">
        <f>9</f>
        <v>9</v>
      </c>
      <c r="K9" s="37">
        <f>2</f>
        <v>2</v>
      </c>
      <c r="L9" s="37">
        <f>1</f>
        <v>1</v>
      </c>
      <c r="M9" s="38">
        <f t="shared" si="0"/>
        <v>375.065495</v>
      </c>
      <c r="N9" s="36">
        <f>M9-_1H</f>
        <v>374.05766999999997</v>
      </c>
    </row>
    <row r="10" spans="1:21" x14ac:dyDescent="0.25">
      <c r="A10" s="16"/>
      <c r="B10" s="17"/>
      <c r="C10" s="18">
        <v>62</v>
      </c>
      <c r="D10" s="18" t="s">
        <v>49</v>
      </c>
      <c r="E10" s="18" t="s">
        <v>50</v>
      </c>
      <c r="F10" s="18" t="s">
        <v>51</v>
      </c>
      <c r="G10" s="18" t="s">
        <v>48</v>
      </c>
      <c r="H10" s="18">
        <f>7+4</f>
        <v>11</v>
      </c>
      <c r="I10" s="18">
        <f>21</f>
        <v>21</v>
      </c>
      <c r="J10" s="18">
        <f>9</f>
        <v>9</v>
      </c>
      <c r="K10" s="18">
        <f>2</f>
        <v>2</v>
      </c>
      <c r="L10" s="18">
        <f>1</f>
        <v>1</v>
      </c>
      <c r="M10" s="19">
        <f t="shared" si="0"/>
        <v>375.065495</v>
      </c>
      <c r="N10" s="39">
        <f>M10-_1H</f>
        <v>374.05766999999997</v>
      </c>
    </row>
    <row r="11" spans="1:21" x14ac:dyDescent="0.25">
      <c r="A11" s="16"/>
      <c r="B11" s="17"/>
      <c r="C11" s="18">
        <v>53</v>
      </c>
      <c r="D11" s="18" t="s">
        <v>52</v>
      </c>
      <c r="E11" s="18" t="s">
        <v>53</v>
      </c>
      <c r="F11" s="18"/>
      <c r="G11" s="18" t="s">
        <v>54</v>
      </c>
      <c r="H11" s="18">
        <f>7+5</f>
        <v>12</v>
      </c>
      <c r="I11" s="18">
        <v>23</v>
      </c>
      <c r="J11" s="18">
        <f>9</f>
        <v>9</v>
      </c>
      <c r="K11" s="18">
        <f>2</f>
        <v>2</v>
      </c>
      <c r="L11" s="18">
        <f>1</f>
        <v>1</v>
      </c>
      <c r="M11" s="19">
        <f t="shared" si="0"/>
        <v>389.08114499999999</v>
      </c>
      <c r="N11" s="12">
        <f t="shared" ref="N11:N17" si="1">M11-_1H</f>
        <v>388.07331999999997</v>
      </c>
    </row>
    <row r="12" spans="1:21" ht="16.5" x14ac:dyDescent="0.25">
      <c r="A12" s="16"/>
      <c r="B12" s="17"/>
      <c r="C12" s="18">
        <v>54</v>
      </c>
      <c r="D12" s="18" t="s">
        <v>55</v>
      </c>
      <c r="E12" s="18" t="s">
        <v>56</v>
      </c>
      <c r="F12" s="18"/>
      <c r="G12" s="18" t="s">
        <v>54</v>
      </c>
      <c r="H12" s="18">
        <f>7+5</f>
        <v>12</v>
      </c>
      <c r="I12" s="18">
        <v>23</v>
      </c>
      <c r="J12" s="18">
        <f>9</f>
        <v>9</v>
      </c>
      <c r="K12" s="18">
        <f>2</f>
        <v>2</v>
      </c>
      <c r="L12" s="18">
        <f>1</f>
        <v>1</v>
      </c>
      <c r="M12" s="19">
        <f t="shared" si="0"/>
        <v>389.08114499999999</v>
      </c>
      <c r="N12" s="12">
        <f t="shared" si="1"/>
        <v>388.07331999999997</v>
      </c>
      <c r="O12" s="13"/>
    </row>
    <row r="13" spans="1:21" x14ac:dyDescent="0.25">
      <c r="A13" s="16"/>
      <c r="B13" s="17"/>
      <c r="C13" s="18">
        <v>55</v>
      </c>
      <c r="D13" s="18" t="s">
        <v>57</v>
      </c>
      <c r="E13" s="18" t="s">
        <v>58</v>
      </c>
      <c r="F13" s="18"/>
      <c r="G13" s="18" t="s">
        <v>54</v>
      </c>
      <c r="H13" s="18">
        <f>7+5</f>
        <v>12</v>
      </c>
      <c r="I13" s="18">
        <v>23</v>
      </c>
      <c r="J13" s="18">
        <f>9</f>
        <v>9</v>
      </c>
      <c r="K13" s="18">
        <f>2</f>
        <v>2</v>
      </c>
      <c r="L13" s="18">
        <f>1</f>
        <v>1</v>
      </c>
      <c r="M13" s="19">
        <f t="shared" si="0"/>
        <v>389.08114499999999</v>
      </c>
      <c r="N13" s="12">
        <f t="shared" si="1"/>
        <v>388.07331999999997</v>
      </c>
    </row>
    <row r="14" spans="1:21" x14ac:dyDescent="0.25">
      <c r="A14" s="16"/>
      <c r="B14" s="17"/>
      <c r="C14" s="18">
        <v>58</v>
      </c>
      <c r="D14" s="18" t="s">
        <v>59</v>
      </c>
      <c r="E14" s="18" t="s">
        <v>60</v>
      </c>
      <c r="F14" s="18"/>
      <c r="G14" s="18" t="s">
        <v>61</v>
      </c>
      <c r="H14" s="18">
        <f>7+6</f>
        <v>13</v>
      </c>
      <c r="I14" s="18">
        <f>25</f>
        <v>25</v>
      </c>
      <c r="J14" s="18">
        <f>9</f>
        <v>9</v>
      </c>
      <c r="K14" s="18">
        <f>2</f>
        <v>2</v>
      </c>
      <c r="L14" s="18">
        <f>1</f>
        <v>1</v>
      </c>
      <c r="M14" s="19">
        <f t="shared" si="0"/>
        <v>403.09679499999999</v>
      </c>
      <c r="N14" s="12">
        <f t="shared" si="1"/>
        <v>402.08896999999996</v>
      </c>
    </row>
    <row r="15" spans="1:21" x14ac:dyDescent="0.25">
      <c r="A15" s="29"/>
      <c r="B15" s="30"/>
      <c r="C15" s="31">
        <v>59</v>
      </c>
      <c r="D15" s="31" t="s">
        <v>62</v>
      </c>
      <c r="E15" s="31" t="s">
        <v>63</v>
      </c>
      <c r="F15" s="31"/>
      <c r="G15" s="31" t="s">
        <v>61</v>
      </c>
      <c r="H15" s="31">
        <f>7+6</f>
        <v>13</v>
      </c>
      <c r="I15" s="31">
        <f>25</f>
        <v>25</v>
      </c>
      <c r="J15" s="31">
        <f>9</f>
        <v>9</v>
      </c>
      <c r="K15" s="31">
        <f>2</f>
        <v>2</v>
      </c>
      <c r="L15" s="31">
        <f>1</f>
        <v>1</v>
      </c>
      <c r="M15" s="32">
        <f t="shared" si="0"/>
        <v>403.09679499999999</v>
      </c>
      <c r="N15" s="12">
        <f t="shared" si="1"/>
        <v>402.08896999999996</v>
      </c>
      <c r="O15" s="40">
        <f>P15-_1H</f>
        <v>418.08386999999993</v>
      </c>
      <c r="P15" s="40">
        <f>M15+P4</f>
        <v>419.09169499999996</v>
      </c>
      <c r="Q15" t="s">
        <v>64</v>
      </c>
    </row>
    <row r="16" spans="1:21" ht="13.5" customHeight="1" x14ac:dyDescent="0.25">
      <c r="A16" s="41" t="s">
        <v>65</v>
      </c>
      <c r="B16" s="7" t="s">
        <v>66</v>
      </c>
      <c r="C16" s="9">
        <v>107</v>
      </c>
      <c r="D16" s="9" t="s">
        <v>67</v>
      </c>
      <c r="E16" s="9" t="s">
        <v>68</v>
      </c>
      <c r="F16" s="9" t="s">
        <v>69</v>
      </c>
      <c r="G16" s="9" t="s">
        <v>70</v>
      </c>
      <c r="H16" s="9">
        <f>7+3</f>
        <v>10</v>
      </c>
      <c r="I16" s="9">
        <v>17</v>
      </c>
      <c r="J16" s="9">
        <f>9</f>
        <v>9</v>
      </c>
      <c r="K16" s="9">
        <f>2</f>
        <v>2</v>
      </c>
      <c r="L16" s="9">
        <f>1</f>
        <v>1</v>
      </c>
      <c r="M16" s="11">
        <f t="shared" si="0"/>
        <v>359.03419500000001</v>
      </c>
      <c r="N16" s="12">
        <f t="shared" si="1"/>
        <v>358.02636999999999</v>
      </c>
    </row>
    <row r="17" spans="1:15" x14ac:dyDescent="0.25">
      <c r="A17" s="42"/>
      <c r="B17" s="16"/>
      <c r="C17" s="37">
        <v>12</v>
      </c>
      <c r="D17" s="37" t="s">
        <v>71</v>
      </c>
      <c r="E17" s="37" t="s">
        <v>72</v>
      </c>
      <c r="F17" s="37" t="s">
        <v>73</v>
      </c>
      <c r="G17" s="37" t="s">
        <v>74</v>
      </c>
      <c r="H17" s="37">
        <f>7+4</f>
        <v>11</v>
      </c>
      <c r="I17" s="37">
        <v>19</v>
      </c>
      <c r="J17" s="37">
        <f>9</f>
        <v>9</v>
      </c>
      <c r="K17" s="37">
        <f>2</f>
        <v>2</v>
      </c>
      <c r="L17" s="37">
        <f>1</f>
        <v>1</v>
      </c>
      <c r="M17" s="38">
        <f t="shared" si="0"/>
        <v>373.04984499999995</v>
      </c>
      <c r="N17" s="36">
        <f t="shared" si="1"/>
        <v>372.04201999999992</v>
      </c>
    </row>
    <row r="18" spans="1:15" x14ac:dyDescent="0.25">
      <c r="A18" s="42"/>
      <c r="B18" s="16"/>
      <c r="C18" s="37">
        <v>100</v>
      </c>
      <c r="D18" s="37" t="s">
        <v>75</v>
      </c>
      <c r="E18" s="37" t="s">
        <v>76</v>
      </c>
      <c r="F18" s="37"/>
      <c r="G18" s="37" t="s">
        <v>77</v>
      </c>
      <c r="H18" s="37">
        <f>7+5</f>
        <v>12</v>
      </c>
      <c r="I18" s="37">
        <v>21</v>
      </c>
      <c r="J18" s="37">
        <f>9</f>
        <v>9</v>
      </c>
      <c r="K18" s="37">
        <f>2</f>
        <v>2</v>
      </c>
      <c r="L18" s="37">
        <f>1</f>
        <v>1</v>
      </c>
      <c r="M18" s="38">
        <f t="shared" si="0"/>
        <v>387.065495</v>
      </c>
      <c r="N18" s="36"/>
    </row>
    <row r="19" spans="1:15" x14ac:dyDescent="0.25">
      <c r="A19" s="42"/>
      <c r="B19" s="16"/>
      <c r="C19" s="37">
        <v>101</v>
      </c>
      <c r="D19" s="37" t="s">
        <v>78</v>
      </c>
      <c r="E19" s="37" t="s">
        <v>79</v>
      </c>
      <c r="F19" s="37" t="s">
        <v>80</v>
      </c>
      <c r="G19" s="37" t="s">
        <v>81</v>
      </c>
      <c r="H19" s="37">
        <f>7+5</f>
        <v>12</v>
      </c>
      <c r="I19" s="37">
        <v>21</v>
      </c>
      <c r="J19" s="37">
        <f>9</f>
        <v>9</v>
      </c>
      <c r="K19" s="37">
        <f>2</f>
        <v>2</v>
      </c>
      <c r="L19" s="37">
        <f>1</f>
        <v>1</v>
      </c>
      <c r="M19" s="38">
        <f t="shared" si="0"/>
        <v>387.065495</v>
      </c>
      <c r="N19" s="36">
        <f>M19-_1H</f>
        <v>386.05766999999997</v>
      </c>
    </row>
    <row r="20" spans="1:15" x14ac:dyDescent="0.25">
      <c r="A20" s="42"/>
      <c r="B20" s="16"/>
      <c r="C20" s="18">
        <v>19</v>
      </c>
      <c r="D20" s="18" t="s">
        <v>82</v>
      </c>
      <c r="E20" s="18" t="s">
        <v>83</v>
      </c>
      <c r="F20" s="18"/>
      <c r="G20" s="18" t="s">
        <v>84</v>
      </c>
      <c r="H20" s="18">
        <f>7+6</f>
        <v>13</v>
      </c>
      <c r="I20" s="18">
        <v>23</v>
      </c>
      <c r="J20" s="18">
        <f>9</f>
        <v>9</v>
      </c>
      <c r="K20" s="18">
        <f>2</f>
        <v>2</v>
      </c>
      <c r="L20" s="18">
        <f>1</f>
        <v>1</v>
      </c>
      <c r="M20" s="19">
        <f t="shared" si="0"/>
        <v>401.08114499999999</v>
      </c>
      <c r="N20" s="12">
        <f>M20-_1H</f>
        <v>400.07331999999997</v>
      </c>
    </row>
    <row r="21" spans="1:15" x14ac:dyDescent="0.25">
      <c r="A21" s="42"/>
      <c r="B21" s="29"/>
      <c r="C21" s="31">
        <v>18</v>
      </c>
      <c r="D21" s="31" t="s">
        <v>85</v>
      </c>
      <c r="E21" s="31" t="s">
        <v>86</v>
      </c>
      <c r="F21" s="31"/>
      <c r="G21" s="31" t="s">
        <v>87</v>
      </c>
      <c r="H21" s="31">
        <f>7+7</f>
        <v>14</v>
      </c>
      <c r="I21" s="31">
        <f>11+1+5*2+2</f>
        <v>24</v>
      </c>
      <c r="J21" s="31">
        <f>9</f>
        <v>9</v>
      </c>
      <c r="K21" s="31">
        <f>2</f>
        <v>2</v>
      </c>
      <c r="L21" s="31">
        <f>1</f>
        <v>1</v>
      </c>
      <c r="M21" s="32">
        <f t="shared" si="0"/>
        <v>414.08896999999996</v>
      </c>
      <c r="N21" s="12"/>
    </row>
    <row r="22" spans="1:15" x14ac:dyDescent="0.25">
      <c r="A22" s="42"/>
      <c r="B22" s="7" t="s">
        <v>88</v>
      </c>
      <c r="C22" s="9">
        <v>60</v>
      </c>
      <c r="D22" s="9" t="s">
        <v>89</v>
      </c>
      <c r="E22" s="9" t="s">
        <v>90</v>
      </c>
      <c r="F22" s="9"/>
      <c r="G22" s="9" t="s">
        <v>91</v>
      </c>
      <c r="H22" s="9">
        <f>7+4</f>
        <v>11</v>
      </c>
      <c r="I22" s="9">
        <f>11+2+2+3</f>
        <v>18</v>
      </c>
      <c r="J22" s="9">
        <f>9</f>
        <v>9</v>
      </c>
      <c r="K22" s="9">
        <f>2</f>
        <v>2</v>
      </c>
      <c r="L22" s="9">
        <f>1</f>
        <v>1</v>
      </c>
      <c r="M22" s="11">
        <f t="shared" si="0"/>
        <v>372.04201999999998</v>
      </c>
      <c r="N22" s="12"/>
    </row>
    <row r="23" spans="1:15" x14ac:dyDescent="0.25">
      <c r="A23" s="42"/>
      <c r="B23" s="29"/>
      <c r="C23" s="43">
        <v>52</v>
      </c>
      <c r="D23" s="43" t="s">
        <v>92</v>
      </c>
      <c r="E23" s="43" t="s">
        <v>93</v>
      </c>
      <c r="F23" s="43"/>
      <c r="G23" s="44" t="s">
        <v>77</v>
      </c>
      <c r="H23" s="43">
        <f>7+5</f>
        <v>12</v>
      </c>
      <c r="I23" s="43">
        <f>11+2*2+2+3</f>
        <v>20</v>
      </c>
      <c r="J23" s="43">
        <f>9</f>
        <v>9</v>
      </c>
      <c r="K23" s="43">
        <f>2</f>
        <v>2</v>
      </c>
      <c r="L23" s="43">
        <f>1</f>
        <v>1</v>
      </c>
      <c r="M23" s="45">
        <f t="shared" si="0"/>
        <v>386.05766999999997</v>
      </c>
      <c r="N23" s="24"/>
    </row>
    <row r="24" spans="1:15" x14ac:dyDescent="0.25">
      <c r="A24" s="42"/>
      <c r="B24" s="7" t="s">
        <v>94</v>
      </c>
      <c r="C24" s="34">
        <v>24</v>
      </c>
      <c r="D24" s="34" t="s">
        <v>95</v>
      </c>
      <c r="E24" s="34" t="s">
        <v>96</v>
      </c>
      <c r="F24" s="34" t="s">
        <v>97</v>
      </c>
      <c r="G24" s="34" t="s">
        <v>98</v>
      </c>
      <c r="H24" s="34">
        <f>7+4</f>
        <v>11</v>
      </c>
      <c r="I24" s="34">
        <v>19</v>
      </c>
      <c r="J24" s="34">
        <v>10</v>
      </c>
      <c r="K24" s="34">
        <f>2</f>
        <v>2</v>
      </c>
      <c r="L24" s="34">
        <f>1</f>
        <v>1</v>
      </c>
      <c r="M24" s="35">
        <f>H24*$P$2+I24*$P$3+J24*$P$4+K24*$P$5+L24*$P$6</f>
        <v>389.04474499999998</v>
      </c>
      <c r="N24" s="46">
        <f>M24-_1H</f>
        <v>388.03691999999995</v>
      </c>
      <c r="O24">
        <f>11*P2+18*P3+10*P4+2*P5+P6*1</f>
        <v>388.03691999999995</v>
      </c>
    </row>
    <row r="25" spans="1:15" ht="15" customHeight="1" x14ac:dyDescent="0.25">
      <c r="A25" s="42"/>
      <c r="B25" s="16"/>
      <c r="C25" s="37">
        <v>24</v>
      </c>
      <c r="D25" s="37" t="s">
        <v>99</v>
      </c>
      <c r="E25" s="37" t="s">
        <v>96</v>
      </c>
      <c r="F25" s="37" t="s">
        <v>100</v>
      </c>
      <c r="G25" s="37" t="s">
        <v>98</v>
      </c>
      <c r="H25" s="37">
        <f>7+4</f>
        <v>11</v>
      </c>
      <c r="I25" s="37">
        <v>19</v>
      </c>
      <c r="J25" s="37">
        <v>10</v>
      </c>
      <c r="K25" s="37">
        <f>2</f>
        <v>2</v>
      </c>
      <c r="L25" s="37">
        <f>1</f>
        <v>1</v>
      </c>
      <c r="M25" s="38">
        <f t="shared" si="0"/>
        <v>389.04474499999998</v>
      </c>
      <c r="N25" s="46">
        <f>M25-_1H</f>
        <v>388.03691999999995</v>
      </c>
    </row>
    <row r="26" spans="1:15" x14ac:dyDescent="0.25">
      <c r="A26" s="47"/>
      <c r="B26" s="29"/>
      <c r="C26" s="48">
        <v>38</v>
      </c>
      <c r="D26" s="48" t="s">
        <v>101</v>
      </c>
      <c r="E26" s="48" t="s">
        <v>102</v>
      </c>
      <c r="F26" s="48" t="s">
        <v>103</v>
      </c>
      <c r="G26" s="48" t="s">
        <v>104</v>
      </c>
      <c r="H26" s="48">
        <f>7+5</f>
        <v>12</v>
      </c>
      <c r="I26" s="48">
        <v>21</v>
      </c>
      <c r="J26" s="48">
        <v>10</v>
      </c>
      <c r="K26" s="48">
        <f>2</f>
        <v>2</v>
      </c>
      <c r="L26" s="48">
        <f>1</f>
        <v>1</v>
      </c>
      <c r="M26" s="49">
        <f t="shared" si="0"/>
        <v>403.06039499999997</v>
      </c>
      <c r="N26" s="46">
        <f>M26-_1H</f>
        <v>402.05256999999995</v>
      </c>
    </row>
    <row r="27" spans="1:15" x14ac:dyDescent="0.25">
      <c r="A27" s="41" t="s">
        <v>94</v>
      </c>
      <c r="B27" s="7" t="s">
        <v>105</v>
      </c>
      <c r="C27" s="50">
        <v>27</v>
      </c>
      <c r="D27" s="50" t="s">
        <v>106</v>
      </c>
      <c r="E27" s="50" t="s">
        <v>107</v>
      </c>
      <c r="F27" s="50"/>
      <c r="G27" s="51" t="s">
        <v>108</v>
      </c>
      <c r="H27" s="50">
        <f>7+2</f>
        <v>9</v>
      </c>
      <c r="I27" s="50">
        <f>11+2*2+1</f>
        <v>16</v>
      </c>
      <c r="J27" s="50">
        <f t="shared" ref="J27:J38" si="2">9+1</f>
        <v>10</v>
      </c>
      <c r="K27" s="50">
        <f>2</f>
        <v>2</v>
      </c>
      <c r="L27" s="50">
        <f>1</f>
        <v>1</v>
      </c>
      <c r="M27" s="52">
        <f t="shared" si="0"/>
        <v>362.02127000000002</v>
      </c>
      <c r="N27" s="24"/>
    </row>
    <row r="28" spans="1:15" x14ac:dyDescent="0.25">
      <c r="A28" s="42"/>
      <c r="B28" s="16"/>
      <c r="C28" s="18">
        <v>42</v>
      </c>
      <c r="D28" s="18" t="s">
        <v>109</v>
      </c>
      <c r="E28" s="18" t="s">
        <v>110</v>
      </c>
      <c r="F28" s="18"/>
      <c r="G28" s="18" t="s">
        <v>111</v>
      </c>
      <c r="H28" s="18">
        <f>7+3</f>
        <v>10</v>
      </c>
      <c r="I28" s="18">
        <f>11+3*2+1</f>
        <v>18</v>
      </c>
      <c r="J28" s="18">
        <f t="shared" si="2"/>
        <v>10</v>
      </c>
      <c r="K28" s="18">
        <f>2</f>
        <v>2</v>
      </c>
      <c r="L28" s="18">
        <f>1</f>
        <v>1</v>
      </c>
      <c r="M28" s="19">
        <f t="shared" si="0"/>
        <v>376.03691999999995</v>
      </c>
      <c r="N28" s="12"/>
    </row>
    <row r="29" spans="1:15" x14ac:dyDescent="0.25">
      <c r="A29" s="42"/>
      <c r="B29" s="29"/>
      <c r="C29" s="31">
        <v>26</v>
      </c>
      <c r="D29" s="31" t="s">
        <v>112</v>
      </c>
      <c r="E29" s="31" t="s">
        <v>113</v>
      </c>
      <c r="F29" s="31"/>
      <c r="G29" s="31" t="s">
        <v>114</v>
      </c>
      <c r="H29" s="31">
        <f>7+4</f>
        <v>11</v>
      </c>
      <c r="I29" s="31">
        <f>11+4*2+1</f>
        <v>20</v>
      </c>
      <c r="J29" s="31">
        <f t="shared" si="2"/>
        <v>10</v>
      </c>
      <c r="K29" s="31">
        <f>2</f>
        <v>2</v>
      </c>
      <c r="L29" s="31">
        <f>1</f>
        <v>1</v>
      </c>
      <c r="M29" s="32">
        <f t="shared" si="0"/>
        <v>390.05257</v>
      </c>
      <c r="N29" s="12"/>
    </row>
    <row r="30" spans="1:15" x14ac:dyDescent="0.25">
      <c r="A30" s="42"/>
      <c r="B30" s="7" t="s">
        <v>115</v>
      </c>
      <c r="C30" s="9">
        <v>41</v>
      </c>
      <c r="D30" s="9" t="s">
        <v>116</v>
      </c>
      <c r="E30" s="9" t="s">
        <v>110</v>
      </c>
      <c r="F30" s="9"/>
      <c r="G30" s="9" t="s">
        <v>111</v>
      </c>
      <c r="H30" s="9">
        <f>7+3</f>
        <v>10</v>
      </c>
      <c r="I30" s="9">
        <f>11+2+1+3+1</f>
        <v>18</v>
      </c>
      <c r="J30" s="9">
        <f t="shared" si="2"/>
        <v>10</v>
      </c>
      <c r="K30" s="9">
        <f>2</f>
        <v>2</v>
      </c>
      <c r="L30" s="9">
        <f>1</f>
        <v>1</v>
      </c>
      <c r="M30" s="11">
        <f t="shared" si="0"/>
        <v>376.03691999999995</v>
      </c>
      <c r="N30" s="12"/>
    </row>
    <row r="31" spans="1:15" x14ac:dyDescent="0.25">
      <c r="A31" s="42"/>
      <c r="B31" s="16"/>
      <c r="C31" s="18">
        <v>57</v>
      </c>
      <c r="D31" s="18" t="s">
        <v>117</v>
      </c>
      <c r="E31" s="18" t="s">
        <v>118</v>
      </c>
      <c r="F31" s="18" t="s">
        <v>119</v>
      </c>
      <c r="G31" s="18" t="s">
        <v>111</v>
      </c>
      <c r="H31" s="18">
        <f>7+3</f>
        <v>10</v>
      </c>
      <c r="I31" s="18">
        <f>11+1+2+3+1</f>
        <v>18</v>
      </c>
      <c r="J31" s="18">
        <f t="shared" si="2"/>
        <v>10</v>
      </c>
      <c r="K31" s="18">
        <f>2</f>
        <v>2</v>
      </c>
      <c r="L31" s="18">
        <f>1</f>
        <v>1</v>
      </c>
      <c r="M31" s="19">
        <f t="shared" si="0"/>
        <v>376.03691999999995</v>
      </c>
      <c r="N31" s="12"/>
    </row>
    <row r="32" spans="1:15" x14ac:dyDescent="0.25">
      <c r="A32" s="42"/>
      <c r="B32" s="16"/>
      <c r="C32" s="18">
        <v>30</v>
      </c>
      <c r="D32" s="18" t="s">
        <v>120</v>
      </c>
      <c r="E32" s="18" t="s">
        <v>121</v>
      </c>
      <c r="F32" s="18"/>
      <c r="G32" s="18" t="s">
        <v>114</v>
      </c>
      <c r="H32" s="18">
        <f>7+4</f>
        <v>11</v>
      </c>
      <c r="I32" s="18">
        <f>11+1+2*2+3+1</f>
        <v>20</v>
      </c>
      <c r="J32" s="18">
        <f t="shared" si="2"/>
        <v>10</v>
      </c>
      <c r="K32" s="18">
        <f>2</f>
        <v>2</v>
      </c>
      <c r="L32" s="18">
        <f>1</f>
        <v>1</v>
      </c>
      <c r="M32" s="19">
        <f t="shared" si="0"/>
        <v>390.05257</v>
      </c>
      <c r="N32" s="12"/>
    </row>
    <row r="33" spans="1:17" x14ac:dyDescent="0.25">
      <c r="A33" s="42"/>
      <c r="B33" s="16"/>
      <c r="C33" s="18">
        <v>17</v>
      </c>
      <c r="D33" s="18" t="s">
        <v>122</v>
      </c>
      <c r="E33" s="18" t="s">
        <v>123</v>
      </c>
      <c r="F33" s="18"/>
      <c r="G33" s="18" t="s">
        <v>114</v>
      </c>
      <c r="H33" s="18">
        <f>7+4</f>
        <v>11</v>
      </c>
      <c r="I33" s="18">
        <f>11+1+2*2+3+1</f>
        <v>20</v>
      </c>
      <c r="J33" s="18">
        <f t="shared" si="2"/>
        <v>10</v>
      </c>
      <c r="K33" s="18">
        <f>2</f>
        <v>2</v>
      </c>
      <c r="L33" s="18">
        <f>1</f>
        <v>1</v>
      </c>
      <c r="M33" s="19">
        <f t="shared" si="0"/>
        <v>390.05257</v>
      </c>
      <c r="N33" s="12"/>
    </row>
    <row r="34" spans="1:17" x14ac:dyDescent="0.25">
      <c r="A34" s="42"/>
      <c r="B34" s="16"/>
      <c r="C34" s="18">
        <v>25</v>
      </c>
      <c r="D34" s="18" t="s">
        <v>124</v>
      </c>
      <c r="E34" s="18" t="s">
        <v>113</v>
      </c>
      <c r="F34" s="18"/>
      <c r="G34" s="18" t="s">
        <v>114</v>
      </c>
      <c r="H34" s="18">
        <f>7+4</f>
        <v>11</v>
      </c>
      <c r="I34" s="18">
        <f>11+1+2*2+3+1</f>
        <v>20</v>
      </c>
      <c r="J34" s="18">
        <f t="shared" si="2"/>
        <v>10</v>
      </c>
      <c r="K34" s="18">
        <f>2</f>
        <v>2</v>
      </c>
      <c r="L34" s="18">
        <f>1</f>
        <v>1</v>
      </c>
      <c r="M34" s="19">
        <f t="shared" si="0"/>
        <v>390.05257</v>
      </c>
      <c r="N34" s="12"/>
    </row>
    <row r="35" spans="1:17" x14ac:dyDescent="0.25">
      <c r="A35" s="42"/>
      <c r="B35" s="16"/>
      <c r="C35" s="18">
        <v>31</v>
      </c>
      <c r="D35" s="18" t="s">
        <v>125</v>
      </c>
      <c r="E35" s="18" t="s">
        <v>126</v>
      </c>
      <c r="F35" s="18" t="s">
        <v>127</v>
      </c>
      <c r="G35" s="18" t="s">
        <v>128</v>
      </c>
      <c r="H35" s="18">
        <f>7+4</f>
        <v>11</v>
      </c>
      <c r="I35" s="18">
        <f>21</f>
        <v>21</v>
      </c>
      <c r="J35" s="18">
        <f t="shared" si="2"/>
        <v>10</v>
      </c>
      <c r="K35" s="18">
        <f>2</f>
        <v>2</v>
      </c>
      <c r="L35" s="18">
        <f>1</f>
        <v>1</v>
      </c>
      <c r="M35" s="19">
        <f t="shared" si="0"/>
        <v>391.06039499999997</v>
      </c>
      <c r="N35" s="12">
        <f>M35-_1H</f>
        <v>390.05256999999995</v>
      </c>
    </row>
    <row r="36" spans="1:17" x14ac:dyDescent="0.25">
      <c r="A36" s="42"/>
      <c r="B36" s="16"/>
      <c r="C36" s="18">
        <v>39</v>
      </c>
      <c r="D36" s="18" t="s">
        <v>129</v>
      </c>
      <c r="E36" s="18" t="s">
        <v>110</v>
      </c>
      <c r="F36" s="18"/>
      <c r="G36" s="18" t="s">
        <v>130</v>
      </c>
      <c r="H36" s="18">
        <f>7+5</f>
        <v>12</v>
      </c>
      <c r="I36" s="18">
        <f>11+1+3*2+3+1</f>
        <v>22</v>
      </c>
      <c r="J36" s="18">
        <f t="shared" si="2"/>
        <v>10</v>
      </c>
      <c r="K36" s="18">
        <f>2</f>
        <v>2</v>
      </c>
      <c r="L36" s="18">
        <f>1</f>
        <v>1</v>
      </c>
      <c r="M36" s="19">
        <f t="shared" si="0"/>
        <v>404.06821999999994</v>
      </c>
      <c r="N36" s="12"/>
    </row>
    <row r="37" spans="1:17" x14ac:dyDescent="0.25">
      <c r="A37" s="42"/>
      <c r="B37" s="16"/>
      <c r="C37" s="18">
        <v>29</v>
      </c>
      <c r="D37" s="18" t="s">
        <v>131</v>
      </c>
      <c r="E37" s="18" t="s">
        <v>132</v>
      </c>
      <c r="F37" s="18" t="s">
        <v>133</v>
      </c>
      <c r="G37" s="18" t="s">
        <v>134</v>
      </c>
      <c r="H37" s="18">
        <f>7+5</f>
        <v>12</v>
      </c>
      <c r="I37" s="18">
        <v>23</v>
      </c>
      <c r="J37" s="18">
        <f t="shared" si="2"/>
        <v>10</v>
      </c>
      <c r="K37" s="18">
        <f>2</f>
        <v>2</v>
      </c>
      <c r="L37" s="18">
        <f>1</f>
        <v>1</v>
      </c>
      <c r="M37" s="19">
        <f>H37*$P$2+I37*$P$3+J37*$P$4+K37*$P$5+L37*$P$6</f>
        <v>405.07604499999997</v>
      </c>
      <c r="N37" s="12">
        <f>M37-_1H</f>
        <v>404.06821999999994</v>
      </c>
      <c r="Q37">
        <f>M37+P2+(_1H*2)</f>
        <v>419.09169499999996</v>
      </c>
    </row>
    <row r="38" spans="1:17" x14ac:dyDescent="0.25">
      <c r="A38" s="42"/>
      <c r="B38" s="16"/>
      <c r="C38" s="18"/>
      <c r="D38" s="18" t="s">
        <v>135</v>
      </c>
      <c r="E38" s="18" t="s">
        <v>64</v>
      </c>
      <c r="F38" s="18"/>
      <c r="G38" s="18" t="s">
        <v>136</v>
      </c>
      <c r="H38" s="18">
        <v>13</v>
      </c>
      <c r="I38" s="18">
        <v>25</v>
      </c>
      <c r="J38" s="18">
        <f t="shared" si="2"/>
        <v>10</v>
      </c>
      <c r="K38" s="18">
        <f>2</f>
        <v>2</v>
      </c>
      <c r="L38" s="18">
        <f>1</f>
        <v>1</v>
      </c>
      <c r="M38" s="19">
        <f>H38*$P$2+I38*$P$3+J38*$P$4+K38*$P$5+L38*$P$6</f>
        <v>419.09169500000002</v>
      </c>
      <c r="N38" s="12">
        <f>M38-_1H</f>
        <v>418.08386999999999</v>
      </c>
    </row>
    <row r="39" spans="1:17" x14ac:dyDescent="0.25">
      <c r="A39" s="47"/>
      <c r="B39" s="29"/>
      <c r="C39" s="43">
        <v>113</v>
      </c>
      <c r="D39" s="43" t="s">
        <v>137</v>
      </c>
      <c r="E39" s="43" t="s">
        <v>138</v>
      </c>
      <c r="F39" s="43"/>
      <c r="G39" s="44" t="s">
        <v>139</v>
      </c>
      <c r="H39" s="43">
        <f>7+10</f>
        <v>17</v>
      </c>
      <c r="I39" s="43">
        <f>11+5*2+3+4+4</f>
        <v>32</v>
      </c>
      <c r="J39" s="43">
        <f>9+4</f>
        <v>13</v>
      </c>
      <c r="K39" s="43">
        <f>2</f>
        <v>2</v>
      </c>
      <c r="L39" s="43">
        <f>1</f>
        <v>1</v>
      </c>
      <c r="M39" s="45">
        <f t="shared" si="0"/>
        <v>522.13117</v>
      </c>
      <c r="N39" s="24"/>
    </row>
    <row r="40" spans="1:17" x14ac:dyDescent="0.25">
      <c r="A40" s="7" t="s">
        <v>140</v>
      </c>
      <c r="B40" s="8"/>
      <c r="C40" s="9">
        <v>99</v>
      </c>
      <c r="D40" s="9" t="s">
        <v>141</v>
      </c>
      <c r="E40" s="9" t="s">
        <v>142</v>
      </c>
      <c r="F40" s="9"/>
      <c r="G40" s="9" t="s">
        <v>143</v>
      </c>
      <c r="H40" s="9">
        <f>7+5</f>
        <v>12</v>
      </c>
      <c r="I40" s="9">
        <f>11+3*2+3</f>
        <v>20</v>
      </c>
      <c r="J40" s="9">
        <f>9+1</f>
        <v>10</v>
      </c>
      <c r="K40" s="9">
        <f>2</f>
        <v>2</v>
      </c>
      <c r="L40" s="9">
        <f>1</f>
        <v>1</v>
      </c>
      <c r="M40" s="11">
        <f t="shared" si="0"/>
        <v>402.05257</v>
      </c>
      <c r="N40" s="12"/>
    </row>
    <row r="41" spans="1:17" x14ac:dyDescent="0.25">
      <c r="A41" s="16"/>
      <c r="B41" s="17"/>
      <c r="C41" s="22">
        <v>96</v>
      </c>
      <c r="D41" s="22" t="s">
        <v>144</v>
      </c>
      <c r="E41" s="22" t="s">
        <v>145</v>
      </c>
      <c r="F41" s="22" t="s">
        <v>146</v>
      </c>
      <c r="G41" s="53" t="s">
        <v>147</v>
      </c>
      <c r="H41" s="22">
        <f>7+6</f>
        <v>13</v>
      </c>
      <c r="I41" s="22">
        <f>11+4*2+3</f>
        <v>22</v>
      </c>
      <c r="J41" s="22">
        <f>9+1</f>
        <v>10</v>
      </c>
      <c r="K41" s="22">
        <f>2</f>
        <v>2</v>
      </c>
      <c r="L41" s="22">
        <f>1</f>
        <v>1</v>
      </c>
      <c r="M41" s="23">
        <f t="shared" si="0"/>
        <v>416.06821999999994</v>
      </c>
      <c r="N41" s="24"/>
    </row>
    <row r="42" spans="1:17" x14ac:dyDescent="0.25">
      <c r="A42" s="16"/>
      <c r="B42" s="17"/>
      <c r="C42" s="22">
        <v>97</v>
      </c>
      <c r="D42" s="22" t="s">
        <v>148</v>
      </c>
      <c r="E42" s="22" t="s">
        <v>145</v>
      </c>
      <c r="F42" s="22" t="s">
        <v>149</v>
      </c>
      <c r="G42" s="53" t="s">
        <v>147</v>
      </c>
      <c r="H42" s="22">
        <f>7+6</f>
        <v>13</v>
      </c>
      <c r="I42" s="22">
        <f>11+4*2+3</f>
        <v>22</v>
      </c>
      <c r="J42" s="22">
        <f>9+1</f>
        <v>10</v>
      </c>
      <c r="K42" s="22">
        <f>2</f>
        <v>2</v>
      </c>
      <c r="L42" s="22">
        <f>1</f>
        <v>1</v>
      </c>
      <c r="M42" s="23">
        <f t="shared" si="0"/>
        <v>416.06821999999994</v>
      </c>
      <c r="N42" s="24"/>
    </row>
    <row r="43" spans="1:17" x14ac:dyDescent="0.25">
      <c r="A43" s="29"/>
      <c r="B43" s="30"/>
      <c r="C43" s="43">
        <v>98</v>
      </c>
      <c r="D43" s="43" t="s">
        <v>150</v>
      </c>
      <c r="E43" s="43" t="s">
        <v>145</v>
      </c>
      <c r="F43" s="43" t="s">
        <v>151</v>
      </c>
      <c r="G43" s="44" t="s">
        <v>152</v>
      </c>
      <c r="H43" s="43">
        <f>7+7</f>
        <v>14</v>
      </c>
      <c r="I43" s="43">
        <f>11+5*2+3</f>
        <v>24</v>
      </c>
      <c r="J43" s="43">
        <f>9+1</f>
        <v>10</v>
      </c>
      <c r="K43" s="43">
        <f>2</f>
        <v>2</v>
      </c>
      <c r="L43" s="43">
        <f>1</f>
        <v>1</v>
      </c>
      <c r="M43" s="45">
        <f t="shared" si="0"/>
        <v>430.08386999999999</v>
      </c>
      <c r="N43" s="24"/>
    </row>
    <row r="44" spans="1:17" x14ac:dyDescent="0.25">
      <c r="A44" s="41" t="s">
        <v>153</v>
      </c>
      <c r="B44" s="7" t="s">
        <v>154</v>
      </c>
      <c r="C44" s="9">
        <v>86</v>
      </c>
      <c r="D44" s="9" t="s">
        <v>155</v>
      </c>
      <c r="E44" s="9" t="s">
        <v>156</v>
      </c>
      <c r="F44" s="9" t="s">
        <v>157</v>
      </c>
      <c r="G44" s="9" t="s">
        <v>158</v>
      </c>
      <c r="H44" s="9">
        <f>7+3</f>
        <v>10</v>
      </c>
      <c r="I44" s="9">
        <f>11+2*2+3</f>
        <v>18</v>
      </c>
      <c r="J44" s="9">
        <f>9</f>
        <v>9</v>
      </c>
      <c r="K44" s="9">
        <f>2+1</f>
        <v>3</v>
      </c>
      <c r="L44" s="9">
        <f>1</f>
        <v>1</v>
      </c>
      <c r="M44" s="11">
        <f t="shared" si="0"/>
        <v>392.01401999999996</v>
      </c>
      <c r="N44" s="12"/>
    </row>
    <row r="45" spans="1:17" x14ac:dyDescent="0.25">
      <c r="A45" s="42"/>
      <c r="B45" s="16"/>
      <c r="C45" s="37">
        <v>95</v>
      </c>
      <c r="D45" s="37" t="s">
        <v>159</v>
      </c>
      <c r="E45" s="37" t="s">
        <v>160</v>
      </c>
      <c r="F45" s="37" t="s">
        <v>161</v>
      </c>
      <c r="G45" s="37" t="s">
        <v>162</v>
      </c>
      <c r="H45" s="37">
        <f>7+4</f>
        <v>11</v>
      </c>
      <c r="I45" s="37">
        <v>21</v>
      </c>
      <c r="J45" s="37">
        <f>9</f>
        <v>9</v>
      </c>
      <c r="K45" s="37">
        <f>2+1</f>
        <v>3</v>
      </c>
      <c r="L45" s="37">
        <f>1</f>
        <v>1</v>
      </c>
      <c r="M45" s="38">
        <f t="shared" si="0"/>
        <v>407.03749499999998</v>
      </c>
      <c r="N45" s="36">
        <f>M45-_1H</f>
        <v>406.02966999999995</v>
      </c>
    </row>
    <row r="46" spans="1:17" x14ac:dyDescent="0.25">
      <c r="A46" s="42"/>
      <c r="B46" s="16"/>
      <c r="C46" s="37">
        <v>84</v>
      </c>
      <c r="D46" s="37" t="s">
        <v>163</v>
      </c>
      <c r="E46" s="37" t="s">
        <v>164</v>
      </c>
      <c r="F46" s="37" t="s">
        <v>165</v>
      </c>
      <c r="G46" s="37" t="s">
        <v>166</v>
      </c>
      <c r="H46" s="37">
        <f>7+5</f>
        <v>12</v>
      </c>
      <c r="I46" s="37">
        <v>23</v>
      </c>
      <c r="J46" s="37">
        <f>9</f>
        <v>9</v>
      </c>
      <c r="K46" s="37">
        <f>2+1</f>
        <v>3</v>
      </c>
      <c r="L46" s="37">
        <f>1</f>
        <v>1</v>
      </c>
      <c r="M46" s="38">
        <f t="shared" si="0"/>
        <v>421.05314499999997</v>
      </c>
      <c r="N46" s="36">
        <f>M46-_1H</f>
        <v>420.04531999999995</v>
      </c>
    </row>
    <row r="47" spans="1:17" x14ac:dyDescent="0.25">
      <c r="A47" s="42"/>
      <c r="B47" s="16"/>
      <c r="C47" s="18">
        <v>83</v>
      </c>
      <c r="D47" s="18" t="s">
        <v>167</v>
      </c>
      <c r="E47" s="18" t="s">
        <v>164</v>
      </c>
      <c r="F47" s="18" t="s">
        <v>168</v>
      </c>
      <c r="G47" s="18" t="s">
        <v>169</v>
      </c>
      <c r="H47" s="18">
        <f>7+5</f>
        <v>12</v>
      </c>
      <c r="I47" s="18">
        <f>11+4*2+3</f>
        <v>22</v>
      </c>
      <c r="J47" s="18">
        <f>9</f>
        <v>9</v>
      </c>
      <c r="K47" s="18">
        <f>2+1</f>
        <v>3</v>
      </c>
      <c r="L47" s="18">
        <f>1</f>
        <v>1</v>
      </c>
      <c r="M47" s="19">
        <f t="shared" si="0"/>
        <v>420.04531999999995</v>
      </c>
      <c r="N47" s="12"/>
    </row>
    <row r="48" spans="1:17" x14ac:dyDescent="0.25">
      <c r="A48" s="42"/>
      <c r="B48" s="16"/>
      <c r="C48" s="37">
        <v>94</v>
      </c>
      <c r="D48" s="37" t="s">
        <v>170</v>
      </c>
      <c r="E48" s="37" t="s">
        <v>171</v>
      </c>
      <c r="F48" s="37" t="s">
        <v>172</v>
      </c>
      <c r="G48" s="37" t="s">
        <v>173</v>
      </c>
      <c r="H48" s="37">
        <f>7+6</f>
        <v>13</v>
      </c>
      <c r="I48" s="37">
        <v>25</v>
      </c>
      <c r="J48" s="37">
        <f>9</f>
        <v>9</v>
      </c>
      <c r="K48" s="37">
        <f>2+1</f>
        <v>3</v>
      </c>
      <c r="L48" s="37">
        <f>1</f>
        <v>1</v>
      </c>
      <c r="M48" s="38">
        <f t="shared" si="0"/>
        <v>435.06879499999997</v>
      </c>
      <c r="N48" s="36">
        <f>M48-_1H</f>
        <v>434.06096999999994</v>
      </c>
    </row>
    <row r="49" spans="1:14" x14ac:dyDescent="0.25">
      <c r="A49" s="42"/>
      <c r="B49" s="16"/>
      <c r="C49" s="18">
        <v>37</v>
      </c>
      <c r="D49" s="18" t="s">
        <v>174</v>
      </c>
      <c r="E49" s="18" t="s">
        <v>175</v>
      </c>
      <c r="F49" s="18"/>
      <c r="G49" s="18" t="s">
        <v>176</v>
      </c>
      <c r="H49" s="18">
        <f>7+6</f>
        <v>13</v>
      </c>
      <c r="I49" s="18">
        <f>11+4*2+3+1+1</f>
        <v>24</v>
      </c>
      <c r="J49" s="18">
        <f>9+1</f>
        <v>10</v>
      </c>
      <c r="K49" s="18">
        <v>3</v>
      </c>
      <c r="L49" s="18">
        <v>1</v>
      </c>
      <c r="M49" s="19">
        <f t="shared" si="0"/>
        <v>450.05586999999997</v>
      </c>
      <c r="N49" s="12"/>
    </row>
    <row r="50" spans="1:14" x14ac:dyDescent="0.25">
      <c r="A50" s="42"/>
      <c r="B50" s="16"/>
      <c r="C50" s="18">
        <v>88</v>
      </c>
      <c r="D50" s="18" t="s">
        <v>177</v>
      </c>
      <c r="E50" s="18" t="s">
        <v>178</v>
      </c>
      <c r="F50" s="18" t="s">
        <v>179</v>
      </c>
      <c r="G50" s="18" t="s">
        <v>180</v>
      </c>
      <c r="H50" s="18">
        <f>7+7</f>
        <v>14</v>
      </c>
      <c r="I50" s="18">
        <v>27</v>
      </c>
      <c r="J50" s="18">
        <f>9</f>
        <v>9</v>
      </c>
      <c r="K50" s="18">
        <f>2+1</f>
        <v>3</v>
      </c>
      <c r="L50" s="18">
        <f>1</f>
        <v>1</v>
      </c>
      <c r="M50" s="19">
        <f t="shared" si="0"/>
        <v>449.08444499999996</v>
      </c>
      <c r="N50" s="46">
        <f>M50-_1H</f>
        <v>448.07661999999993</v>
      </c>
    </row>
    <row r="51" spans="1:14" x14ac:dyDescent="0.25">
      <c r="A51" s="42"/>
      <c r="B51" s="16"/>
      <c r="C51" s="18">
        <v>36</v>
      </c>
      <c r="D51" s="18" t="s">
        <v>181</v>
      </c>
      <c r="E51" s="18" t="s">
        <v>182</v>
      </c>
      <c r="F51" s="18"/>
      <c r="G51" s="18" t="s">
        <v>183</v>
      </c>
      <c r="H51" s="18">
        <f>7+7</f>
        <v>14</v>
      </c>
      <c r="I51" s="18">
        <f>11+5*2+3+1+1</f>
        <v>26</v>
      </c>
      <c r="J51" s="18">
        <f>9+1</f>
        <v>10</v>
      </c>
      <c r="K51" s="18">
        <f>2</f>
        <v>2</v>
      </c>
      <c r="L51" s="18">
        <f>1</f>
        <v>1</v>
      </c>
      <c r="M51" s="19">
        <f t="shared" si="0"/>
        <v>432.09951999999998</v>
      </c>
      <c r="N51" s="12"/>
    </row>
    <row r="52" spans="1:14" x14ac:dyDescent="0.25">
      <c r="A52" s="42"/>
      <c r="B52" s="16"/>
      <c r="C52" s="18">
        <v>91</v>
      </c>
      <c r="D52" s="18" t="s">
        <v>184</v>
      </c>
      <c r="E52" s="18" t="s">
        <v>185</v>
      </c>
      <c r="F52" s="18"/>
      <c r="G52" s="18" t="s">
        <v>152</v>
      </c>
      <c r="H52" s="18">
        <f>7+7</f>
        <v>14</v>
      </c>
      <c r="I52" s="18">
        <f>11+5*2+3</f>
        <v>24</v>
      </c>
      <c r="J52" s="18">
        <f>9+1</f>
        <v>10</v>
      </c>
      <c r="K52" s="18">
        <f>2</f>
        <v>2</v>
      </c>
      <c r="L52" s="18">
        <f>1</f>
        <v>1</v>
      </c>
      <c r="M52" s="19">
        <f t="shared" si="0"/>
        <v>430.08386999999999</v>
      </c>
      <c r="N52" s="12"/>
    </row>
    <row r="53" spans="1:14" x14ac:dyDescent="0.25">
      <c r="A53" s="42"/>
      <c r="B53" s="16"/>
      <c r="C53" s="18">
        <v>87</v>
      </c>
      <c r="D53" s="18" t="s">
        <v>186</v>
      </c>
      <c r="E53" s="18" t="s">
        <v>187</v>
      </c>
      <c r="F53" s="18"/>
      <c r="G53" s="18" t="s">
        <v>188</v>
      </c>
      <c r="H53" s="18">
        <f>7+8</f>
        <v>15</v>
      </c>
      <c r="I53" s="18">
        <v>29</v>
      </c>
      <c r="J53" s="18">
        <f>9</f>
        <v>9</v>
      </c>
      <c r="K53" s="18">
        <f t="shared" ref="K53:K82" si="3">2+1</f>
        <v>3</v>
      </c>
      <c r="L53" s="18">
        <f>1</f>
        <v>1</v>
      </c>
      <c r="M53" s="19">
        <f t="shared" si="0"/>
        <v>463.10009499999995</v>
      </c>
      <c r="N53" s="12">
        <f>M53-_1H</f>
        <v>462.09226999999993</v>
      </c>
    </row>
    <row r="54" spans="1:14" x14ac:dyDescent="0.25">
      <c r="A54" s="42"/>
      <c r="B54" s="16"/>
      <c r="C54" s="22">
        <v>90</v>
      </c>
      <c r="D54" s="22" t="s">
        <v>189</v>
      </c>
      <c r="E54" s="22" t="s">
        <v>190</v>
      </c>
      <c r="F54" s="22"/>
      <c r="G54" s="53" t="s">
        <v>191</v>
      </c>
      <c r="H54" s="22">
        <f>7+8</f>
        <v>15</v>
      </c>
      <c r="I54" s="22">
        <f>11+6*2+3</f>
        <v>26</v>
      </c>
      <c r="J54" s="22">
        <f>9+1</f>
        <v>10</v>
      </c>
      <c r="K54" s="22">
        <f t="shared" si="3"/>
        <v>3</v>
      </c>
      <c r="L54" s="22">
        <f>1</f>
        <v>1</v>
      </c>
      <c r="M54" s="23">
        <f t="shared" si="0"/>
        <v>476.07151999999996</v>
      </c>
      <c r="N54" s="24"/>
    </row>
    <row r="55" spans="1:14" x14ac:dyDescent="0.25">
      <c r="A55" s="42"/>
      <c r="B55" s="16"/>
      <c r="C55" s="18">
        <v>92</v>
      </c>
      <c r="D55" s="18" t="s">
        <v>192</v>
      </c>
      <c r="E55" s="18" t="s">
        <v>193</v>
      </c>
      <c r="F55" s="18"/>
      <c r="G55" s="18" t="s">
        <v>194</v>
      </c>
      <c r="H55" s="18">
        <f>7+9</f>
        <v>16</v>
      </c>
      <c r="I55" s="18">
        <v>31</v>
      </c>
      <c r="J55" s="18">
        <f>9</f>
        <v>9</v>
      </c>
      <c r="K55" s="18">
        <f t="shared" si="3"/>
        <v>3</v>
      </c>
      <c r="L55" s="18">
        <f>1</f>
        <v>1</v>
      </c>
      <c r="M55" s="19">
        <f t="shared" si="0"/>
        <v>477.11574499999995</v>
      </c>
      <c r="N55" s="12">
        <f>M55-_1H</f>
        <v>476.10791999999992</v>
      </c>
    </row>
    <row r="56" spans="1:14" x14ac:dyDescent="0.25">
      <c r="A56" s="42"/>
      <c r="B56" s="16"/>
      <c r="C56" s="18">
        <v>93</v>
      </c>
      <c r="D56" s="18" t="s">
        <v>195</v>
      </c>
      <c r="E56" s="18" t="s">
        <v>196</v>
      </c>
      <c r="F56" s="18"/>
      <c r="G56" s="18" t="s">
        <v>197</v>
      </c>
      <c r="H56" s="18">
        <f>7+9</f>
        <v>16</v>
      </c>
      <c r="I56" s="18">
        <f>11+7*2+3</f>
        <v>28</v>
      </c>
      <c r="J56" s="18">
        <f>9+1</f>
        <v>10</v>
      </c>
      <c r="K56" s="18">
        <f t="shared" si="3"/>
        <v>3</v>
      </c>
      <c r="L56" s="18">
        <f>1</f>
        <v>1</v>
      </c>
      <c r="M56" s="19">
        <f t="shared" si="0"/>
        <v>490.08716999999996</v>
      </c>
      <c r="N56" s="12"/>
    </row>
    <row r="57" spans="1:14" x14ac:dyDescent="0.25">
      <c r="A57" s="42"/>
      <c r="B57" s="16"/>
      <c r="C57" s="18">
        <v>89</v>
      </c>
      <c r="D57" s="18" t="s">
        <v>198</v>
      </c>
      <c r="E57" s="18" t="s">
        <v>199</v>
      </c>
      <c r="F57" s="18"/>
      <c r="G57" s="18" t="s">
        <v>200</v>
      </c>
      <c r="H57" s="18">
        <f>7+10</f>
        <v>17</v>
      </c>
      <c r="I57" s="18">
        <f>11+9*2+3</f>
        <v>32</v>
      </c>
      <c r="J57" s="18">
        <f>9</f>
        <v>9</v>
      </c>
      <c r="K57" s="18">
        <f t="shared" si="3"/>
        <v>3</v>
      </c>
      <c r="L57" s="18">
        <f>1</f>
        <v>1</v>
      </c>
      <c r="M57" s="19">
        <f t="shared" si="0"/>
        <v>490.12356999999997</v>
      </c>
      <c r="N57" s="12"/>
    </row>
    <row r="58" spans="1:14" x14ac:dyDescent="0.25">
      <c r="A58" s="42"/>
      <c r="B58" s="29"/>
      <c r="C58" s="43">
        <v>85</v>
      </c>
      <c r="D58" s="43" t="s">
        <v>201</v>
      </c>
      <c r="E58" s="43" t="s">
        <v>202</v>
      </c>
      <c r="F58" s="43"/>
      <c r="G58" s="44" t="s">
        <v>203</v>
      </c>
      <c r="H58" s="43">
        <f>7+11</f>
        <v>18</v>
      </c>
      <c r="I58" s="43">
        <f>11+10*2+3</f>
        <v>34</v>
      </c>
      <c r="J58" s="43">
        <f>9</f>
        <v>9</v>
      </c>
      <c r="K58" s="43">
        <f t="shared" si="3"/>
        <v>3</v>
      </c>
      <c r="L58" s="43">
        <f>1</f>
        <v>1</v>
      </c>
      <c r="M58" s="45">
        <f t="shared" si="0"/>
        <v>504.13921999999997</v>
      </c>
      <c r="N58" s="24"/>
    </row>
    <row r="59" spans="1:14" x14ac:dyDescent="0.25">
      <c r="A59" s="42"/>
      <c r="B59" s="7" t="s">
        <v>204</v>
      </c>
      <c r="C59" s="34">
        <v>73</v>
      </c>
      <c r="D59" s="34" t="s">
        <v>205</v>
      </c>
      <c r="E59" s="34" t="s">
        <v>206</v>
      </c>
      <c r="F59" s="34" t="s">
        <v>207</v>
      </c>
      <c r="G59" s="34" t="s">
        <v>208</v>
      </c>
      <c r="H59" s="34">
        <f>7+4</f>
        <v>11</v>
      </c>
      <c r="I59" s="34">
        <v>21</v>
      </c>
      <c r="J59" s="34">
        <f>9+1</f>
        <v>10</v>
      </c>
      <c r="K59" s="34">
        <f t="shared" si="3"/>
        <v>3</v>
      </c>
      <c r="L59" s="34">
        <f>1</f>
        <v>1</v>
      </c>
      <c r="M59" s="35">
        <f t="shared" si="0"/>
        <v>423.03239499999995</v>
      </c>
      <c r="N59" s="36">
        <f>M59-_1H</f>
        <v>422.02456999999993</v>
      </c>
    </row>
    <row r="60" spans="1:14" x14ac:dyDescent="0.25">
      <c r="A60" s="42"/>
      <c r="B60" s="16"/>
      <c r="C60" s="37">
        <v>64</v>
      </c>
      <c r="D60" s="37" t="s">
        <v>209</v>
      </c>
      <c r="E60" s="37" t="s">
        <v>210</v>
      </c>
      <c r="F60" s="37" t="s">
        <v>211</v>
      </c>
      <c r="G60" s="37" t="s">
        <v>212</v>
      </c>
      <c r="H60" s="37">
        <f>7+5</f>
        <v>12</v>
      </c>
      <c r="I60" s="37">
        <v>23</v>
      </c>
      <c r="J60" s="37">
        <f>9+1</f>
        <v>10</v>
      </c>
      <c r="K60" s="37">
        <f t="shared" si="3"/>
        <v>3</v>
      </c>
      <c r="L60" s="37">
        <f>1</f>
        <v>1</v>
      </c>
      <c r="M60" s="38">
        <f t="shared" si="0"/>
        <v>437.04804499999995</v>
      </c>
      <c r="N60" s="36">
        <f>M60-_1H</f>
        <v>436.04021999999992</v>
      </c>
    </row>
    <row r="61" spans="1:14" x14ac:dyDescent="0.25">
      <c r="A61" s="42"/>
      <c r="B61" s="16"/>
      <c r="C61" s="37">
        <v>63</v>
      </c>
      <c r="D61" s="37" t="s">
        <v>213</v>
      </c>
      <c r="E61" s="37" t="s">
        <v>210</v>
      </c>
      <c r="F61" s="37" t="s">
        <v>214</v>
      </c>
      <c r="G61" s="37" t="s">
        <v>215</v>
      </c>
      <c r="H61" s="37">
        <f>7+5</f>
        <v>12</v>
      </c>
      <c r="I61" s="37">
        <v>21</v>
      </c>
      <c r="J61" s="37">
        <f>9+1</f>
        <v>10</v>
      </c>
      <c r="K61" s="37">
        <f t="shared" si="3"/>
        <v>3</v>
      </c>
      <c r="L61" s="37">
        <f>1</f>
        <v>1</v>
      </c>
      <c r="M61" s="38">
        <f t="shared" si="0"/>
        <v>435.03239499999995</v>
      </c>
      <c r="N61" s="36">
        <f>M61-_1H</f>
        <v>434.02456999999993</v>
      </c>
    </row>
    <row r="62" spans="1:14" x14ac:dyDescent="0.25">
      <c r="A62" s="42"/>
      <c r="B62" s="16"/>
      <c r="C62" s="37">
        <v>72</v>
      </c>
      <c r="D62" s="37" t="s">
        <v>216</v>
      </c>
      <c r="E62" s="37" t="s">
        <v>217</v>
      </c>
      <c r="F62" s="37" t="s">
        <v>218</v>
      </c>
      <c r="G62" s="37" t="s">
        <v>219</v>
      </c>
      <c r="H62" s="37">
        <v>13</v>
      </c>
      <c r="I62" s="37">
        <v>25</v>
      </c>
      <c r="J62" s="37">
        <f>9+1</f>
        <v>10</v>
      </c>
      <c r="K62" s="37">
        <v>3</v>
      </c>
      <c r="L62" s="37">
        <f>1</f>
        <v>1</v>
      </c>
      <c r="M62" s="38">
        <f t="shared" si="0"/>
        <v>451.063695</v>
      </c>
      <c r="N62" s="36">
        <f>M62-_1H</f>
        <v>450.05586999999997</v>
      </c>
    </row>
    <row r="63" spans="1:14" x14ac:dyDescent="0.25">
      <c r="A63" s="42"/>
      <c r="B63" s="16"/>
      <c r="C63" s="18">
        <v>33</v>
      </c>
      <c r="D63" s="18" t="s">
        <v>220</v>
      </c>
      <c r="E63" s="18" t="s">
        <v>221</v>
      </c>
      <c r="F63" s="18"/>
      <c r="G63" s="18" t="s">
        <v>222</v>
      </c>
      <c r="H63" s="18">
        <f>7+6</f>
        <v>13</v>
      </c>
      <c r="I63" s="18">
        <f>11+5*2+3</f>
        <v>24</v>
      </c>
      <c r="J63" s="18">
        <f>9+2</f>
        <v>11</v>
      </c>
      <c r="K63" s="18">
        <f t="shared" si="3"/>
        <v>3</v>
      </c>
      <c r="L63" s="18">
        <f>1</f>
        <v>1</v>
      </c>
      <c r="M63" s="19">
        <f t="shared" si="0"/>
        <v>466.05077</v>
      </c>
      <c r="N63" s="12"/>
    </row>
    <row r="64" spans="1:14" x14ac:dyDescent="0.25">
      <c r="A64" s="42"/>
      <c r="B64" s="16"/>
      <c r="C64" s="18">
        <v>67</v>
      </c>
      <c r="D64" s="18" t="s">
        <v>223</v>
      </c>
      <c r="E64" s="18" t="s">
        <v>224</v>
      </c>
      <c r="F64" s="18" t="s">
        <v>225</v>
      </c>
      <c r="G64" s="18" t="s">
        <v>226</v>
      </c>
      <c r="H64" s="18">
        <f>7+7</f>
        <v>14</v>
      </c>
      <c r="I64" s="18">
        <v>27</v>
      </c>
      <c r="J64" s="18">
        <f>9+1</f>
        <v>10</v>
      </c>
      <c r="K64" s="18">
        <f t="shared" si="3"/>
        <v>3</v>
      </c>
      <c r="L64" s="18">
        <f>1</f>
        <v>1</v>
      </c>
      <c r="M64" s="19">
        <f t="shared" si="0"/>
        <v>465.07934499999993</v>
      </c>
      <c r="N64" s="12">
        <f>M64-_1H</f>
        <v>464.07151999999991</v>
      </c>
    </row>
    <row r="65" spans="1:14" x14ac:dyDescent="0.25">
      <c r="A65" s="42"/>
      <c r="B65" s="16"/>
      <c r="C65" s="18">
        <v>32</v>
      </c>
      <c r="D65" s="18" t="s">
        <v>227</v>
      </c>
      <c r="E65" s="18" t="s">
        <v>228</v>
      </c>
      <c r="F65" s="18"/>
      <c r="G65" s="18" t="s">
        <v>229</v>
      </c>
      <c r="H65" s="18">
        <f>7+7</f>
        <v>14</v>
      </c>
      <c r="I65" s="18">
        <f>11+6*2+3</f>
        <v>26</v>
      </c>
      <c r="J65" s="18">
        <f>9+2</f>
        <v>11</v>
      </c>
      <c r="K65" s="18">
        <f t="shared" si="3"/>
        <v>3</v>
      </c>
      <c r="L65" s="18">
        <f>1</f>
        <v>1</v>
      </c>
      <c r="M65" s="19">
        <f t="shared" si="0"/>
        <v>480.06641999999994</v>
      </c>
      <c r="N65" s="12"/>
    </row>
    <row r="66" spans="1:14" x14ac:dyDescent="0.25">
      <c r="A66" s="42"/>
      <c r="B66" s="16"/>
      <c r="C66" s="18">
        <v>66</v>
      </c>
      <c r="D66" s="18" t="s">
        <v>230</v>
      </c>
      <c r="E66" s="18" t="s">
        <v>231</v>
      </c>
      <c r="F66" s="18" t="s">
        <v>232</v>
      </c>
      <c r="G66" s="18" t="s">
        <v>233</v>
      </c>
      <c r="H66" s="18">
        <f>7+8</f>
        <v>15</v>
      </c>
      <c r="I66" s="18">
        <v>29</v>
      </c>
      <c r="J66" s="18">
        <f>9+1</f>
        <v>10</v>
      </c>
      <c r="K66" s="18">
        <f t="shared" si="3"/>
        <v>3</v>
      </c>
      <c r="L66" s="18">
        <f>1</f>
        <v>1</v>
      </c>
      <c r="M66" s="19">
        <f t="shared" ref="M66:M126" si="4">H66*$P$2+I66*$P$3+J66*$P$4+K66*$P$5+L66*$P$6</f>
        <v>479.09499499999998</v>
      </c>
      <c r="N66" s="12">
        <f>M66-_1H</f>
        <v>478.08716999999996</v>
      </c>
    </row>
    <row r="67" spans="1:14" x14ac:dyDescent="0.25">
      <c r="A67" s="42"/>
      <c r="B67" s="16"/>
      <c r="C67" s="22">
        <v>70</v>
      </c>
      <c r="D67" s="22" t="s">
        <v>234</v>
      </c>
      <c r="E67" s="22" t="s">
        <v>235</v>
      </c>
      <c r="F67" s="22"/>
      <c r="G67" s="53" t="s">
        <v>236</v>
      </c>
      <c r="H67" s="22">
        <f>7+8</f>
        <v>15</v>
      </c>
      <c r="I67" s="22">
        <f>11+6*2+3</f>
        <v>26</v>
      </c>
      <c r="J67" s="22">
        <f>9+2</f>
        <v>11</v>
      </c>
      <c r="K67" s="22">
        <f t="shared" si="3"/>
        <v>3</v>
      </c>
      <c r="L67" s="22">
        <f>1</f>
        <v>1</v>
      </c>
      <c r="M67" s="23">
        <f t="shared" si="4"/>
        <v>492.06641999999994</v>
      </c>
      <c r="N67" s="24"/>
    </row>
    <row r="68" spans="1:14" x14ac:dyDescent="0.25">
      <c r="A68" s="42"/>
      <c r="B68" s="16"/>
      <c r="C68" s="18">
        <v>69</v>
      </c>
      <c r="D68" s="18" t="s">
        <v>237</v>
      </c>
      <c r="E68" s="18" t="s">
        <v>238</v>
      </c>
      <c r="F68" s="18" t="s">
        <v>239</v>
      </c>
      <c r="G68" s="18" t="s">
        <v>240</v>
      </c>
      <c r="H68" s="18">
        <f>7+9</f>
        <v>16</v>
      </c>
      <c r="I68" s="18">
        <v>31</v>
      </c>
      <c r="J68" s="18">
        <f>9+1</f>
        <v>10</v>
      </c>
      <c r="K68" s="18">
        <f t="shared" si="3"/>
        <v>3</v>
      </c>
      <c r="L68" s="18">
        <f>1</f>
        <v>1</v>
      </c>
      <c r="M68" s="19">
        <f t="shared" si="4"/>
        <v>493.11064499999992</v>
      </c>
      <c r="N68" s="12">
        <f>M68-_1H</f>
        <v>492.10281999999989</v>
      </c>
    </row>
    <row r="69" spans="1:14" x14ac:dyDescent="0.25">
      <c r="A69" s="42"/>
      <c r="B69" s="16"/>
      <c r="C69" s="22">
        <v>71</v>
      </c>
      <c r="D69" s="22" t="s">
        <v>241</v>
      </c>
      <c r="E69" s="22" t="s">
        <v>242</v>
      </c>
      <c r="F69" s="22"/>
      <c r="G69" s="53" t="s">
        <v>243</v>
      </c>
      <c r="H69" s="22">
        <f>7+9</f>
        <v>16</v>
      </c>
      <c r="I69" s="22">
        <f>11+7*2+3</f>
        <v>28</v>
      </c>
      <c r="J69" s="22">
        <f>9+2</f>
        <v>11</v>
      </c>
      <c r="K69" s="22">
        <f t="shared" si="3"/>
        <v>3</v>
      </c>
      <c r="L69" s="22">
        <f>1</f>
        <v>1</v>
      </c>
      <c r="M69" s="23">
        <f t="shared" si="4"/>
        <v>506.08206999999999</v>
      </c>
      <c r="N69" s="24"/>
    </row>
    <row r="70" spans="1:14" s="54" customFormat="1" x14ac:dyDescent="0.25">
      <c r="A70" s="42"/>
      <c r="B70" s="16"/>
      <c r="C70" s="37">
        <v>68</v>
      </c>
      <c r="D70" s="37" t="s">
        <v>244</v>
      </c>
      <c r="E70" s="37" t="s">
        <v>245</v>
      </c>
      <c r="F70" s="37" t="s">
        <v>246</v>
      </c>
      <c r="G70" s="37" t="s">
        <v>247</v>
      </c>
      <c r="H70" s="37">
        <f>7+10</f>
        <v>17</v>
      </c>
      <c r="I70" s="37">
        <f>33</f>
        <v>33</v>
      </c>
      <c r="J70" s="37">
        <f>9+1</f>
        <v>10</v>
      </c>
      <c r="K70" s="37">
        <f t="shared" si="3"/>
        <v>3</v>
      </c>
      <c r="L70" s="37">
        <f>1</f>
        <v>1</v>
      </c>
      <c r="M70" s="38">
        <f>H70*$P$2+I70*$P$3+J70*$P$4+K70*$P$5+L70*$P$6</f>
        <v>507.12629499999997</v>
      </c>
      <c r="N70" s="36">
        <f>M70-_1H</f>
        <v>506.11846999999995</v>
      </c>
    </row>
    <row r="71" spans="1:14" s="54" customFormat="1" x14ac:dyDescent="0.25">
      <c r="A71" s="42"/>
      <c r="B71" s="16"/>
      <c r="C71" s="37">
        <v>65</v>
      </c>
      <c r="D71" s="37" t="s">
        <v>248</v>
      </c>
      <c r="E71" s="37" t="s">
        <v>249</v>
      </c>
      <c r="F71" s="37" t="s">
        <v>250</v>
      </c>
      <c r="G71" s="37" t="s">
        <v>251</v>
      </c>
      <c r="H71" s="37">
        <f>7+11</f>
        <v>18</v>
      </c>
      <c r="I71" s="37">
        <f>35</f>
        <v>35</v>
      </c>
      <c r="J71" s="37">
        <f>9+1</f>
        <v>10</v>
      </c>
      <c r="K71" s="37">
        <f t="shared" si="3"/>
        <v>3</v>
      </c>
      <c r="L71" s="37">
        <f>1</f>
        <v>1</v>
      </c>
      <c r="M71" s="38">
        <f>H71*$P$2+I71*$P$3+J71*$P$4+K71*$P$5+L71*$P$6</f>
        <v>521.14194499999996</v>
      </c>
      <c r="N71" s="36">
        <f>M71-_1H</f>
        <v>520.13411999999994</v>
      </c>
    </row>
    <row r="72" spans="1:14" s="54" customFormat="1" x14ac:dyDescent="0.25">
      <c r="A72" s="42"/>
      <c r="B72" s="29"/>
      <c r="C72" s="48">
        <v>74</v>
      </c>
      <c r="D72" s="48" t="s">
        <v>252</v>
      </c>
      <c r="E72" s="48" t="s">
        <v>253</v>
      </c>
      <c r="F72" s="48" t="s">
        <v>254</v>
      </c>
      <c r="G72" s="48" t="s">
        <v>255</v>
      </c>
      <c r="H72" s="48">
        <f>7+12</f>
        <v>19</v>
      </c>
      <c r="I72" s="48">
        <f>37</f>
        <v>37</v>
      </c>
      <c r="J72" s="48">
        <f>9+1</f>
        <v>10</v>
      </c>
      <c r="K72" s="48">
        <f t="shared" si="3"/>
        <v>3</v>
      </c>
      <c r="L72" s="48">
        <f>1</f>
        <v>1</v>
      </c>
      <c r="M72" s="55">
        <f t="shared" si="4"/>
        <v>535.1575949999999</v>
      </c>
      <c r="N72" s="36">
        <f>M72-_1H</f>
        <v>534.14976999999988</v>
      </c>
    </row>
    <row r="73" spans="1:14" x14ac:dyDescent="0.25">
      <c r="A73" s="42"/>
      <c r="B73" s="7" t="s">
        <v>256</v>
      </c>
      <c r="C73" s="9">
        <v>82</v>
      </c>
      <c r="D73" s="9" t="s">
        <v>257</v>
      </c>
      <c r="E73" s="9" t="s">
        <v>258</v>
      </c>
      <c r="F73" s="9" t="s">
        <v>259</v>
      </c>
      <c r="G73" s="9" t="s">
        <v>260</v>
      </c>
      <c r="H73" s="9">
        <f>7+4</f>
        <v>11</v>
      </c>
      <c r="I73" s="9">
        <v>21</v>
      </c>
      <c r="J73" s="9">
        <f>9+2</f>
        <v>11</v>
      </c>
      <c r="K73" s="9">
        <f t="shared" si="3"/>
        <v>3</v>
      </c>
      <c r="L73" s="9">
        <f>1</f>
        <v>1</v>
      </c>
      <c r="M73" s="11">
        <f t="shared" si="4"/>
        <v>439.02729499999992</v>
      </c>
      <c r="N73" s="12">
        <f>M73-_1H</f>
        <v>438.0194699999999</v>
      </c>
    </row>
    <row r="74" spans="1:14" x14ac:dyDescent="0.25">
      <c r="A74" s="42"/>
      <c r="B74" s="16"/>
      <c r="C74" s="18">
        <v>76</v>
      </c>
      <c r="D74" s="18" t="s">
        <v>261</v>
      </c>
      <c r="E74" s="18" t="s">
        <v>262</v>
      </c>
      <c r="F74" s="18" t="s">
        <v>263</v>
      </c>
      <c r="G74" s="18" t="s">
        <v>264</v>
      </c>
      <c r="H74" s="18">
        <f>7+5</f>
        <v>12</v>
      </c>
      <c r="I74" s="18">
        <f>11+4*2+3</f>
        <v>22</v>
      </c>
      <c r="J74" s="18">
        <f>9+2</f>
        <v>11</v>
      </c>
      <c r="K74" s="18">
        <f t="shared" si="3"/>
        <v>3</v>
      </c>
      <c r="L74" s="18">
        <f>1</f>
        <v>1</v>
      </c>
      <c r="M74" s="19">
        <f t="shared" si="4"/>
        <v>452.03511999999995</v>
      </c>
      <c r="N74" s="12"/>
    </row>
    <row r="75" spans="1:14" x14ac:dyDescent="0.25">
      <c r="A75" s="42"/>
      <c r="B75" s="16"/>
      <c r="C75" s="18">
        <v>75</v>
      </c>
      <c r="D75" s="18" t="s">
        <v>265</v>
      </c>
      <c r="E75" s="18" t="s">
        <v>262</v>
      </c>
      <c r="F75" s="18"/>
      <c r="G75" s="18" t="s">
        <v>266</v>
      </c>
      <c r="H75" s="18">
        <f>7+5</f>
        <v>12</v>
      </c>
      <c r="I75" s="18">
        <f>11+3*2+3</f>
        <v>20</v>
      </c>
      <c r="J75" s="18">
        <f>9+2</f>
        <v>11</v>
      </c>
      <c r="K75" s="18">
        <f t="shared" si="3"/>
        <v>3</v>
      </c>
      <c r="L75" s="18">
        <f>1</f>
        <v>1</v>
      </c>
      <c r="M75" s="19">
        <f t="shared" si="4"/>
        <v>450.01946999999996</v>
      </c>
      <c r="N75" s="12"/>
    </row>
    <row r="76" spans="1:14" x14ac:dyDescent="0.25">
      <c r="A76" s="42"/>
      <c r="B76" s="16"/>
      <c r="C76" s="18">
        <v>81</v>
      </c>
      <c r="D76" s="18" t="s">
        <v>267</v>
      </c>
      <c r="E76" s="18" t="s">
        <v>268</v>
      </c>
      <c r="F76" s="18"/>
      <c r="G76" s="18" t="s">
        <v>222</v>
      </c>
      <c r="H76" s="18">
        <f>7+6</f>
        <v>13</v>
      </c>
      <c r="I76" s="18">
        <f>11+5*2+3</f>
        <v>24</v>
      </c>
      <c r="J76" s="18">
        <f>9+2</f>
        <v>11</v>
      </c>
      <c r="K76" s="18">
        <f t="shared" si="3"/>
        <v>3</v>
      </c>
      <c r="L76" s="18">
        <f>1</f>
        <v>1</v>
      </c>
      <c r="M76" s="19">
        <f t="shared" si="4"/>
        <v>466.05077</v>
      </c>
      <c r="N76" s="12"/>
    </row>
    <row r="77" spans="1:14" x14ac:dyDescent="0.25">
      <c r="A77" s="42"/>
      <c r="B77" s="16"/>
      <c r="C77" s="18">
        <v>35</v>
      </c>
      <c r="D77" s="18" t="s">
        <v>269</v>
      </c>
      <c r="E77" s="18" t="s">
        <v>270</v>
      </c>
      <c r="F77" s="18"/>
      <c r="G77" s="18" t="s">
        <v>271</v>
      </c>
      <c r="H77" s="18">
        <f>7+6</f>
        <v>13</v>
      </c>
      <c r="I77" s="18">
        <f>11+5*2+3</f>
        <v>24</v>
      </c>
      <c r="J77" s="18">
        <f>9+3</f>
        <v>12</v>
      </c>
      <c r="K77" s="18">
        <f t="shared" si="3"/>
        <v>3</v>
      </c>
      <c r="L77" s="18">
        <f>1</f>
        <v>1</v>
      </c>
      <c r="M77" s="19">
        <f t="shared" si="4"/>
        <v>482.04566999999997</v>
      </c>
      <c r="N77" s="12"/>
    </row>
    <row r="78" spans="1:14" x14ac:dyDescent="0.25">
      <c r="A78" s="42"/>
      <c r="B78" s="16"/>
      <c r="C78" s="18">
        <v>78</v>
      </c>
      <c r="D78" s="18" t="s">
        <v>272</v>
      </c>
      <c r="E78" s="18" t="s">
        <v>273</v>
      </c>
      <c r="F78" s="18"/>
      <c r="G78" s="18" t="s">
        <v>229</v>
      </c>
      <c r="H78" s="18">
        <f>7+7</f>
        <v>14</v>
      </c>
      <c r="I78" s="18">
        <f>11+6*2+3</f>
        <v>26</v>
      </c>
      <c r="J78" s="18">
        <f>9+2</f>
        <v>11</v>
      </c>
      <c r="K78" s="18">
        <f t="shared" si="3"/>
        <v>3</v>
      </c>
      <c r="L78" s="18">
        <f>1</f>
        <v>1</v>
      </c>
      <c r="M78" s="19">
        <f t="shared" si="4"/>
        <v>480.06641999999994</v>
      </c>
      <c r="N78" s="12"/>
    </row>
    <row r="79" spans="1:14" x14ac:dyDescent="0.25">
      <c r="A79" s="42"/>
      <c r="B79" s="16"/>
      <c r="C79" s="18">
        <v>34</v>
      </c>
      <c r="D79" s="18" t="s">
        <v>274</v>
      </c>
      <c r="E79" s="18" t="s">
        <v>275</v>
      </c>
      <c r="F79" s="18"/>
      <c r="G79" s="18" t="s">
        <v>276</v>
      </c>
      <c r="H79" s="18">
        <f>7+7</f>
        <v>14</v>
      </c>
      <c r="I79" s="18">
        <f>11+6*2+3</f>
        <v>26</v>
      </c>
      <c r="J79" s="18">
        <f>9+3</f>
        <v>12</v>
      </c>
      <c r="K79" s="18">
        <f t="shared" si="3"/>
        <v>3</v>
      </c>
      <c r="L79" s="18">
        <f>1</f>
        <v>1</v>
      </c>
      <c r="M79" s="19">
        <f t="shared" si="4"/>
        <v>496.06131999999997</v>
      </c>
      <c r="N79" s="12"/>
    </row>
    <row r="80" spans="1:14" x14ac:dyDescent="0.25">
      <c r="A80" s="42"/>
      <c r="B80" s="16"/>
      <c r="C80" s="18">
        <v>80</v>
      </c>
      <c r="D80" s="18" t="s">
        <v>277</v>
      </c>
      <c r="E80" s="18" t="s">
        <v>278</v>
      </c>
      <c r="F80" s="18"/>
      <c r="G80" s="18" t="s">
        <v>279</v>
      </c>
      <c r="H80" s="18">
        <f>7+9</f>
        <v>16</v>
      </c>
      <c r="I80" s="18">
        <f>11+8*2+3</f>
        <v>30</v>
      </c>
      <c r="J80" s="18">
        <f>9+2</f>
        <v>11</v>
      </c>
      <c r="K80" s="18">
        <f t="shared" si="3"/>
        <v>3</v>
      </c>
      <c r="L80" s="18">
        <f>1</f>
        <v>1</v>
      </c>
      <c r="M80" s="19">
        <f t="shared" si="4"/>
        <v>508.09771999999992</v>
      </c>
      <c r="N80" s="12"/>
    </row>
    <row r="81" spans="1:14" x14ac:dyDescent="0.25">
      <c r="A81" s="42"/>
      <c r="B81" s="16"/>
      <c r="C81" s="18">
        <v>79</v>
      </c>
      <c r="D81" s="18" t="s">
        <v>280</v>
      </c>
      <c r="E81" s="18" t="s">
        <v>281</v>
      </c>
      <c r="F81" s="18"/>
      <c r="G81" s="18" t="s">
        <v>282</v>
      </c>
      <c r="H81" s="18">
        <f>7+10</f>
        <v>17</v>
      </c>
      <c r="I81" s="18">
        <f>11+9*2+3</f>
        <v>32</v>
      </c>
      <c r="J81" s="18">
        <f>9+2</f>
        <v>11</v>
      </c>
      <c r="K81" s="18">
        <f t="shared" si="3"/>
        <v>3</v>
      </c>
      <c r="L81" s="18">
        <f>1</f>
        <v>1</v>
      </c>
      <c r="M81" s="19">
        <f t="shared" si="4"/>
        <v>522.11337000000003</v>
      </c>
      <c r="N81" s="12"/>
    </row>
    <row r="82" spans="1:14" x14ac:dyDescent="0.25">
      <c r="A82" s="47"/>
      <c r="B82" s="29"/>
      <c r="C82" s="31">
        <v>77</v>
      </c>
      <c r="D82" s="31" t="s">
        <v>283</v>
      </c>
      <c r="E82" s="31" t="s">
        <v>284</v>
      </c>
      <c r="F82" s="31"/>
      <c r="G82" s="31" t="s">
        <v>285</v>
      </c>
      <c r="H82" s="31">
        <f>7+11</f>
        <v>18</v>
      </c>
      <c r="I82" s="31">
        <f>11+10*2+3</f>
        <v>34</v>
      </c>
      <c r="J82" s="31">
        <f>9+2</f>
        <v>11</v>
      </c>
      <c r="K82" s="31">
        <f t="shared" si="3"/>
        <v>3</v>
      </c>
      <c r="L82" s="31">
        <f>1</f>
        <v>1</v>
      </c>
      <c r="M82" s="32">
        <f t="shared" si="4"/>
        <v>536.12901999999997</v>
      </c>
      <c r="N82" s="12"/>
    </row>
    <row r="83" spans="1:14" x14ac:dyDescent="0.25">
      <c r="A83" s="7" t="s">
        <v>286</v>
      </c>
      <c r="B83" s="8"/>
      <c r="C83" s="34">
        <v>103</v>
      </c>
      <c r="D83" s="34" t="s">
        <v>287</v>
      </c>
      <c r="E83" s="34"/>
      <c r="F83" s="34" t="s">
        <v>288</v>
      </c>
      <c r="G83" s="34" t="s">
        <v>289</v>
      </c>
      <c r="H83" s="34">
        <v>14</v>
      </c>
      <c r="I83" s="34">
        <v>19</v>
      </c>
      <c r="J83" s="34">
        <f>9</f>
        <v>9</v>
      </c>
      <c r="K83" s="34">
        <f>2</f>
        <v>2</v>
      </c>
      <c r="L83" s="34">
        <f>1</f>
        <v>1</v>
      </c>
      <c r="M83" s="35">
        <f t="shared" si="4"/>
        <v>409.04984499999995</v>
      </c>
      <c r="N83" s="36">
        <f>M83-_1H</f>
        <v>408.04201999999992</v>
      </c>
    </row>
    <row r="84" spans="1:14" x14ac:dyDescent="0.25">
      <c r="A84" s="16"/>
      <c r="B84" s="17"/>
      <c r="C84" s="18">
        <v>11</v>
      </c>
      <c r="D84" s="18" t="s">
        <v>290</v>
      </c>
      <c r="E84" s="18"/>
      <c r="F84" s="18" t="s">
        <v>291</v>
      </c>
      <c r="G84" s="18" t="s">
        <v>289</v>
      </c>
      <c r="H84" s="18">
        <f t="shared" ref="H84:H89" si="5">7+6+1</f>
        <v>14</v>
      </c>
      <c r="I84" s="18">
        <v>19</v>
      </c>
      <c r="J84" s="18">
        <f>9</f>
        <v>9</v>
      </c>
      <c r="K84" s="18">
        <f>2</f>
        <v>2</v>
      </c>
      <c r="L84" s="18">
        <f>1</f>
        <v>1</v>
      </c>
      <c r="M84" s="19">
        <f t="shared" si="4"/>
        <v>409.04984499999995</v>
      </c>
      <c r="N84" s="12">
        <f>M84-_1H</f>
        <v>408.04201999999992</v>
      </c>
    </row>
    <row r="85" spans="1:14" x14ac:dyDescent="0.25">
      <c r="A85" s="16"/>
      <c r="B85" s="17"/>
      <c r="C85" s="22">
        <v>21</v>
      </c>
      <c r="D85" s="22" t="s">
        <v>292</v>
      </c>
      <c r="E85" s="22"/>
      <c r="F85" s="22"/>
      <c r="G85" s="53" t="s">
        <v>293</v>
      </c>
      <c r="H85" s="22">
        <f t="shared" si="5"/>
        <v>14</v>
      </c>
      <c r="I85" s="22">
        <v>19</v>
      </c>
      <c r="J85" s="22">
        <f>9+1</f>
        <v>10</v>
      </c>
      <c r="K85" s="22">
        <f>2</f>
        <v>2</v>
      </c>
      <c r="L85" s="22">
        <f>1</f>
        <v>1</v>
      </c>
      <c r="M85" s="23">
        <f t="shared" si="4"/>
        <v>425.04474499999998</v>
      </c>
      <c r="N85" s="24">
        <f>M85-_1H</f>
        <v>424.03691999999995</v>
      </c>
    </row>
    <row r="86" spans="1:14" x14ac:dyDescent="0.25">
      <c r="A86" s="16"/>
      <c r="B86" s="17"/>
      <c r="C86" s="18">
        <v>22</v>
      </c>
      <c r="D86" s="18" t="s">
        <v>294</v>
      </c>
      <c r="E86" s="18"/>
      <c r="F86" s="18"/>
      <c r="G86" s="18" t="s">
        <v>293</v>
      </c>
      <c r="H86" s="18">
        <f t="shared" si="5"/>
        <v>14</v>
      </c>
      <c r="I86" s="18">
        <v>19</v>
      </c>
      <c r="J86" s="18">
        <f>9+1</f>
        <v>10</v>
      </c>
      <c r="K86" s="18">
        <f>2</f>
        <v>2</v>
      </c>
      <c r="L86" s="18">
        <f>1</f>
        <v>1</v>
      </c>
      <c r="M86" s="19">
        <f t="shared" si="4"/>
        <v>425.04474499999998</v>
      </c>
      <c r="N86" s="12">
        <f>M86-_1H</f>
        <v>424.03691999999995</v>
      </c>
    </row>
    <row r="87" spans="1:14" x14ac:dyDescent="0.25">
      <c r="A87" s="16"/>
      <c r="B87" s="17"/>
      <c r="C87" s="56">
        <v>23</v>
      </c>
      <c r="D87" s="56" t="s">
        <v>295</v>
      </c>
      <c r="E87" s="56"/>
      <c r="F87" s="56" t="s">
        <v>296</v>
      </c>
      <c r="G87" s="56" t="s">
        <v>293</v>
      </c>
      <c r="H87" s="56">
        <f t="shared" si="5"/>
        <v>14</v>
      </c>
      <c r="I87" s="56">
        <v>19</v>
      </c>
      <c r="J87" s="56">
        <f>9+1</f>
        <v>10</v>
      </c>
      <c r="K87" s="56">
        <f>2</f>
        <v>2</v>
      </c>
      <c r="L87" s="56">
        <f>1</f>
        <v>1</v>
      </c>
      <c r="M87" s="57">
        <f t="shared" si="4"/>
        <v>425.04474499999998</v>
      </c>
      <c r="N87" s="58">
        <f>M87-_1H</f>
        <v>424.03691999999995</v>
      </c>
    </row>
    <row r="88" spans="1:14" x14ac:dyDescent="0.25">
      <c r="A88" s="16"/>
      <c r="B88" s="17"/>
      <c r="C88" s="18">
        <v>14</v>
      </c>
      <c r="D88" s="18" t="s">
        <v>297</v>
      </c>
      <c r="E88" s="18"/>
      <c r="F88" s="18" t="s">
        <v>298</v>
      </c>
      <c r="G88" s="18" t="s">
        <v>299</v>
      </c>
      <c r="H88" s="18">
        <f t="shared" si="5"/>
        <v>14</v>
      </c>
      <c r="I88" s="18">
        <f>11+5+2</f>
        <v>18</v>
      </c>
      <c r="J88" s="18">
        <f>9+2</f>
        <v>11</v>
      </c>
      <c r="K88" s="18">
        <f>2</f>
        <v>2</v>
      </c>
      <c r="L88" s="18">
        <f>1</f>
        <v>1</v>
      </c>
      <c r="M88" s="19">
        <f t="shared" si="4"/>
        <v>440.03181999999998</v>
      </c>
      <c r="N88" s="12"/>
    </row>
    <row r="89" spans="1:14" x14ac:dyDescent="0.25">
      <c r="A89" s="16"/>
      <c r="B89" s="17"/>
      <c r="C89" s="18">
        <v>44</v>
      </c>
      <c r="D89" s="18" t="s">
        <v>300</v>
      </c>
      <c r="E89" s="18"/>
      <c r="F89" s="18"/>
      <c r="G89" s="18" t="s">
        <v>301</v>
      </c>
      <c r="H89" s="18">
        <f t="shared" si="5"/>
        <v>14</v>
      </c>
      <c r="I89" s="18">
        <f>11+4+2+3</f>
        <v>20</v>
      </c>
      <c r="J89" s="18">
        <f>9+1</f>
        <v>10</v>
      </c>
      <c r="K89" s="18">
        <f>2</f>
        <v>2</v>
      </c>
      <c r="L89" s="18">
        <f>1</f>
        <v>1</v>
      </c>
      <c r="M89" s="19">
        <f t="shared" si="4"/>
        <v>426.05257</v>
      </c>
      <c r="N89" s="12"/>
    </row>
    <row r="90" spans="1:14" x14ac:dyDescent="0.25">
      <c r="A90" s="16"/>
      <c r="B90" s="17"/>
      <c r="C90" s="18">
        <v>45</v>
      </c>
      <c r="D90" s="18" t="s">
        <v>302</v>
      </c>
      <c r="E90" s="18"/>
      <c r="F90" s="18" t="s">
        <v>303</v>
      </c>
      <c r="G90" s="18" t="s">
        <v>304</v>
      </c>
      <c r="H90" s="18">
        <f>15</f>
        <v>15</v>
      </c>
      <c r="I90" s="18">
        <f>21</f>
        <v>21</v>
      </c>
      <c r="J90" s="18">
        <f>9+1</f>
        <v>10</v>
      </c>
      <c r="K90" s="18">
        <f>2</f>
        <v>2</v>
      </c>
      <c r="L90" s="18">
        <f>1</f>
        <v>1</v>
      </c>
      <c r="M90" s="19">
        <f t="shared" si="4"/>
        <v>439.06039499999997</v>
      </c>
      <c r="N90" s="12">
        <f>M90-_1H</f>
        <v>438.05256999999995</v>
      </c>
    </row>
    <row r="91" spans="1:14" x14ac:dyDescent="0.25">
      <c r="A91" s="16"/>
      <c r="B91" s="17"/>
      <c r="C91" s="18">
        <v>46</v>
      </c>
      <c r="D91" s="18" t="s">
        <v>305</v>
      </c>
      <c r="E91" s="18"/>
      <c r="F91" s="18" t="s">
        <v>306</v>
      </c>
      <c r="G91" s="18" t="s">
        <v>304</v>
      </c>
      <c r="H91" s="18">
        <v>15</v>
      </c>
      <c r="I91" s="18">
        <v>21</v>
      </c>
      <c r="J91" s="18">
        <f>9+1</f>
        <v>10</v>
      </c>
      <c r="K91" s="18">
        <f>2</f>
        <v>2</v>
      </c>
      <c r="L91" s="18">
        <f>1</f>
        <v>1</v>
      </c>
      <c r="M91" s="19">
        <f t="shared" si="4"/>
        <v>439.06039499999997</v>
      </c>
      <c r="N91" s="12">
        <f>M91-_1H</f>
        <v>438.05256999999995</v>
      </c>
    </row>
    <row r="92" spans="1:14" x14ac:dyDescent="0.25">
      <c r="A92" s="16"/>
      <c r="B92" s="17"/>
      <c r="C92" s="18">
        <v>15</v>
      </c>
      <c r="D92" s="18" t="s">
        <v>307</v>
      </c>
      <c r="E92" s="18"/>
      <c r="F92" s="18"/>
      <c r="G92" s="18" t="s">
        <v>308</v>
      </c>
      <c r="H92" s="18">
        <f>7+6+2+1</f>
        <v>16</v>
      </c>
      <c r="I92" s="18">
        <f>11+3+2*3+2</f>
        <v>22</v>
      </c>
      <c r="J92" s="18">
        <f>9+2</f>
        <v>11</v>
      </c>
      <c r="K92" s="18">
        <f>2</f>
        <v>2</v>
      </c>
      <c r="L92" s="18">
        <f>1</f>
        <v>1</v>
      </c>
      <c r="M92" s="19">
        <f t="shared" si="4"/>
        <v>468.06311999999997</v>
      </c>
      <c r="N92" s="12"/>
    </row>
    <row r="93" spans="1:14" x14ac:dyDescent="0.25">
      <c r="A93" s="16"/>
      <c r="B93" s="17"/>
      <c r="C93" s="18">
        <v>114</v>
      </c>
      <c r="D93" s="18" t="s">
        <v>309</v>
      </c>
      <c r="E93" s="18"/>
      <c r="F93" s="18"/>
      <c r="G93" s="18" t="s">
        <v>310</v>
      </c>
      <c r="H93" s="18">
        <f>7+6+3+1</f>
        <v>17</v>
      </c>
      <c r="I93" s="18">
        <f>11+2+3*3+2</f>
        <v>24</v>
      </c>
      <c r="J93" s="18">
        <f>9+3</f>
        <v>12</v>
      </c>
      <c r="K93" s="18">
        <f>2</f>
        <v>2</v>
      </c>
      <c r="L93" s="18">
        <f>1</f>
        <v>1</v>
      </c>
      <c r="M93" s="19">
        <f t="shared" si="4"/>
        <v>498.07366999999999</v>
      </c>
      <c r="N93" s="12"/>
    </row>
    <row r="94" spans="1:14" x14ac:dyDescent="0.25">
      <c r="A94" s="16"/>
      <c r="B94" s="17"/>
      <c r="C94" s="37">
        <v>105</v>
      </c>
      <c r="D94" s="37" t="s">
        <v>311</v>
      </c>
      <c r="E94" s="37" t="s">
        <v>312</v>
      </c>
      <c r="F94" s="37" t="s">
        <v>313</v>
      </c>
      <c r="G94" s="37" t="s">
        <v>314</v>
      </c>
      <c r="H94" s="37">
        <f>7+6+2</f>
        <v>15</v>
      </c>
      <c r="I94" s="37">
        <v>21</v>
      </c>
      <c r="J94" s="37">
        <f>9</f>
        <v>9</v>
      </c>
      <c r="K94" s="37">
        <f>2</f>
        <v>2</v>
      </c>
      <c r="L94" s="37">
        <f>1</f>
        <v>1</v>
      </c>
      <c r="M94" s="38">
        <f t="shared" si="4"/>
        <v>423.065495</v>
      </c>
      <c r="N94" s="36">
        <f>M94-_1H</f>
        <v>422.05766999999997</v>
      </c>
    </row>
    <row r="95" spans="1:14" x14ac:dyDescent="0.25">
      <c r="A95" s="16"/>
      <c r="B95" s="17"/>
      <c r="C95" s="18">
        <v>40</v>
      </c>
      <c r="D95" s="18" t="s">
        <v>315</v>
      </c>
      <c r="E95" s="18" t="s">
        <v>316</v>
      </c>
      <c r="F95" s="18" t="s">
        <v>317</v>
      </c>
      <c r="G95" s="18" t="s">
        <v>318</v>
      </c>
      <c r="H95" s="18">
        <f>7+6+2</f>
        <v>15</v>
      </c>
      <c r="I95" s="18">
        <v>21</v>
      </c>
      <c r="J95" s="18">
        <f>9+1</f>
        <v>10</v>
      </c>
      <c r="K95" s="18">
        <f>2</f>
        <v>2</v>
      </c>
      <c r="L95" s="18">
        <f>1</f>
        <v>1</v>
      </c>
      <c r="M95" s="19">
        <f t="shared" si="4"/>
        <v>439.06039499999997</v>
      </c>
      <c r="N95" s="12">
        <f>M95-_1H</f>
        <v>438.05256999999995</v>
      </c>
    </row>
    <row r="96" spans="1:14" x14ac:dyDescent="0.25">
      <c r="A96" s="16"/>
      <c r="B96" s="17"/>
      <c r="C96" s="18">
        <v>50</v>
      </c>
      <c r="D96" s="18" t="s">
        <v>319</v>
      </c>
      <c r="E96" s="18"/>
      <c r="F96" s="18"/>
      <c r="G96" s="18" t="s">
        <v>320</v>
      </c>
      <c r="H96" s="18">
        <f>7+6+3</f>
        <v>16</v>
      </c>
      <c r="I96" s="18">
        <f>11+4+3+2*2</f>
        <v>22</v>
      </c>
      <c r="J96" s="18">
        <f>9+1</f>
        <v>10</v>
      </c>
      <c r="K96" s="18">
        <f>2</f>
        <v>2</v>
      </c>
      <c r="L96" s="18">
        <f>1</f>
        <v>1</v>
      </c>
      <c r="M96" s="19">
        <f t="shared" si="4"/>
        <v>452.06821999999994</v>
      </c>
      <c r="N96" s="12"/>
    </row>
    <row r="97" spans="1:14" x14ac:dyDescent="0.25">
      <c r="A97" s="16"/>
      <c r="B97" s="17"/>
      <c r="C97" s="18">
        <v>106</v>
      </c>
      <c r="D97" s="18" t="s">
        <v>321</v>
      </c>
      <c r="E97" s="18" t="s">
        <v>322</v>
      </c>
      <c r="F97" s="18"/>
      <c r="G97" s="18" t="s">
        <v>323</v>
      </c>
      <c r="H97" s="18">
        <f>7+6+3</f>
        <v>16</v>
      </c>
      <c r="I97" s="18">
        <f>11+5+3*2</f>
        <v>22</v>
      </c>
      <c r="J97" s="18">
        <f>9</f>
        <v>9</v>
      </c>
      <c r="K97" s="18">
        <f>2</f>
        <v>2</v>
      </c>
      <c r="L97" s="18">
        <f>1</f>
        <v>1</v>
      </c>
      <c r="M97" s="19">
        <f t="shared" si="4"/>
        <v>436.07331999999997</v>
      </c>
      <c r="N97" s="12"/>
    </row>
    <row r="98" spans="1:14" x14ac:dyDescent="0.25">
      <c r="A98" s="16"/>
      <c r="B98" s="17"/>
      <c r="C98" s="18">
        <v>104</v>
      </c>
      <c r="D98" s="18" t="s">
        <v>324</v>
      </c>
      <c r="E98" s="18" t="s">
        <v>325</v>
      </c>
      <c r="F98" s="18"/>
      <c r="G98" s="18" t="s">
        <v>326</v>
      </c>
      <c r="H98" s="18">
        <f>7+6+4</f>
        <v>17</v>
      </c>
      <c r="I98" s="18">
        <f>11+5+4*2</f>
        <v>24</v>
      </c>
      <c r="J98" s="18">
        <f>9</f>
        <v>9</v>
      </c>
      <c r="K98" s="18">
        <f>2</f>
        <v>2</v>
      </c>
      <c r="L98" s="18">
        <f>1</f>
        <v>1</v>
      </c>
      <c r="M98" s="19">
        <f t="shared" si="4"/>
        <v>450.08896999999996</v>
      </c>
      <c r="N98" s="12"/>
    </row>
    <row r="99" spans="1:14" x14ac:dyDescent="0.25">
      <c r="A99" s="29"/>
      <c r="B99" s="30"/>
      <c r="C99" s="43">
        <v>49</v>
      </c>
      <c r="D99" s="43" t="s">
        <v>327</v>
      </c>
      <c r="E99" s="43"/>
      <c r="F99" s="43"/>
      <c r="G99" s="44" t="s">
        <v>328</v>
      </c>
      <c r="H99" s="43">
        <f>7+6+1+4</f>
        <v>18</v>
      </c>
      <c r="I99" s="43">
        <f>11+4+3+2*3+2</f>
        <v>26</v>
      </c>
      <c r="J99" s="43">
        <f>9+1</f>
        <v>10</v>
      </c>
      <c r="K99" s="43">
        <f>2</f>
        <v>2</v>
      </c>
      <c r="L99" s="43">
        <f>1</f>
        <v>1</v>
      </c>
      <c r="M99" s="45">
        <f t="shared" si="4"/>
        <v>480.09951999999998</v>
      </c>
      <c r="N99" s="24"/>
    </row>
    <row r="100" spans="1:14" x14ac:dyDescent="0.25">
      <c r="A100" s="7" t="s">
        <v>329</v>
      </c>
      <c r="B100" s="8"/>
      <c r="C100" s="9">
        <v>8</v>
      </c>
      <c r="D100" s="9" t="s">
        <v>330</v>
      </c>
      <c r="E100" s="9"/>
      <c r="F100" s="9"/>
      <c r="G100" s="9" t="s">
        <v>331</v>
      </c>
      <c r="H100" s="9">
        <f>7+7+1</f>
        <v>15</v>
      </c>
      <c r="I100" s="9">
        <f>11+5+2</f>
        <v>18</v>
      </c>
      <c r="J100" s="9">
        <f t="shared" ref="J100:J107" si="6">9+2</f>
        <v>11</v>
      </c>
      <c r="K100" s="9">
        <f>2</f>
        <v>2</v>
      </c>
      <c r="L100" s="9">
        <f>1</f>
        <v>1</v>
      </c>
      <c r="M100" s="11">
        <f t="shared" si="4"/>
        <v>452.03181999999998</v>
      </c>
      <c r="N100" s="12"/>
    </row>
    <row r="101" spans="1:14" x14ac:dyDescent="0.25">
      <c r="A101" s="16"/>
      <c r="B101" s="17"/>
      <c r="C101" s="18">
        <v>6</v>
      </c>
      <c r="D101" s="18" t="s">
        <v>332</v>
      </c>
      <c r="E101" s="18"/>
      <c r="F101" s="18"/>
      <c r="G101" s="18" t="s">
        <v>333</v>
      </c>
      <c r="H101" s="18">
        <f>7+7+2</f>
        <v>16</v>
      </c>
      <c r="I101" s="18">
        <f>11+5+2*2</f>
        <v>20</v>
      </c>
      <c r="J101" s="18">
        <f t="shared" si="6"/>
        <v>11</v>
      </c>
      <c r="K101" s="18">
        <f>2</f>
        <v>2</v>
      </c>
      <c r="L101" s="18">
        <f>1</f>
        <v>1</v>
      </c>
      <c r="M101" s="19">
        <f t="shared" si="4"/>
        <v>466.04746999999998</v>
      </c>
      <c r="N101" s="12"/>
    </row>
    <row r="102" spans="1:14" x14ac:dyDescent="0.25">
      <c r="A102" s="16"/>
      <c r="B102" s="17"/>
      <c r="C102" s="18">
        <v>9</v>
      </c>
      <c r="D102" s="18" t="s">
        <v>334</v>
      </c>
      <c r="E102" s="18"/>
      <c r="F102" s="18" t="s">
        <v>335</v>
      </c>
      <c r="G102" s="18" t="s">
        <v>336</v>
      </c>
      <c r="H102" s="18">
        <f>7+7+3</f>
        <v>17</v>
      </c>
      <c r="I102" s="18">
        <f>11+5+2+1+3</f>
        <v>22</v>
      </c>
      <c r="J102" s="18">
        <f t="shared" si="6"/>
        <v>11</v>
      </c>
      <c r="K102" s="18">
        <f>2</f>
        <v>2</v>
      </c>
      <c r="L102" s="18">
        <f>1</f>
        <v>1</v>
      </c>
      <c r="M102" s="19">
        <f t="shared" si="4"/>
        <v>480.06311999999997</v>
      </c>
      <c r="N102" s="12"/>
    </row>
    <row r="103" spans="1:14" x14ac:dyDescent="0.25">
      <c r="A103" s="16"/>
      <c r="B103" s="17"/>
      <c r="C103" s="18">
        <v>7</v>
      </c>
      <c r="D103" s="18" t="s">
        <v>337</v>
      </c>
      <c r="E103" s="18"/>
      <c r="F103" s="18" t="s">
        <v>338</v>
      </c>
      <c r="G103" s="18" t="s">
        <v>339</v>
      </c>
      <c r="H103" s="18">
        <f>7+7+5</f>
        <v>19</v>
      </c>
      <c r="I103" s="18">
        <f>11+5+2*2+1+3</f>
        <v>24</v>
      </c>
      <c r="J103" s="18">
        <f t="shared" si="6"/>
        <v>11</v>
      </c>
      <c r="K103" s="18">
        <f>2</f>
        <v>2</v>
      </c>
      <c r="L103" s="18">
        <f>1</f>
        <v>1</v>
      </c>
      <c r="M103" s="19">
        <f t="shared" si="4"/>
        <v>506.07877000000002</v>
      </c>
      <c r="N103" s="12"/>
    </row>
    <row r="104" spans="1:14" x14ac:dyDescent="0.25">
      <c r="A104" s="16"/>
      <c r="B104" s="17"/>
      <c r="C104" s="18">
        <v>10</v>
      </c>
      <c r="D104" s="18" t="s">
        <v>340</v>
      </c>
      <c r="E104" s="18"/>
      <c r="F104" s="18" t="s">
        <v>341</v>
      </c>
      <c r="G104" s="18" t="s">
        <v>342</v>
      </c>
      <c r="H104" s="18">
        <f>7+7+3</f>
        <v>17</v>
      </c>
      <c r="I104" s="18">
        <f>11+5+3*2</f>
        <v>22</v>
      </c>
      <c r="J104" s="18">
        <f t="shared" si="6"/>
        <v>11</v>
      </c>
      <c r="K104" s="18">
        <f>2</f>
        <v>2</v>
      </c>
      <c r="L104" s="18">
        <f>1</f>
        <v>1</v>
      </c>
      <c r="M104" s="19">
        <f t="shared" si="4"/>
        <v>480.06311999999997</v>
      </c>
      <c r="N104" s="12"/>
    </row>
    <row r="105" spans="1:14" x14ac:dyDescent="0.25">
      <c r="A105" s="16"/>
      <c r="B105" s="17"/>
      <c r="C105" s="18">
        <v>5</v>
      </c>
      <c r="D105" s="18" t="s">
        <v>343</v>
      </c>
      <c r="E105" s="18" t="s">
        <v>344</v>
      </c>
      <c r="F105" s="18"/>
      <c r="G105" s="18" t="s">
        <v>345</v>
      </c>
      <c r="H105" s="18">
        <f>7+7+4</f>
        <v>18</v>
      </c>
      <c r="I105" s="18">
        <v>25</v>
      </c>
      <c r="J105" s="18">
        <f t="shared" si="6"/>
        <v>11</v>
      </c>
      <c r="K105" s="18">
        <f>2</f>
        <v>2</v>
      </c>
      <c r="L105" s="18">
        <f>1</f>
        <v>1</v>
      </c>
      <c r="M105" s="19">
        <f t="shared" si="4"/>
        <v>495.08659499999999</v>
      </c>
      <c r="N105" s="12">
        <f>M105-_1H</f>
        <v>494.07876999999996</v>
      </c>
    </row>
    <row r="106" spans="1:14" x14ac:dyDescent="0.25">
      <c r="A106" s="16"/>
      <c r="B106" s="17"/>
      <c r="C106" s="22">
        <v>117</v>
      </c>
      <c r="D106" s="22" t="s">
        <v>346</v>
      </c>
      <c r="E106" s="22" t="s">
        <v>347</v>
      </c>
      <c r="F106" s="22"/>
      <c r="G106" s="53" t="s">
        <v>348</v>
      </c>
      <c r="H106" s="22">
        <f>7+7+5</f>
        <v>19</v>
      </c>
      <c r="I106" s="22">
        <v>27</v>
      </c>
      <c r="J106" s="22">
        <f t="shared" si="6"/>
        <v>11</v>
      </c>
      <c r="K106" s="22">
        <f>2</f>
        <v>2</v>
      </c>
      <c r="L106" s="22">
        <f>1</f>
        <v>1</v>
      </c>
      <c r="M106" s="23">
        <f t="shared" si="4"/>
        <v>509.10224499999998</v>
      </c>
      <c r="N106" s="24">
        <f>M106-_1H</f>
        <v>508.09441999999996</v>
      </c>
    </row>
    <row r="107" spans="1:14" x14ac:dyDescent="0.25">
      <c r="A107" s="29"/>
      <c r="B107" s="30"/>
      <c r="C107" s="43">
        <v>118</v>
      </c>
      <c r="D107" s="43" t="s">
        <v>349</v>
      </c>
      <c r="E107" s="43"/>
      <c r="F107" s="43"/>
      <c r="G107" s="44" t="s">
        <v>350</v>
      </c>
      <c r="H107" s="43">
        <f>7+7+6</f>
        <v>20</v>
      </c>
      <c r="I107" s="43">
        <f>11+5+6*2</f>
        <v>28</v>
      </c>
      <c r="J107" s="43">
        <f t="shared" si="6"/>
        <v>11</v>
      </c>
      <c r="K107" s="43">
        <f>2</f>
        <v>2</v>
      </c>
      <c r="L107" s="43">
        <f>1</f>
        <v>1</v>
      </c>
      <c r="M107" s="45">
        <f t="shared" si="4"/>
        <v>522.11007000000006</v>
      </c>
      <c r="N107" s="24"/>
    </row>
    <row r="108" spans="1:14" x14ac:dyDescent="0.25">
      <c r="A108" s="7" t="s">
        <v>351</v>
      </c>
      <c r="B108" s="8"/>
      <c r="C108" s="34">
        <v>43</v>
      </c>
      <c r="D108" s="34" t="s">
        <v>352</v>
      </c>
      <c r="E108" s="34" t="s">
        <v>353</v>
      </c>
      <c r="F108" s="34" t="s">
        <v>354</v>
      </c>
      <c r="G108" s="34" t="s">
        <v>355</v>
      </c>
      <c r="H108" s="34">
        <f>7+9</f>
        <v>16</v>
      </c>
      <c r="I108" s="34">
        <f>20</f>
        <v>20</v>
      </c>
      <c r="J108" s="34">
        <f>9</f>
        <v>9</v>
      </c>
      <c r="K108" s="34">
        <f>2</f>
        <v>2</v>
      </c>
      <c r="L108" s="34">
        <f t="shared" ref="L108:L113" si="7">1+1</f>
        <v>2</v>
      </c>
      <c r="M108" s="35">
        <f t="shared" si="4"/>
        <v>448.06074000000001</v>
      </c>
      <c r="N108" s="36">
        <f>M108-_1H</f>
        <v>447.05291499999998</v>
      </c>
    </row>
    <row r="109" spans="1:14" x14ac:dyDescent="0.25">
      <c r="A109" s="16"/>
      <c r="B109" s="17"/>
      <c r="C109" s="18">
        <v>28</v>
      </c>
      <c r="D109" s="18" t="s">
        <v>356</v>
      </c>
      <c r="E109" s="18" t="s">
        <v>357</v>
      </c>
      <c r="F109" s="18" t="s">
        <v>358</v>
      </c>
      <c r="G109" s="18" t="s">
        <v>359</v>
      </c>
      <c r="H109" s="18">
        <f>7+9</f>
        <v>16</v>
      </c>
      <c r="I109" s="18">
        <f>20</f>
        <v>20</v>
      </c>
      <c r="J109" s="18">
        <f>9+1</f>
        <v>10</v>
      </c>
      <c r="K109" s="18">
        <f>2</f>
        <v>2</v>
      </c>
      <c r="L109" s="18">
        <f t="shared" si="7"/>
        <v>2</v>
      </c>
      <c r="M109" s="19">
        <f t="shared" si="4"/>
        <v>464.05564000000004</v>
      </c>
      <c r="N109" s="12">
        <f>M109-_1H</f>
        <v>463.04781500000001</v>
      </c>
    </row>
    <row r="110" spans="1:14" x14ac:dyDescent="0.25">
      <c r="A110" s="16"/>
      <c r="B110" s="17"/>
      <c r="C110" s="37">
        <v>47</v>
      </c>
      <c r="D110" s="37" t="s">
        <v>360</v>
      </c>
      <c r="E110" s="37" t="s">
        <v>361</v>
      </c>
      <c r="F110" s="37" t="s">
        <v>362</v>
      </c>
      <c r="G110" s="37" t="s">
        <v>363</v>
      </c>
      <c r="H110" s="37">
        <f>7+9+1</f>
        <v>17</v>
      </c>
      <c r="I110" s="37">
        <v>22</v>
      </c>
      <c r="J110" s="37">
        <f>9+1</f>
        <v>10</v>
      </c>
      <c r="K110" s="37">
        <f>2</f>
        <v>2</v>
      </c>
      <c r="L110" s="37">
        <f t="shared" si="7"/>
        <v>2</v>
      </c>
      <c r="M110" s="38">
        <f t="shared" si="4"/>
        <v>478.07128999999998</v>
      </c>
      <c r="N110" s="36">
        <f>M110-_1H</f>
        <v>477.06346499999995</v>
      </c>
    </row>
    <row r="111" spans="1:14" x14ac:dyDescent="0.25">
      <c r="A111" s="16"/>
      <c r="B111" s="17"/>
      <c r="C111" s="18">
        <v>48</v>
      </c>
      <c r="D111" s="18" t="s">
        <v>364</v>
      </c>
      <c r="E111" s="18" t="s">
        <v>365</v>
      </c>
      <c r="F111" s="18" t="s">
        <v>366</v>
      </c>
      <c r="G111" s="18" t="s">
        <v>363</v>
      </c>
      <c r="H111" s="18">
        <f>7+9+1</f>
        <v>17</v>
      </c>
      <c r="I111" s="18">
        <v>22</v>
      </c>
      <c r="J111" s="18">
        <f>9+1</f>
        <v>10</v>
      </c>
      <c r="K111" s="18">
        <f>2</f>
        <v>2</v>
      </c>
      <c r="L111" s="18">
        <f t="shared" si="7"/>
        <v>2</v>
      </c>
      <c r="M111" s="19">
        <f t="shared" si="4"/>
        <v>478.07128999999998</v>
      </c>
      <c r="N111" s="12">
        <f>M111-_1H</f>
        <v>477.06346499999995</v>
      </c>
    </row>
    <row r="112" spans="1:14" x14ac:dyDescent="0.25">
      <c r="A112" s="16"/>
      <c r="B112" s="17"/>
      <c r="C112" s="22">
        <v>2</v>
      </c>
      <c r="D112" s="22" t="s">
        <v>367</v>
      </c>
      <c r="E112" s="22"/>
      <c r="F112" s="22" t="s">
        <v>368</v>
      </c>
      <c r="G112" s="53" t="s">
        <v>369</v>
      </c>
      <c r="H112" s="22">
        <f>7+9+2</f>
        <v>18</v>
      </c>
      <c r="I112" s="22">
        <f>11+4+1+2+3</f>
        <v>21</v>
      </c>
      <c r="J112" s="22">
        <f>9+1</f>
        <v>10</v>
      </c>
      <c r="K112" s="22">
        <f>2</f>
        <v>2</v>
      </c>
      <c r="L112" s="22">
        <f t="shared" si="7"/>
        <v>2</v>
      </c>
      <c r="M112" s="23">
        <f t="shared" si="4"/>
        <v>489.06346500000001</v>
      </c>
      <c r="N112" s="24"/>
    </row>
    <row r="113" spans="1:14" x14ac:dyDescent="0.25">
      <c r="A113" s="29"/>
      <c r="B113" s="30"/>
      <c r="C113" s="31">
        <v>112</v>
      </c>
      <c r="D113" s="31" t="s">
        <v>370</v>
      </c>
      <c r="E113" s="31"/>
      <c r="F113" s="31" t="s">
        <v>371</v>
      </c>
      <c r="G113" s="31" t="s">
        <v>372</v>
      </c>
      <c r="H113" s="31">
        <f>7+9</f>
        <v>16</v>
      </c>
      <c r="I113" s="31">
        <f>11+4+1+2</f>
        <v>18</v>
      </c>
      <c r="J113" s="31">
        <f>9+4</f>
        <v>13</v>
      </c>
      <c r="K113" s="31">
        <f>2+1</f>
        <v>3</v>
      </c>
      <c r="L113" s="31">
        <f t="shared" si="7"/>
        <v>2</v>
      </c>
      <c r="M113" s="32">
        <f t="shared" si="4"/>
        <v>541.99668999999994</v>
      </c>
      <c r="N113" s="12"/>
    </row>
    <row r="114" spans="1:14" x14ac:dyDescent="0.25">
      <c r="A114" s="7" t="s">
        <v>373</v>
      </c>
      <c r="B114" s="8"/>
      <c r="C114" s="9">
        <v>1</v>
      </c>
      <c r="D114" s="9" t="s">
        <v>374</v>
      </c>
      <c r="E114" s="9"/>
      <c r="F114" s="9" t="s">
        <v>375</v>
      </c>
      <c r="G114" s="9" t="s">
        <v>376</v>
      </c>
      <c r="H114" s="9">
        <f>7+5</f>
        <v>12</v>
      </c>
      <c r="I114" s="9">
        <f>11+3*2+3</f>
        <v>20</v>
      </c>
      <c r="J114" s="9">
        <f>9+2</f>
        <v>11</v>
      </c>
      <c r="K114" s="9">
        <f>2</f>
        <v>2</v>
      </c>
      <c r="L114" s="9">
        <f>1</f>
        <v>1</v>
      </c>
      <c r="M114" s="11">
        <f t="shared" si="4"/>
        <v>418.04746999999998</v>
      </c>
      <c r="N114" s="12"/>
    </row>
    <row r="115" spans="1:14" x14ac:dyDescent="0.25">
      <c r="A115" s="16"/>
      <c r="B115" s="17"/>
      <c r="C115" s="22">
        <v>109</v>
      </c>
      <c r="D115" s="22" t="s">
        <v>377</v>
      </c>
      <c r="E115" s="22"/>
      <c r="F115" s="22"/>
      <c r="G115" s="53" t="s">
        <v>378</v>
      </c>
      <c r="H115" s="22">
        <f>7+1+6+6</f>
        <v>20</v>
      </c>
      <c r="I115" s="22">
        <f>11+2+4+5+4+3</f>
        <v>29</v>
      </c>
      <c r="J115" s="22">
        <f>9+5</f>
        <v>14</v>
      </c>
      <c r="K115" s="22">
        <f>2</f>
        <v>2</v>
      </c>
      <c r="L115" s="22">
        <f>1</f>
        <v>1</v>
      </c>
      <c r="M115" s="23">
        <f t="shared" si="4"/>
        <v>571.10259499999995</v>
      </c>
      <c r="N115" s="24"/>
    </row>
    <row r="116" spans="1:14" x14ac:dyDescent="0.25">
      <c r="A116" s="16"/>
      <c r="B116" s="17"/>
      <c r="C116" s="22">
        <v>110</v>
      </c>
      <c r="D116" s="22" t="s">
        <v>379</v>
      </c>
      <c r="E116" s="22"/>
      <c r="F116" s="22"/>
      <c r="G116" s="53" t="s">
        <v>380</v>
      </c>
      <c r="H116" s="22">
        <f>7+1+6+6</f>
        <v>20</v>
      </c>
      <c r="I116" s="22">
        <f>11+2+4+5+4+3</f>
        <v>29</v>
      </c>
      <c r="J116" s="22">
        <f>9+5</f>
        <v>14</v>
      </c>
      <c r="K116" s="22">
        <f>2</f>
        <v>2</v>
      </c>
      <c r="L116" s="22">
        <f>1</f>
        <v>1</v>
      </c>
      <c r="M116" s="23">
        <f t="shared" si="4"/>
        <v>571.10259499999995</v>
      </c>
      <c r="N116" s="24"/>
    </row>
    <row r="117" spans="1:14" x14ac:dyDescent="0.25">
      <c r="A117" s="16"/>
      <c r="B117" s="17"/>
      <c r="C117" s="22">
        <v>3</v>
      </c>
      <c r="D117" s="22" t="s">
        <v>381</v>
      </c>
      <c r="E117" s="22"/>
      <c r="F117" s="22"/>
      <c r="G117" s="53" t="s">
        <v>382</v>
      </c>
      <c r="H117" s="22">
        <f>7+1+6+7</f>
        <v>21</v>
      </c>
      <c r="I117" s="22">
        <f>11+2+4+5+2+2*3</f>
        <v>30</v>
      </c>
      <c r="J117" s="22">
        <f>9+6</f>
        <v>15</v>
      </c>
      <c r="K117" s="22">
        <f>2</f>
        <v>2</v>
      </c>
      <c r="L117" s="22">
        <f>1</f>
        <v>1</v>
      </c>
      <c r="M117" s="23">
        <f t="shared" si="4"/>
        <v>600.10531999999989</v>
      </c>
      <c r="N117" s="24"/>
    </row>
    <row r="118" spans="1:14" x14ac:dyDescent="0.25">
      <c r="A118" s="16"/>
      <c r="B118" s="17"/>
      <c r="C118" s="22">
        <v>4</v>
      </c>
      <c r="D118" s="22" t="s">
        <v>383</v>
      </c>
      <c r="E118" s="22"/>
      <c r="F118" s="22"/>
      <c r="G118" s="53" t="s">
        <v>384</v>
      </c>
      <c r="H118" s="22">
        <f>7+2+6+5</f>
        <v>20</v>
      </c>
      <c r="I118" s="22">
        <f>11+2+1+5+6+3</f>
        <v>28</v>
      </c>
      <c r="J118" s="22">
        <f>9+5</f>
        <v>14</v>
      </c>
      <c r="K118" s="22">
        <f>2</f>
        <v>2</v>
      </c>
      <c r="L118" s="22">
        <f>1</f>
        <v>1</v>
      </c>
      <c r="M118" s="23">
        <f t="shared" si="4"/>
        <v>570.09476999999993</v>
      </c>
      <c r="N118" s="24"/>
    </row>
    <row r="119" spans="1:14" x14ac:dyDescent="0.25">
      <c r="A119" s="29"/>
      <c r="B119" s="30"/>
      <c r="C119" s="31">
        <v>111</v>
      </c>
      <c r="D119" s="31" t="s">
        <v>385</v>
      </c>
      <c r="E119" s="31"/>
      <c r="F119" s="31"/>
      <c r="G119" s="31" t="s">
        <v>386</v>
      </c>
      <c r="H119" s="31">
        <f>22</f>
        <v>22</v>
      </c>
      <c r="I119" s="31">
        <f>3*3+5*2+8+3</f>
        <v>30</v>
      </c>
      <c r="J119" s="31">
        <f>14</f>
        <v>14</v>
      </c>
      <c r="K119" s="31">
        <f>2</f>
        <v>2</v>
      </c>
      <c r="L119" s="31">
        <f>1</f>
        <v>1</v>
      </c>
      <c r="M119" s="32">
        <f t="shared" si="4"/>
        <v>596.11041999999998</v>
      </c>
      <c r="N119" s="12"/>
    </row>
    <row r="120" spans="1:14" x14ac:dyDescent="0.25">
      <c r="A120" s="7" t="s">
        <v>387</v>
      </c>
      <c r="B120" s="8"/>
      <c r="C120" s="50"/>
      <c r="D120" s="50" t="s">
        <v>388</v>
      </c>
      <c r="E120" s="50"/>
      <c r="F120" s="50" t="s">
        <v>389</v>
      </c>
      <c r="G120" s="50" t="s">
        <v>390</v>
      </c>
      <c r="H120" s="50">
        <v>5</v>
      </c>
      <c r="I120" s="50">
        <v>10</v>
      </c>
      <c r="J120" s="50">
        <v>2</v>
      </c>
      <c r="K120" s="50">
        <v>1</v>
      </c>
      <c r="L120" s="50">
        <v>1</v>
      </c>
      <c r="M120" s="59">
        <f t="shared" si="4"/>
        <v>148.04312000000002</v>
      </c>
      <c r="N120" s="60"/>
    </row>
    <row r="121" spans="1:14" x14ac:dyDescent="0.25">
      <c r="A121" s="16"/>
      <c r="B121" s="17"/>
      <c r="C121" s="22"/>
      <c r="D121" s="22" t="s">
        <v>391</v>
      </c>
      <c r="E121" s="22"/>
      <c r="F121" s="22" t="s">
        <v>392</v>
      </c>
      <c r="G121" s="53" t="s">
        <v>393</v>
      </c>
      <c r="H121" s="22">
        <v>6</v>
      </c>
      <c r="I121" s="22">
        <v>12</v>
      </c>
      <c r="J121" s="22">
        <v>2</v>
      </c>
      <c r="K121" s="22">
        <v>1</v>
      </c>
      <c r="L121" s="22">
        <v>1</v>
      </c>
      <c r="M121" s="61">
        <f t="shared" si="4"/>
        <v>162.05877000000001</v>
      </c>
      <c r="N121" s="60"/>
    </row>
    <row r="122" spans="1:14" x14ac:dyDescent="0.25">
      <c r="A122" s="16"/>
      <c r="B122" s="17"/>
      <c r="C122" s="22"/>
      <c r="D122" s="22" t="s">
        <v>394</v>
      </c>
      <c r="E122" s="22"/>
      <c r="F122" s="22" t="s">
        <v>395</v>
      </c>
      <c r="G122" s="53" t="s">
        <v>396</v>
      </c>
      <c r="H122" s="22">
        <v>7</v>
      </c>
      <c r="I122" s="22">
        <v>14</v>
      </c>
      <c r="J122" s="22">
        <v>2</v>
      </c>
      <c r="K122" s="22">
        <v>1</v>
      </c>
      <c r="L122" s="22">
        <v>1</v>
      </c>
      <c r="M122" s="61">
        <f t="shared" si="4"/>
        <v>176.07442</v>
      </c>
      <c r="N122" s="60"/>
    </row>
    <row r="123" spans="1:14" x14ac:dyDescent="0.25">
      <c r="A123" s="16"/>
      <c r="B123" s="17"/>
      <c r="C123" s="22"/>
      <c r="D123" s="22" t="s">
        <v>397</v>
      </c>
      <c r="E123" s="22"/>
      <c r="F123" s="22" t="s">
        <v>398</v>
      </c>
      <c r="G123" s="53" t="s">
        <v>399</v>
      </c>
      <c r="H123" s="22">
        <v>8</v>
      </c>
      <c r="I123" s="22">
        <v>16</v>
      </c>
      <c r="J123" s="22">
        <v>2</v>
      </c>
      <c r="K123" s="22">
        <v>1</v>
      </c>
      <c r="L123" s="22">
        <v>1</v>
      </c>
      <c r="M123" s="61">
        <f t="shared" si="4"/>
        <v>190.09007000000003</v>
      </c>
      <c r="N123" s="60"/>
    </row>
    <row r="124" spans="1:14" x14ac:dyDescent="0.25">
      <c r="A124" s="16"/>
      <c r="B124" s="17"/>
      <c r="C124" s="22"/>
      <c r="D124" s="22" t="s">
        <v>400</v>
      </c>
      <c r="E124" s="22"/>
      <c r="F124" s="22" t="s">
        <v>401</v>
      </c>
      <c r="G124" s="53" t="s">
        <v>402</v>
      </c>
      <c r="H124" s="22">
        <v>9</v>
      </c>
      <c r="I124" s="22">
        <v>18</v>
      </c>
      <c r="J124" s="22">
        <v>2</v>
      </c>
      <c r="K124" s="22">
        <v>1</v>
      </c>
      <c r="L124" s="22">
        <v>1</v>
      </c>
      <c r="M124" s="61">
        <f t="shared" si="4"/>
        <v>204.10572000000002</v>
      </c>
      <c r="N124" s="60"/>
    </row>
    <row r="125" spans="1:14" x14ac:dyDescent="0.25">
      <c r="A125" s="16"/>
      <c r="B125" s="17"/>
      <c r="C125" s="22"/>
      <c r="D125" s="22" t="s">
        <v>403</v>
      </c>
      <c r="E125" s="22"/>
      <c r="F125" s="22" t="s">
        <v>404</v>
      </c>
      <c r="G125" s="53" t="s">
        <v>405</v>
      </c>
      <c r="H125" s="22">
        <v>10</v>
      </c>
      <c r="I125" s="22">
        <v>20</v>
      </c>
      <c r="J125" s="22">
        <v>2</v>
      </c>
      <c r="K125" s="22">
        <v>1</v>
      </c>
      <c r="L125" s="22">
        <v>1</v>
      </c>
      <c r="M125" s="61">
        <f t="shared" si="4"/>
        <v>218.12137000000001</v>
      </c>
      <c r="N125" s="60"/>
    </row>
    <row r="126" spans="1:14" x14ac:dyDescent="0.25">
      <c r="A126" s="29"/>
      <c r="B126" s="30"/>
      <c r="C126" s="43"/>
      <c r="D126" s="43" t="s">
        <v>406</v>
      </c>
      <c r="E126" s="43"/>
      <c r="F126" s="43" t="s">
        <v>407</v>
      </c>
      <c r="G126" s="43" t="s">
        <v>408</v>
      </c>
      <c r="H126" s="43">
        <v>11</v>
      </c>
      <c r="I126" s="43">
        <v>22</v>
      </c>
      <c r="J126" s="43">
        <v>2</v>
      </c>
      <c r="K126" s="43">
        <v>1</v>
      </c>
      <c r="L126" s="43">
        <v>1</v>
      </c>
      <c r="M126" s="62">
        <f t="shared" si="4"/>
        <v>232.13702000000001</v>
      </c>
      <c r="N126" s="60"/>
    </row>
    <row r="127" spans="1:14" x14ac:dyDescent="0.25">
      <c r="A127" s="7" t="s">
        <v>409</v>
      </c>
      <c r="B127" s="8"/>
      <c r="C127" s="50"/>
      <c r="D127" s="50" t="s">
        <v>410</v>
      </c>
      <c r="E127" s="50"/>
      <c r="F127" s="50" t="s">
        <v>411</v>
      </c>
      <c r="G127" s="50" t="s">
        <v>412</v>
      </c>
      <c r="H127" s="50">
        <v>5</v>
      </c>
      <c r="I127" s="50">
        <v>9</v>
      </c>
      <c r="J127" s="50">
        <v>3</v>
      </c>
      <c r="K127" s="50">
        <v>1</v>
      </c>
      <c r="L127" s="50">
        <v>0</v>
      </c>
      <c r="M127" s="59">
        <v>149.02724014731001</v>
      </c>
      <c r="N127" s="60"/>
    </row>
    <row r="128" spans="1:14" x14ac:dyDescent="0.25">
      <c r="A128" s="16"/>
      <c r="B128" s="17"/>
      <c r="C128" s="22"/>
      <c r="D128" s="22" t="s">
        <v>413</v>
      </c>
      <c r="E128" s="22"/>
      <c r="F128" s="22" t="s">
        <v>414</v>
      </c>
      <c r="G128" s="53" t="s">
        <v>415</v>
      </c>
      <c r="H128" s="22">
        <v>6</v>
      </c>
      <c r="I128" s="22">
        <v>11</v>
      </c>
      <c r="J128" s="22">
        <v>3</v>
      </c>
      <c r="K128" s="22">
        <v>1</v>
      </c>
      <c r="L128" s="22">
        <v>0</v>
      </c>
      <c r="M128" s="61">
        <v>163.04289021144999</v>
      </c>
      <c r="N128" s="60"/>
    </row>
    <row r="129" spans="1:14" x14ac:dyDescent="0.25">
      <c r="A129" s="16"/>
      <c r="B129" s="17"/>
      <c r="C129" s="22"/>
      <c r="D129" s="22" t="s">
        <v>416</v>
      </c>
      <c r="E129" s="22"/>
      <c r="F129" s="22" t="s">
        <v>417</v>
      </c>
      <c r="G129" s="53" t="s">
        <v>418</v>
      </c>
      <c r="H129" s="22">
        <v>7</v>
      </c>
      <c r="I129" s="22">
        <v>13</v>
      </c>
      <c r="J129" s="22">
        <v>3</v>
      </c>
      <c r="K129" s="22">
        <v>1</v>
      </c>
      <c r="L129" s="22">
        <v>0</v>
      </c>
      <c r="M129" s="61">
        <v>177.05854027558999</v>
      </c>
      <c r="N129" s="60"/>
    </row>
    <row r="130" spans="1:14" x14ac:dyDescent="0.25">
      <c r="A130" s="16"/>
      <c r="B130" s="17"/>
      <c r="C130" s="22"/>
      <c r="D130" s="22" t="s">
        <v>419</v>
      </c>
      <c r="E130" s="22"/>
      <c r="F130" s="22" t="s">
        <v>420</v>
      </c>
      <c r="G130" s="53" t="s">
        <v>421</v>
      </c>
      <c r="H130" s="22">
        <v>8</v>
      </c>
      <c r="I130" s="22">
        <v>15</v>
      </c>
      <c r="J130" s="22">
        <v>3</v>
      </c>
      <c r="K130" s="22">
        <v>1</v>
      </c>
      <c r="L130" s="22">
        <v>0</v>
      </c>
      <c r="M130" s="61">
        <v>191.07419033973</v>
      </c>
      <c r="N130" s="60"/>
    </row>
    <row r="131" spans="1:14" x14ac:dyDescent="0.25">
      <c r="A131" s="16"/>
      <c r="B131" s="17"/>
      <c r="C131" s="22"/>
      <c r="D131" s="22" t="s">
        <v>422</v>
      </c>
      <c r="E131" s="22"/>
      <c r="F131" s="22" t="s">
        <v>423</v>
      </c>
      <c r="G131" s="53" t="s">
        <v>424</v>
      </c>
      <c r="H131" s="22">
        <v>9</v>
      </c>
      <c r="I131" s="22">
        <v>17</v>
      </c>
      <c r="J131" s="22">
        <v>3</v>
      </c>
      <c r="K131" s="22">
        <v>1</v>
      </c>
      <c r="L131" s="22">
        <v>0</v>
      </c>
      <c r="M131" s="61">
        <v>205.08984040387</v>
      </c>
      <c r="N131" s="60"/>
    </row>
    <row r="132" spans="1:14" x14ac:dyDescent="0.25">
      <c r="A132" s="16"/>
      <c r="B132" s="17"/>
      <c r="C132" s="22"/>
      <c r="D132" s="22" t="s">
        <v>425</v>
      </c>
      <c r="E132" s="22"/>
      <c r="F132" s="22" t="s">
        <v>426</v>
      </c>
      <c r="G132" s="53" t="s">
        <v>427</v>
      </c>
      <c r="H132" s="22">
        <v>10</v>
      </c>
      <c r="I132" s="22">
        <v>19</v>
      </c>
      <c r="J132" s="22">
        <v>3</v>
      </c>
      <c r="K132" s="22">
        <v>1</v>
      </c>
      <c r="L132" s="22">
        <v>0</v>
      </c>
      <c r="M132" s="61">
        <v>219.10549046800998</v>
      </c>
      <c r="N132" s="60"/>
    </row>
    <row r="133" spans="1:14" x14ac:dyDescent="0.25">
      <c r="A133" s="29"/>
      <c r="B133" s="30"/>
      <c r="C133" s="43"/>
      <c r="D133" s="43" t="s">
        <v>428</v>
      </c>
      <c r="E133" s="43"/>
      <c r="F133" s="43" t="s">
        <v>429</v>
      </c>
      <c r="G133" s="43" t="s">
        <v>430</v>
      </c>
      <c r="H133" s="43">
        <v>11</v>
      </c>
      <c r="I133" s="43">
        <v>21</v>
      </c>
      <c r="J133" s="43">
        <v>3</v>
      </c>
      <c r="K133" s="43">
        <v>1</v>
      </c>
      <c r="L133" s="43">
        <v>0</v>
      </c>
      <c r="M133" s="62">
        <v>233.12114053214998</v>
      </c>
      <c r="N133" s="60"/>
    </row>
  </sheetData>
  <mergeCells count="22">
    <mergeCell ref="A83:B99"/>
    <mergeCell ref="A100:B107"/>
    <mergeCell ref="A108:B113"/>
    <mergeCell ref="A114:B119"/>
    <mergeCell ref="A120:B126"/>
    <mergeCell ref="A127:B133"/>
    <mergeCell ref="A27:A39"/>
    <mergeCell ref="B27:B29"/>
    <mergeCell ref="B30:B39"/>
    <mergeCell ref="A40:B43"/>
    <mergeCell ref="A44:A82"/>
    <mergeCell ref="B44:B58"/>
    <mergeCell ref="B59:B72"/>
    <mergeCell ref="B73:B82"/>
    <mergeCell ref="A1:B1"/>
    <mergeCell ref="A2:B7"/>
    <mergeCell ref="S4:U4"/>
    <mergeCell ref="A8:B15"/>
    <mergeCell ref="A16:A26"/>
    <mergeCell ref="B16:B21"/>
    <mergeCell ref="B22:B23"/>
    <mergeCell ref="B24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_1H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Marnet</dc:creator>
  <cp:lastModifiedBy>Nathalie Marnet</cp:lastModifiedBy>
  <dcterms:created xsi:type="dcterms:W3CDTF">2022-10-14T09:56:22Z</dcterms:created>
  <dcterms:modified xsi:type="dcterms:W3CDTF">2022-10-14T09:56:59Z</dcterms:modified>
</cp:coreProperties>
</file>